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16.xml" ContentType="application/vnd.openxmlformats-officedocument.spreadsheetml.comments+xml"/>
  <Override PartName="/xl/comments3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xl/ctrlProps/ctrlProp1.xml" ContentType="application/vnd.ms-excel.controlpropertie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1f1\AC\Temp\"/>
    </mc:Choice>
  </mc:AlternateContent>
  <xr:revisionPtr revIDLastSave="0" documentId="8_{2397838C-1A1F-2C41-8520-7653797E12BD}" xr6:coauthVersionLast="32" xr6:coauthVersionMax="32" xr10:uidLastSave="{00000000-0000-0000-0000-000000000000}"/>
  <bookViews>
    <workbookView xWindow="240" yWindow="90" windowWidth="9135" windowHeight="4950" tabRatio="835" xr2:uid="{00000000-000D-0000-FFFF-FFFF00000000}"/>
  </bookViews>
  <sheets>
    <sheet name="FICHA FUNCIONAL" sheetId="132" r:id="rId1"/>
    <sheet name="MTS - MAPA DE TEMPO DE SERVIÇO" sheetId="133" r:id="rId2"/>
    <sheet name="RESUMO CONCLUSIVO" sheetId="134" r:id="rId3"/>
    <sheet name="CENÁRIOS DE CONCESSÃO" sheetId="135" r:id="rId4"/>
    <sheet name="CRÍTICA_IGP1" sheetId="114" state="hidden" r:id="rId5"/>
    <sheet name="INSTRUÇÃO" sheetId="131" r:id="rId6"/>
    <sheet name="VI_REAEC20" sheetId="115" state="hidden" r:id="rId7"/>
    <sheet name="VI_RP_EC20" sheetId="116" state="hidden" r:id="rId8"/>
    <sheet name="VI_RP_EC41" sheetId="117" state="hidden" r:id="rId9"/>
    <sheet name="VI_ART. 6º" sheetId="118" state="hidden" r:id="rId10"/>
    <sheet name="VI_TRANS_EC47" sheetId="119" state="hidden" r:id="rId11"/>
    <sheet name="VI_TRANS_EC20" sheetId="120" state="hidden" r:id="rId12"/>
    <sheet name="VPTS_RAEC20" sheetId="121" state="hidden" r:id="rId13"/>
    <sheet name="VPTC_TRANS_EC20" sheetId="122" state="hidden" r:id="rId14"/>
    <sheet name="VPI_RAEC20" sheetId="123" state="hidden" r:id="rId15"/>
    <sheet name="VPI_RP_EC41" sheetId="124" state="hidden" r:id="rId16"/>
    <sheet name="VR_ART_ 2º" sheetId="125" state="hidden" r:id="rId17"/>
    <sheet name="VE_RAEC20" sheetId="126" state="hidden" r:id="rId18"/>
    <sheet name="VE_ART_6º" sheetId="127" state="hidden" r:id="rId19"/>
    <sheet name="VE_TRANS_EC20" sheetId="128" state="hidden" r:id="rId20"/>
    <sheet name="VE_RP_EC20" sheetId="129" state="hidden" r:id="rId21"/>
    <sheet name="VE_RP_EC41" sheetId="130" state="hidden" r:id="rId22"/>
  </sheets>
  <definedNames>
    <definedName name="_xlnm._FilterDatabase" localSheetId="3" hidden="1">'CENÁRIOS DE CONCESSÃO'!$H$108:$J$206</definedName>
    <definedName name="_xlnm._FilterDatabase" localSheetId="4" hidden="1">CRÍTICA_IGP1!$H$157:$M$255</definedName>
    <definedName name="_xlnm._FilterDatabase" localSheetId="0" hidden="1">'FICHA FUNCIONAL'!$I$177:$N$275</definedName>
    <definedName name="_xlnm._FilterDatabase" localSheetId="5" hidden="1">INSTRUÇÃO!$H$309:$M$425</definedName>
    <definedName name="_xlnm._FilterDatabase" localSheetId="1" hidden="1">'MTS - MAPA DE TEMPO DE SERVIÇO'!$I$161:$N$259</definedName>
    <definedName name="_xlnm._FilterDatabase" localSheetId="2" hidden="1">'RESUMO CONCLUSIVO'!$H$160:$J$258</definedName>
    <definedName name="_xlnm._FilterDatabase" localSheetId="18" hidden="1">VE_ART_6º!$H$137:$M$235</definedName>
    <definedName name="_xlnm._FilterDatabase" localSheetId="17" hidden="1">VE_RAEC20!$H$137:$M$235</definedName>
    <definedName name="_xlnm._FilterDatabase" localSheetId="20" hidden="1">VE_RP_EC20!$H$137:$M$235</definedName>
    <definedName name="_xlnm._FilterDatabase" localSheetId="21" hidden="1">VE_RP_EC41!$H$137:$M$235</definedName>
    <definedName name="_xlnm._FilterDatabase" localSheetId="19" hidden="1">VE_TRANS_EC20!$H$137:$M$235</definedName>
    <definedName name="_xlnm._FilterDatabase" localSheetId="9" hidden="1">'VI_ART. 6º'!$H$128:$M$226</definedName>
    <definedName name="_xlnm._FilterDatabase" localSheetId="6" hidden="1">VI_REAEC20!$H$128:$M$226</definedName>
    <definedName name="_xlnm._FilterDatabase" localSheetId="7" hidden="1">VI_RP_EC20!$H$128:$M$226</definedName>
    <definedName name="_xlnm._FilterDatabase" localSheetId="8" hidden="1">VI_RP_EC41!$H$128:$M$226</definedName>
    <definedName name="_xlnm._FilterDatabase" localSheetId="11" hidden="1">VI_TRANS_EC20!$H$129:$M$227</definedName>
    <definedName name="_xlnm._FilterDatabase" localSheetId="10" hidden="1">VI_TRANS_EC47!$H$129:$M$227</definedName>
    <definedName name="_xlnm._FilterDatabase" localSheetId="14" hidden="1">VPI_RAEC20!$H$132:$M$230</definedName>
    <definedName name="_xlnm._FilterDatabase" localSheetId="15" hidden="1">VPI_RP_EC41!$H$132:$M$230</definedName>
    <definedName name="_xlnm._FilterDatabase" localSheetId="13" hidden="1">VPTC_TRANS_EC20!$H$132:$M$230</definedName>
    <definedName name="_xlnm._FilterDatabase" localSheetId="12" hidden="1">VPTS_RAEC20!$H$132:$M$230</definedName>
    <definedName name="_xlnm._FilterDatabase" localSheetId="16" hidden="1">'VR_ART_ 2º'!$H$133:$M$231</definedName>
    <definedName name="_xlnm.Print_Area" localSheetId="3">'CENÁRIOS DE CONCESSÃO'!$A$2:$Q$29</definedName>
    <definedName name="_xlnm.Print_Area" localSheetId="4">CRÍTICA_IGP1!$A$1:$IU$93</definedName>
    <definedName name="_xlnm.Print_Area" localSheetId="0">'FICHA FUNCIONAL'!$B$1:$O$44</definedName>
    <definedName name="_xlnm.Print_Area" localSheetId="5">INSTRUÇÃO!$B$1:$R$260</definedName>
    <definedName name="_xlnm.Print_Area" localSheetId="1">'MTS - MAPA DE TEMPO DE SERVIÇO'!$B$2:$O$84</definedName>
    <definedName name="_xlnm.Print_Area" localSheetId="2">'RESUMO CONCLUSIVO'!$A$2:$Q$76</definedName>
    <definedName name="_xlnm.Print_Area" localSheetId="18">VE_ART_6º!$A$1:$IU$82</definedName>
    <definedName name="_xlnm.Print_Area" localSheetId="17">VE_RAEC20!$A$1:$IU$76</definedName>
    <definedName name="_xlnm.Print_Area" localSheetId="20">VE_RP_EC20!$A$1:$IU$81</definedName>
    <definedName name="_xlnm.Print_Area" localSheetId="21">VE_RP_EC41!$A$1:$IU$93</definedName>
    <definedName name="_xlnm.Print_Area" localSheetId="19">VE_TRANS_EC20!$A$1:$IU$82</definedName>
    <definedName name="_xlnm.Print_Area" localSheetId="9">'VI_ART. 6º'!$A$1:$IS$76</definedName>
    <definedName name="_xlnm.Print_Area" localSheetId="6">VI_REAEC20!$A$1:$IU$76</definedName>
    <definedName name="_xlnm.Print_Area" localSheetId="7">VI_RP_EC20!$1:$76</definedName>
    <definedName name="_xlnm.Print_Area" localSheetId="8">VI_RP_EC41!$A$1:$IU$82</definedName>
    <definedName name="_xlnm.Print_Area" localSheetId="11">VI_TRANS_EC20!$A$1:$IU$83</definedName>
    <definedName name="_xlnm.Print_Area" localSheetId="10">VI_TRANS_EC47!$A$1:$IU$76</definedName>
    <definedName name="_xlnm.Print_Area" localSheetId="14">VPI_RAEC20!$A$1:$IU$76</definedName>
    <definedName name="_xlnm.Print_Area" localSheetId="15">VPI_RP_EC41!$A$1:$IU$76</definedName>
    <definedName name="_xlnm.Print_Area" localSheetId="13">VPTC_TRANS_EC20!$A$1:$IU$76</definedName>
    <definedName name="_xlnm.Print_Area" localSheetId="12">VPTS_RAEC20!$A$1:$IU$82</definedName>
    <definedName name="_xlnm.Print_Area" localSheetId="16">'VR_ART_ 2º'!$A$1:$IU$76</definedName>
    <definedName name="_xlnm.Recorder">#REF!</definedName>
  </definedNames>
  <calcPr calcId="179016"/>
</workbook>
</file>

<file path=xl/calcChain.xml><?xml version="1.0" encoding="utf-8"?>
<calcChain xmlns="http://schemas.openxmlformats.org/spreadsheetml/2006/main">
  <c r="N35" i="122" l="1"/>
  <c r="F35" i="122"/>
  <c r="N8" i="114"/>
  <c r="N8" i="122"/>
  <c r="F26" i="114"/>
  <c r="F26" i="122"/>
  <c r="F27" i="114"/>
  <c r="F27" i="122"/>
  <c r="C28" i="114"/>
  <c r="C28" i="122"/>
  <c r="E28" i="114"/>
  <c r="E28" i="122"/>
  <c r="F28" i="122"/>
  <c r="F29" i="114"/>
  <c r="F29" i="122"/>
  <c r="F30" i="114"/>
  <c r="F30" i="122"/>
  <c r="C31" i="114"/>
  <c r="C31" i="122"/>
  <c r="N31" i="114"/>
  <c r="N31" i="122"/>
  <c r="F31" i="122"/>
  <c r="D15" i="133"/>
  <c r="C32" i="114"/>
  <c r="C32" i="122"/>
  <c r="N9" i="114"/>
  <c r="K2" i="114"/>
  <c r="D14" i="114"/>
  <c r="G14" i="114"/>
  <c r="H19" i="114"/>
  <c r="O10" i="114"/>
  <c r="O11" i="114"/>
  <c r="N10" i="114"/>
  <c r="S22" i="114"/>
  <c r="Q19" i="114"/>
  <c r="Q21" i="114"/>
  <c r="E33" i="114"/>
  <c r="E33" i="122"/>
  <c r="F33" i="122"/>
  <c r="E34" i="114"/>
  <c r="E34" i="122"/>
  <c r="F34" i="122"/>
  <c r="C47" i="114"/>
  <c r="C47" i="122"/>
  <c r="C48" i="114"/>
  <c r="C48" i="122"/>
  <c r="D40" i="133"/>
  <c r="C50" i="114"/>
  <c r="C50" i="122"/>
  <c r="C49" i="114"/>
  <c r="C49" i="122"/>
  <c r="C51" i="122"/>
  <c r="C45" i="122"/>
  <c r="H19" i="122"/>
  <c r="R13" i="122"/>
  <c r="O10" i="122"/>
  <c r="O11" i="122"/>
  <c r="N10" i="122"/>
  <c r="F47" i="114"/>
  <c r="F47" i="122"/>
  <c r="E48" i="114"/>
  <c r="E48" i="122"/>
  <c r="F48" i="122"/>
  <c r="F49" i="122"/>
  <c r="N50" i="114"/>
  <c r="N50" i="122"/>
  <c r="C54" i="114"/>
  <c r="C54" i="122"/>
  <c r="C55" i="114"/>
  <c r="C55" i="122"/>
  <c r="C56" i="114"/>
  <c r="C56" i="122"/>
  <c r="D56" i="133"/>
  <c r="C57" i="114"/>
  <c r="C57" i="122"/>
  <c r="C58" i="122"/>
  <c r="C59" i="122"/>
  <c r="A52" i="122"/>
  <c r="F59" i="122"/>
  <c r="G10" i="114"/>
  <c r="G10" i="122"/>
  <c r="J8" i="114"/>
  <c r="O63" i="114"/>
  <c r="O61" i="114"/>
  <c r="O13" i="114"/>
  <c r="R169" i="114"/>
  <c r="D10" i="114"/>
  <c r="N9" i="122"/>
  <c r="O9" i="122"/>
  <c r="U169" i="114"/>
  <c r="AG169" i="114"/>
  <c r="F116" i="122"/>
  <c r="O114" i="122"/>
  <c r="E71" i="122"/>
  <c r="C84" i="122"/>
  <c r="J8" i="122"/>
  <c r="O63" i="122"/>
  <c r="O61" i="122"/>
  <c r="O13" i="122"/>
  <c r="M13" i="122"/>
  <c r="R4" i="122"/>
  <c r="M73" i="122"/>
  <c r="J84" i="122"/>
  <c r="M74" i="122"/>
  <c r="K84" i="122"/>
  <c r="D12" i="114"/>
  <c r="D12" i="128"/>
  <c r="F26" i="128"/>
  <c r="E34" i="128"/>
  <c r="F34" i="128"/>
  <c r="E33" i="128"/>
  <c r="F33" i="128"/>
  <c r="Q18" i="114"/>
  <c r="Q20" i="114"/>
  <c r="Q22" i="114"/>
  <c r="R22" i="114"/>
  <c r="G15" i="133"/>
  <c r="E32" i="114"/>
  <c r="E32" i="128"/>
  <c r="C32" i="128"/>
  <c r="F32" i="128"/>
  <c r="F30" i="128"/>
  <c r="G10" i="128"/>
  <c r="N35" i="128"/>
  <c r="F35" i="128"/>
  <c r="N8" i="128"/>
  <c r="F27" i="128"/>
  <c r="C28" i="128"/>
  <c r="E28" i="128"/>
  <c r="F28" i="128"/>
  <c r="F29" i="128"/>
  <c r="C31" i="128"/>
  <c r="N31" i="128"/>
  <c r="F31" i="128"/>
  <c r="C47" i="128"/>
  <c r="C48" i="128"/>
  <c r="C50" i="128"/>
  <c r="C49" i="128"/>
  <c r="C51" i="128"/>
  <c r="C45" i="128"/>
  <c r="F47" i="128"/>
  <c r="E48" i="128"/>
  <c r="F48" i="128"/>
  <c r="F49" i="128"/>
  <c r="H19" i="128"/>
  <c r="R13" i="128"/>
  <c r="O10" i="128"/>
  <c r="O11" i="128"/>
  <c r="N10" i="128"/>
  <c r="N50" i="128"/>
  <c r="C54" i="128"/>
  <c r="C55" i="128"/>
  <c r="C56" i="128"/>
  <c r="C57" i="128"/>
  <c r="C58" i="128"/>
  <c r="C59" i="128"/>
  <c r="A52" i="128"/>
  <c r="F59" i="128"/>
  <c r="F38" i="128"/>
  <c r="F37" i="128"/>
  <c r="E50" i="128"/>
  <c r="F50" i="128"/>
  <c r="F46" i="128"/>
  <c r="E51" i="128"/>
  <c r="G46" i="128"/>
  <c r="E45" i="128"/>
  <c r="A45" i="128"/>
  <c r="A44" i="128"/>
  <c r="A43" i="128"/>
  <c r="F45" i="128"/>
  <c r="F52" i="128"/>
  <c r="F61" i="128"/>
  <c r="E41" i="128"/>
  <c r="C41" i="128"/>
  <c r="E42" i="128"/>
  <c r="E43" i="128"/>
  <c r="E44" i="128"/>
  <c r="Q168" i="114"/>
  <c r="R168" i="114"/>
  <c r="N9" i="128"/>
  <c r="O9" i="128"/>
  <c r="U168" i="114"/>
  <c r="AG168" i="114"/>
  <c r="F122" i="128"/>
  <c r="O117" i="128"/>
  <c r="E71" i="128"/>
  <c r="C90" i="128"/>
  <c r="J8" i="128"/>
  <c r="O63" i="128"/>
  <c r="O61" i="128"/>
  <c r="O13" i="128"/>
  <c r="M13" i="128"/>
  <c r="R4" i="128"/>
  <c r="M73" i="128"/>
  <c r="J90" i="128"/>
  <c r="M74" i="128"/>
  <c r="K90" i="128"/>
  <c r="N35" i="120"/>
  <c r="F35" i="120"/>
  <c r="N8" i="120"/>
  <c r="F26" i="120"/>
  <c r="F27" i="120"/>
  <c r="C28" i="120"/>
  <c r="E28" i="120"/>
  <c r="F28" i="120"/>
  <c r="F29" i="120"/>
  <c r="F30" i="120"/>
  <c r="C31" i="120"/>
  <c r="N31" i="120"/>
  <c r="F31" i="120"/>
  <c r="C32" i="120"/>
  <c r="E33" i="120"/>
  <c r="F33" i="120"/>
  <c r="E34" i="120"/>
  <c r="F34" i="120"/>
  <c r="C47" i="120"/>
  <c r="C48" i="120"/>
  <c r="C50" i="120"/>
  <c r="C49" i="120"/>
  <c r="C51" i="120"/>
  <c r="C45" i="120"/>
  <c r="H19" i="120"/>
  <c r="R13" i="120"/>
  <c r="O10" i="120"/>
  <c r="O11" i="120"/>
  <c r="N10" i="120"/>
  <c r="F47" i="120"/>
  <c r="E48" i="120"/>
  <c r="F48" i="120"/>
  <c r="F49" i="120"/>
  <c r="N50" i="120"/>
  <c r="C54" i="120"/>
  <c r="C55" i="120"/>
  <c r="C56" i="120"/>
  <c r="C58" i="120"/>
  <c r="C59" i="120"/>
  <c r="A52" i="120"/>
  <c r="F59" i="120"/>
  <c r="G10" i="120"/>
  <c r="R167" i="114"/>
  <c r="N9" i="120"/>
  <c r="O9" i="120"/>
  <c r="U167" i="114"/>
  <c r="AG167" i="114"/>
  <c r="F110" i="120"/>
  <c r="O108" i="120"/>
  <c r="E71" i="120"/>
  <c r="C82" i="120"/>
  <c r="J8" i="120"/>
  <c r="O63" i="120"/>
  <c r="O61" i="120"/>
  <c r="O13" i="120"/>
  <c r="M13" i="120"/>
  <c r="R4" i="120"/>
  <c r="M73" i="120"/>
  <c r="J82" i="120"/>
  <c r="M74" i="120"/>
  <c r="K82" i="120"/>
  <c r="J8" i="126"/>
  <c r="J9" i="114"/>
  <c r="J9" i="126"/>
  <c r="D12" i="126"/>
  <c r="F35" i="126"/>
  <c r="E32" i="126"/>
  <c r="E31" i="114"/>
  <c r="E31" i="126"/>
  <c r="E30" i="114"/>
  <c r="E30" i="126"/>
  <c r="E29" i="114"/>
  <c r="E29" i="126"/>
  <c r="E28" i="126"/>
  <c r="E27" i="114"/>
  <c r="E27" i="126"/>
  <c r="E26" i="114"/>
  <c r="E26" i="126"/>
  <c r="E38" i="126"/>
  <c r="E37" i="126"/>
  <c r="F26" i="126"/>
  <c r="E34" i="126"/>
  <c r="F34" i="126"/>
  <c r="E33" i="126"/>
  <c r="F33" i="126"/>
  <c r="C32" i="126"/>
  <c r="F32" i="126"/>
  <c r="F30" i="126"/>
  <c r="F37" i="126"/>
  <c r="G10" i="126"/>
  <c r="R127" i="126"/>
  <c r="C65" i="126"/>
  <c r="C64" i="126"/>
  <c r="F72" i="126"/>
  <c r="J8" i="123"/>
  <c r="J9" i="123"/>
  <c r="C64" i="123"/>
  <c r="F72" i="123"/>
  <c r="J8" i="121"/>
  <c r="J9" i="121"/>
  <c r="E31" i="121"/>
  <c r="E30" i="121"/>
  <c r="E29" i="121"/>
  <c r="E28" i="121"/>
  <c r="E27" i="121"/>
  <c r="E26" i="121"/>
  <c r="C32" i="121"/>
  <c r="F35" i="121"/>
  <c r="F26" i="121"/>
  <c r="F27" i="121"/>
  <c r="C28" i="121"/>
  <c r="F28" i="121"/>
  <c r="F29" i="121"/>
  <c r="F30" i="121"/>
  <c r="C31" i="121"/>
  <c r="N31" i="121"/>
  <c r="F31" i="121"/>
  <c r="E33" i="121"/>
  <c r="F33" i="121"/>
  <c r="E34" i="121"/>
  <c r="F34" i="121"/>
  <c r="G10" i="121"/>
  <c r="J8" i="115"/>
  <c r="J9" i="115"/>
  <c r="E31" i="115"/>
  <c r="E30" i="115"/>
  <c r="E29" i="115"/>
  <c r="E28" i="115"/>
  <c r="E27" i="115"/>
  <c r="E26" i="115"/>
  <c r="C32" i="115"/>
  <c r="F35" i="115"/>
  <c r="F26" i="115"/>
  <c r="F27" i="115"/>
  <c r="C28" i="115"/>
  <c r="F28" i="115"/>
  <c r="F29" i="115"/>
  <c r="F30" i="115"/>
  <c r="C31" i="115"/>
  <c r="N31" i="115"/>
  <c r="F31" i="115"/>
  <c r="E33" i="115"/>
  <c r="F33" i="115"/>
  <c r="E34" i="115"/>
  <c r="F34" i="115"/>
  <c r="G10" i="115"/>
  <c r="AG166" i="114"/>
  <c r="AG170" i="114"/>
  <c r="N8" i="125"/>
  <c r="F26" i="125"/>
  <c r="F27" i="125"/>
  <c r="C28" i="125"/>
  <c r="E28" i="125"/>
  <c r="F28" i="125"/>
  <c r="F29" i="125"/>
  <c r="F30" i="125"/>
  <c r="C31" i="125"/>
  <c r="N31" i="125"/>
  <c r="F31" i="125"/>
  <c r="C32" i="125"/>
  <c r="E33" i="125"/>
  <c r="F33" i="125"/>
  <c r="E34" i="125"/>
  <c r="F34" i="125"/>
  <c r="D12" i="125"/>
  <c r="G10" i="125"/>
  <c r="E32" i="125"/>
  <c r="F32" i="125"/>
  <c r="M35" i="125"/>
  <c r="F35" i="125"/>
  <c r="F47" i="125"/>
  <c r="C48" i="125"/>
  <c r="E48" i="125"/>
  <c r="F48" i="125"/>
  <c r="C49" i="125"/>
  <c r="F49" i="125"/>
  <c r="C50" i="125"/>
  <c r="I45" i="133"/>
  <c r="E50" i="114"/>
  <c r="E50" i="125"/>
  <c r="N50" i="125"/>
  <c r="F50" i="125"/>
  <c r="F46" i="125"/>
  <c r="C47" i="125"/>
  <c r="C51" i="125"/>
  <c r="C45" i="125"/>
  <c r="E51" i="125"/>
  <c r="E45" i="125"/>
  <c r="A45" i="125"/>
  <c r="A44" i="125"/>
  <c r="F45" i="125"/>
  <c r="C54" i="125"/>
  <c r="C55" i="125"/>
  <c r="C56" i="125"/>
  <c r="C57" i="125"/>
  <c r="C58" i="125"/>
  <c r="C59" i="125"/>
  <c r="O9" i="114"/>
  <c r="N11" i="114"/>
  <c r="M21" i="132"/>
  <c r="E56" i="114"/>
  <c r="E56" i="125"/>
  <c r="E55" i="114"/>
  <c r="E55" i="125"/>
  <c r="E54" i="114"/>
  <c r="E54" i="125"/>
  <c r="F54" i="114"/>
  <c r="F54" i="125"/>
  <c r="F55" i="125"/>
  <c r="F56" i="125"/>
  <c r="N57" i="114"/>
  <c r="N57" i="125"/>
  <c r="R170" i="114"/>
  <c r="N9" i="125"/>
  <c r="H19" i="125"/>
  <c r="O10" i="125"/>
  <c r="O9" i="125"/>
  <c r="U170" i="114"/>
  <c r="AG164" i="114"/>
  <c r="F28" i="114"/>
  <c r="F31" i="114"/>
  <c r="E6" i="114"/>
  <c r="F33" i="114"/>
  <c r="F34" i="114"/>
  <c r="E2" i="114"/>
  <c r="M35" i="114"/>
  <c r="F35" i="114"/>
  <c r="E36" i="132"/>
  <c r="E47" i="114"/>
  <c r="E49" i="114"/>
  <c r="E51" i="114"/>
  <c r="I46" i="114"/>
  <c r="E46" i="114"/>
  <c r="C51" i="114"/>
  <c r="C45" i="114"/>
  <c r="F48" i="114"/>
  <c r="F49" i="114"/>
  <c r="C58" i="114"/>
  <c r="C59" i="114"/>
  <c r="F55" i="114"/>
  <c r="F56" i="114"/>
  <c r="H15" i="133"/>
  <c r="F32" i="114"/>
  <c r="F38" i="114"/>
  <c r="E38" i="114"/>
  <c r="E37" i="114"/>
  <c r="F37" i="114"/>
  <c r="I44" i="133"/>
  <c r="G46" i="133"/>
  <c r="E45" i="114"/>
  <c r="G40" i="133"/>
  <c r="H40" i="133"/>
  <c r="F50" i="114"/>
  <c r="F46" i="114"/>
  <c r="F45" i="114"/>
  <c r="F52" i="114"/>
  <c r="I54" i="133"/>
  <c r="G56" i="133"/>
  <c r="E57" i="114"/>
  <c r="E58" i="114"/>
  <c r="E59" i="114"/>
  <c r="H56" i="133"/>
  <c r="F57" i="114"/>
  <c r="A59" i="114"/>
  <c r="A52" i="114"/>
  <c r="F59" i="114"/>
  <c r="F61" i="114"/>
  <c r="Q164" i="114"/>
  <c r="R164" i="114"/>
  <c r="O20" i="114"/>
  <c r="O21" i="114"/>
  <c r="O22" i="114"/>
  <c r="U164" i="114"/>
  <c r="H51" i="114"/>
  <c r="H60" i="114"/>
  <c r="O16" i="114"/>
  <c r="O15" i="114"/>
  <c r="T164" i="114"/>
  <c r="H23" i="135"/>
  <c r="R23" i="135"/>
  <c r="M23" i="135"/>
  <c r="AG163" i="114"/>
  <c r="R163" i="114"/>
  <c r="U163" i="114"/>
  <c r="AG165" i="114"/>
  <c r="U165" i="114"/>
  <c r="AF165" i="114"/>
  <c r="AH165" i="114"/>
  <c r="D14" i="124"/>
  <c r="G14" i="124"/>
  <c r="H19" i="124"/>
  <c r="O10" i="124"/>
  <c r="O11" i="124"/>
  <c r="N10" i="124"/>
  <c r="AG162" i="114"/>
  <c r="Q160" i="114"/>
  <c r="R160" i="114"/>
  <c r="H19" i="129"/>
  <c r="R12" i="129"/>
  <c r="O10" i="129"/>
  <c r="E50" i="129"/>
  <c r="E51" i="129"/>
  <c r="H46" i="129"/>
  <c r="E45" i="129"/>
  <c r="O11" i="129"/>
  <c r="N10" i="129"/>
  <c r="F27" i="129"/>
  <c r="C28" i="129"/>
  <c r="E28" i="129"/>
  <c r="F28" i="129"/>
  <c r="F29" i="129"/>
  <c r="F30" i="129"/>
  <c r="C31" i="129"/>
  <c r="N31" i="129"/>
  <c r="F31" i="129"/>
  <c r="C32" i="129"/>
  <c r="E33" i="129"/>
  <c r="F33" i="129"/>
  <c r="E34" i="129"/>
  <c r="F34" i="129"/>
  <c r="C48" i="129"/>
  <c r="E48" i="129"/>
  <c r="F48" i="129"/>
  <c r="C49" i="129"/>
  <c r="F49" i="129"/>
  <c r="C50" i="129"/>
  <c r="N50" i="129"/>
  <c r="F50" i="129"/>
  <c r="H51" i="129"/>
  <c r="O20" i="129"/>
  <c r="C57" i="129"/>
  <c r="N57" i="129"/>
  <c r="C55" i="129"/>
  <c r="F55" i="129"/>
  <c r="C56" i="129"/>
  <c r="F56" i="129"/>
  <c r="O21" i="129"/>
  <c r="O22" i="129"/>
  <c r="Q146" i="114"/>
  <c r="Q87" i="114"/>
  <c r="E41" i="114"/>
  <c r="D41" i="114"/>
  <c r="E42" i="114"/>
  <c r="E43" i="114"/>
  <c r="E44" i="114"/>
  <c r="R145" i="114"/>
  <c r="Q145" i="114"/>
  <c r="Q89" i="114"/>
  <c r="H61" i="114"/>
  <c r="AB7" i="114"/>
  <c r="AC7" i="114"/>
  <c r="Q93" i="114"/>
  <c r="Q92" i="114"/>
  <c r="Q90" i="114"/>
  <c r="C65" i="114"/>
  <c r="C64" i="114"/>
  <c r="F71" i="114"/>
  <c r="N9" i="129"/>
  <c r="O9" i="129"/>
  <c r="U160" i="114"/>
  <c r="AG160" i="114"/>
  <c r="H19" i="135"/>
  <c r="M19" i="135"/>
  <c r="N19" i="135"/>
  <c r="Q159" i="114"/>
  <c r="R159" i="114"/>
  <c r="H19" i="116"/>
  <c r="R12" i="116"/>
  <c r="O10" i="116"/>
  <c r="E50" i="116"/>
  <c r="E51" i="116"/>
  <c r="H46" i="116"/>
  <c r="E45" i="116"/>
  <c r="O11" i="116"/>
  <c r="N10" i="116"/>
  <c r="F27" i="116"/>
  <c r="C28" i="116"/>
  <c r="E28" i="116"/>
  <c r="F28" i="116"/>
  <c r="F29" i="116"/>
  <c r="F30" i="116"/>
  <c r="C31" i="116"/>
  <c r="N31" i="116"/>
  <c r="F31" i="116"/>
  <c r="C32" i="116"/>
  <c r="E33" i="116"/>
  <c r="F33" i="116"/>
  <c r="E34" i="116"/>
  <c r="F34" i="116"/>
  <c r="C48" i="116"/>
  <c r="E48" i="116"/>
  <c r="F48" i="116"/>
  <c r="C49" i="116"/>
  <c r="F49" i="116"/>
  <c r="O20" i="116"/>
  <c r="C57" i="116"/>
  <c r="N57" i="116"/>
  <c r="C55" i="116"/>
  <c r="F55" i="116"/>
  <c r="C56" i="116"/>
  <c r="F56" i="116"/>
  <c r="O21" i="116"/>
  <c r="O22" i="116"/>
  <c r="N9" i="116"/>
  <c r="O9" i="116"/>
  <c r="U159" i="114"/>
  <c r="AG159" i="114"/>
  <c r="H18" i="135"/>
  <c r="M18" i="135"/>
  <c r="N18" i="135"/>
  <c r="N9" i="124"/>
  <c r="O9" i="124"/>
  <c r="U161" i="114"/>
  <c r="AF161" i="114"/>
  <c r="AG161" i="114"/>
  <c r="AH161" i="114"/>
  <c r="Q161" i="114"/>
  <c r="H17" i="135"/>
  <c r="M17" i="135"/>
  <c r="U162" i="114"/>
  <c r="AF162" i="114"/>
  <c r="AH162" i="114"/>
  <c r="N17" i="135"/>
  <c r="Q172" i="114"/>
  <c r="R172" i="114"/>
  <c r="O14" i="114"/>
  <c r="S172" i="114"/>
  <c r="U172" i="114"/>
  <c r="AG172" i="114"/>
  <c r="T172" i="114"/>
  <c r="H12" i="135"/>
  <c r="R12" i="135"/>
  <c r="M12" i="135"/>
  <c r="R171" i="114"/>
  <c r="S171" i="114"/>
  <c r="U171" i="114"/>
  <c r="AG171" i="114"/>
  <c r="AA7" i="114"/>
  <c r="C147" i="114"/>
  <c r="C151" i="114"/>
  <c r="C153" i="114"/>
  <c r="I153" i="114"/>
  <c r="P9" i="114"/>
  <c r="R173" i="114"/>
  <c r="S173" i="114"/>
  <c r="AG173" i="114"/>
  <c r="R13" i="114"/>
  <c r="R20" i="114"/>
  <c r="N35" i="114"/>
  <c r="H46" i="114"/>
  <c r="AA6" i="114"/>
  <c r="Q88" i="114"/>
  <c r="R93" i="114"/>
  <c r="R91" i="114"/>
  <c r="S93" i="114"/>
  <c r="S91" i="114"/>
  <c r="X93" i="114"/>
  <c r="AC93" i="114"/>
  <c r="AC92" i="114"/>
  <c r="W93" i="114"/>
  <c r="AB93" i="114"/>
  <c r="AB92" i="114"/>
  <c r="X92" i="114"/>
  <c r="W92" i="114"/>
  <c r="S92" i="114"/>
  <c r="R92" i="114"/>
  <c r="U88" i="114"/>
  <c r="Z88" i="114"/>
  <c r="AE88" i="114"/>
  <c r="U86" i="114"/>
  <c r="Z86" i="114"/>
  <c r="AE86" i="114"/>
  <c r="U87" i="114"/>
  <c r="Z87" i="114"/>
  <c r="AE87" i="114"/>
  <c r="U89" i="114"/>
  <c r="Z89" i="114"/>
  <c r="AE89" i="114"/>
  <c r="U90" i="114"/>
  <c r="Z90" i="114"/>
  <c r="AE90" i="114"/>
  <c r="N26" i="134"/>
  <c r="AC91" i="114"/>
  <c r="AC87" i="114"/>
  <c r="S90" i="114"/>
  <c r="X90" i="114"/>
  <c r="AC90" i="114"/>
  <c r="N24" i="134"/>
  <c r="AB91" i="114"/>
  <c r="R88" i="114"/>
  <c r="W88" i="114"/>
  <c r="AB88" i="114"/>
  <c r="R87" i="114"/>
  <c r="W87" i="114"/>
  <c r="AB87" i="114"/>
  <c r="R89" i="114"/>
  <c r="W89" i="114"/>
  <c r="AB89" i="114"/>
  <c r="R90" i="114"/>
  <c r="W90" i="114"/>
  <c r="AB90" i="114"/>
  <c r="N23" i="134"/>
  <c r="X91" i="114"/>
  <c r="X87" i="114"/>
  <c r="L24" i="134"/>
  <c r="W91" i="114"/>
  <c r="L23" i="134"/>
  <c r="T88" i="114"/>
  <c r="Y88" i="114"/>
  <c r="AD88" i="114"/>
  <c r="T86" i="114"/>
  <c r="Y86" i="114"/>
  <c r="AD86" i="114"/>
  <c r="AB12" i="114"/>
  <c r="AB21" i="114"/>
  <c r="AC21" i="114"/>
  <c r="I147" i="114"/>
  <c r="AD21" i="114"/>
  <c r="U93" i="114"/>
  <c r="Z93" i="114"/>
  <c r="AE93" i="114"/>
  <c r="AE92" i="114"/>
  <c r="U92" i="114"/>
  <c r="W101" i="114"/>
  <c r="Q162" i="114"/>
  <c r="V168" i="114"/>
  <c r="AA168" i="114"/>
  <c r="V162" i="114"/>
  <c r="AA162" i="114"/>
  <c r="V161" i="114"/>
  <c r="AA161" i="114"/>
  <c r="V172" i="114"/>
  <c r="AA172" i="114"/>
  <c r="V164" i="114"/>
  <c r="AA164" i="114"/>
  <c r="R12" i="124"/>
  <c r="G10" i="124"/>
  <c r="F115" i="124"/>
  <c r="O113" i="124"/>
  <c r="E71" i="124"/>
  <c r="C86" i="124"/>
  <c r="C64" i="124"/>
  <c r="F72" i="124"/>
  <c r="H86" i="124"/>
  <c r="E50" i="124"/>
  <c r="E51" i="124"/>
  <c r="H46" i="124"/>
  <c r="E45" i="124"/>
  <c r="O63" i="124"/>
  <c r="O61" i="124"/>
  <c r="J8" i="124"/>
  <c r="O13" i="124"/>
  <c r="M13" i="124"/>
  <c r="Q4" i="124"/>
  <c r="M73" i="124"/>
  <c r="J86" i="124"/>
  <c r="M74" i="124"/>
  <c r="K86" i="124"/>
  <c r="R12" i="114"/>
  <c r="C32" i="124"/>
  <c r="C48" i="124"/>
  <c r="E48" i="124"/>
  <c r="F48" i="124"/>
  <c r="C49" i="124"/>
  <c r="F49" i="124"/>
  <c r="C57" i="124"/>
  <c r="N57" i="124"/>
  <c r="C55" i="124"/>
  <c r="F55" i="124"/>
  <c r="C56" i="124"/>
  <c r="F56" i="124"/>
  <c r="F27" i="124"/>
  <c r="C28" i="124"/>
  <c r="E28" i="124"/>
  <c r="F28" i="124"/>
  <c r="F29" i="124"/>
  <c r="F30" i="124"/>
  <c r="C31" i="124"/>
  <c r="N31" i="124"/>
  <c r="F31" i="124"/>
  <c r="E33" i="124"/>
  <c r="F33" i="124"/>
  <c r="E34" i="124"/>
  <c r="F34" i="124"/>
  <c r="O20" i="124"/>
  <c r="O21" i="124"/>
  <c r="O22" i="124"/>
  <c r="N8" i="124"/>
  <c r="C85" i="124"/>
  <c r="H85" i="124"/>
  <c r="K85" i="124"/>
  <c r="D12" i="129"/>
  <c r="G10" i="129"/>
  <c r="F119" i="129"/>
  <c r="O117" i="129"/>
  <c r="E71" i="129"/>
  <c r="C91" i="129"/>
  <c r="F35" i="129"/>
  <c r="E26" i="129"/>
  <c r="E27" i="129"/>
  <c r="E29" i="129"/>
  <c r="E30" i="129"/>
  <c r="E31" i="129"/>
  <c r="F26" i="129"/>
  <c r="C47" i="129"/>
  <c r="C51" i="129"/>
  <c r="C45" i="129"/>
  <c r="F47" i="129"/>
  <c r="A52" i="129"/>
  <c r="C54" i="129"/>
  <c r="C58" i="129"/>
  <c r="C59" i="129"/>
  <c r="F59" i="129"/>
  <c r="J8" i="129"/>
  <c r="M74" i="129"/>
  <c r="K91" i="129"/>
  <c r="N8" i="129"/>
  <c r="G10" i="116"/>
  <c r="F107" i="116"/>
  <c r="O107" i="116"/>
  <c r="E71" i="116"/>
  <c r="C79" i="116"/>
  <c r="F35" i="116"/>
  <c r="E26" i="116"/>
  <c r="E27" i="116"/>
  <c r="E29" i="116"/>
  <c r="E30" i="116"/>
  <c r="E31" i="116"/>
  <c r="F26" i="116"/>
  <c r="C50" i="116"/>
  <c r="C47" i="116"/>
  <c r="C51" i="116"/>
  <c r="C45" i="116"/>
  <c r="F47" i="116"/>
  <c r="N8" i="116"/>
  <c r="A52" i="116"/>
  <c r="C54" i="116"/>
  <c r="C58" i="116"/>
  <c r="C59" i="116"/>
  <c r="F59" i="116"/>
  <c r="O63" i="116"/>
  <c r="O61" i="116"/>
  <c r="J8" i="116"/>
  <c r="O13" i="116"/>
  <c r="M13" i="116"/>
  <c r="Q4" i="116"/>
  <c r="M73" i="116"/>
  <c r="J79" i="116"/>
  <c r="M74" i="116"/>
  <c r="K79" i="116"/>
  <c r="O117" i="126"/>
  <c r="E71" i="126"/>
  <c r="C88" i="126"/>
  <c r="F27" i="126"/>
  <c r="C28" i="126"/>
  <c r="F28" i="126"/>
  <c r="F29" i="126"/>
  <c r="C31" i="126"/>
  <c r="N31" i="126"/>
  <c r="F31" i="126"/>
  <c r="M73" i="126"/>
  <c r="J88" i="126"/>
  <c r="H19" i="126"/>
  <c r="R11" i="126"/>
  <c r="O10" i="126"/>
  <c r="M74" i="126"/>
  <c r="K88" i="126"/>
  <c r="N8" i="126"/>
  <c r="H19" i="123"/>
  <c r="R11" i="123"/>
  <c r="O10" i="123"/>
  <c r="N9" i="123"/>
  <c r="O9" i="123"/>
  <c r="G10" i="123"/>
  <c r="F115" i="123"/>
  <c r="O113" i="123"/>
  <c r="E71" i="123"/>
  <c r="C85" i="123"/>
  <c r="H85" i="123"/>
  <c r="M73" i="123"/>
  <c r="J85" i="123"/>
  <c r="O76" i="123"/>
  <c r="O75" i="123"/>
  <c r="M75" i="123"/>
  <c r="M85" i="123"/>
  <c r="M74" i="123"/>
  <c r="K85" i="123"/>
  <c r="N8" i="123"/>
  <c r="N85" i="123"/>
  <c r="O114" i="121"/>
  <c r="E71" i="121"/>
  <c r="C83" i="121"/>
  <c r="M73" i="121"/>
  <c r="J83" i="121"/>
  <c r="H19" i="121"/>
  <c r="R11" i="121"/>
  <c r="O10" i="121"/>
  <c r="M74" i="121"/>
  <c r="K83" i="121"/>
  <c r="N8" i="121"/>
  <c r="O107" i="115"/>
  <c r="E71" i="115"/>
  <c r="C78" i="115"/>
  <c r="M73" i="115"/>
  <c r="J78" i="115"/>
  <c r="M74" i="115"/>
  <c r="K78" i="115"/>
  <c r="N8" i="115"/>
  <c r="F35" i="119"/>
  <c r="C32" i="119"/>
  <c r="F26" i="119"/>
  <c r="F27" i="119"/>
  <c r="C28" i="119"/>
  <c r="E28" i="119"/>
  <c r="F28" i="119"/>
  <c r="F29" i="119"/>
  <c r="F30" i="119"/>
  <c r="C31" i="119"/>
  <c r="N31" i="119"/>
  <c r="F31" i="119"/>
  <c r="N8" i="119"/>
  <c r="E33" i="119"/>
  <c r="F33" i="119"/>
  <c r="E34" i="119"/>
  <c r="F34" i="119"/>
  <c r="F47" i="119"/>
  <c r="C48" i="119"/>
  <c r="E48" i="119"/>
  <c r="F48" i="119"/>
  <c r="C49" i="119"/>
  <c r="F49" i="119"/>
  <c r="E56" i="119"/>
  <c r="E55" i="119"/>
  <c r="E54" i="119"/>
  <c r="C57" i="119"/>
  <c r="C54" i="119"/>
  <c r="C55" i="119"/>
  <c r="C56" i="119"/>
  <c r="C58" i="119"/>
  <c r="C59" i="119"/>
  <c r="N57" i="119"/>
  <c r="F54" i="119"/>
  <c r="F55" i="119"/>
  <c r="F56" i="119"/>
  <c r="H19" i="119"/>
  <c r="O10" i="119"/>
  <c r="N9" i="119"/>
  <c r="O9" i="119"/>
  <c r="G10" i="119"/>
  <c r="N11" i="119"/>
  <c r="D10" i="119"/>
  <c r="O11" i="119"/>
  <c r="N10" i="119"/>
  <c r="O63" i="119"/>
  <c r="O61" i="119"/>
  <c r="J8" i="119"/>
  <c r="O13" i="119"/>
  <c r="M13" i="119"/>
  <c r="U4" i="119"/>
  <c r="M73" i="119"/>
  <c r="J82" i="119"/>
  <c r="J9" i="119"/>
  <c r="O14" i="119"/>
  <c r="M14" i="119"/>
  <c r="U6" i="119"/>
  <c r="M74" i="119"/>
  <c r="K82" i="119"/>
  <c r="J81" i="119"/>
  <c r="O20" i="119"/>
  <c r="O21" i="119"/>
  <c r="O22" i="119"/>
  <c r="K81" i="119"/>
  <c r="O11" i="125"/>
  <c r="N10" i="125"/>
  <c r="F114" i="125"/>
  <c r="O116" i="125"/>
  <c r="E71" i="125"/>
  <c r="C87" i="125"/>
  <c r="O63" i="125"/>
  <c r="O61" i="125"/>
  <c r="J8" i="125"/>
  <c r="O13" i="125"/>
  <c r="M13" i="125"/>
  <c r="T4" i="125"/>
  <c r="M73" i="125"/>
  <c r="J87" i="125"/>
  <c r="M74" i="125"/>
  <c r="K87" i="125"/>
  <c r="H19" i="127"/>
  <c r="O10" i="127"/>
  <c r="O11" i="127"/>
  <c r="N10" i="127"/>
  <c r="N9" i="127"/>
  <c r="O9" i="127"/>
  <c r="D12" i="127"/>
  <c r="G10" i="127"/>
  <c r="F119" i="127"/>
  <c r="O117" i="127"/>
  <c r="E71" i="127"/>
  <c r="C89" i="127"/>
  <c r="C32" i="127"/>
  <c r="F26" i="127"/>
  <c r="F27" i="127"/>
  <c r="C28" i="127"/>
  <c r="E28" i="127"/>
  <c r="F28" i="127"/>
  <c r="F29" i="127"/>
  <c r="F30" i="127"/>
  <c r="C31" i="127"/>
  <c r="N31" i="127"/>
  <c r="F31" i="127"/>
  <c r="F35" i="127"/>
  <c r="N8" i="127"/>
  <c r="E33" i="127"/>
  <c r="F33" i="127"/>
  <c r="E34" i="127"/>
  <c r="F34" i="127"/>
  <c r="F47" i="127"/>
  <c r="C48" i="127"/>
  <c r="E48" i="127"/>
  <c r="F48" i="127"/>
  <c r="C49" i="127"/>
  <c r="F49" i="127"/>
  <c r="E56" i="127"/>
  <c r="E55" i="127"/>
  <c r="E54" i="127"/>
  <c r="C57" i="127"/>
  <c r="N57" i="127"/>
  <c r="C54" i="127"/>
  <c r="C55" i="127"/>
  <c r="C56" i="127"/>
  <c r="C58" i="127"/>
  <c r="C59" i="127"/>
  <c r="F54" i="127"/>
  <c r="F55" i="127"/>
  <c r="F56" i="127"/>
  <c r="O63" i="127"/>
  <c r="O61" i="127"/>
  <c r="J8" i="127"/>
  <c r="O13" i="127"/>
  <c r="M13" i="127"/>
  <c r="S4" i="127"/>
  <c r="M73" i="127"/>
  <c r="J89" i="127"/>
  <c r="J9" i="127"/>
  <c r="O14" i="127"/>
  <c r="M14" i="127"/>
  <c r="S6" i="127"/>
  <c r="M74" i="127"/>
  <c r="K89" i="127"/>
  <c r="O20" i="127"/>
  <c r="O21" i="127"/>
  <c r="O22" i="127"/>
  <c r="C80" i="127"/>
  <c r="J80" i="127"/>
  <c r="K80" i="127"/>
  <c r="H19" i="118"/>
  <c r="O10" i="118"/>
  <c r="O11" i="118"/>
  <c r="N10" i="118"/>
  <c r="N9" i="118"/>
  <c r="O9" i="118"/>
  <c r="G10" i="118"/>
  <c r="F107" i="118"/>
  <c r="O107" i="118"/>
  <c r="E71" i="118"/>
  <c r="C80" i="118"/>
  <c r="C32" i="118"/>
  <c r="F26" i="118"/>
  <c r="F27" i="118"/>
  <c r="C28" i="118"/>
  <c r="E28" i="118"/>
  <c r="F28" i="118"/>
  <c r="F29" i="118"/>
  <c r="F30" i="118"/>
  <c r="C31" i="118"/>
  <c r="N31" i="118"/>
  <c r="F31" i="118"/>
  <c r="F35" i="118"/>
  <c r="N8" i="118"/>
  <c r="E33" i="118"/>
  <c r="F33" i="118"/>
  <c r="E34" i="118"/>
  <c r="F34" i="118"/>
  <c r="F47" i="118"/>
  <c r="C48" i="118"/>
  <c r="E48" i="118"/>
  <c r="F48" i="118"/>
  <c r="C49" i="118"/>
  <c r="F49" i="118"/>
  <c r="E56" i="118"/>
  <c r="E55" i="118"/>
  <c r="E54" i="118"/>
  <c r="C57" i="118"/>
  <c r="N57" i="118"/>
  <c r="C54" i="118"/>
  <c r="C55" i="118"/>
  <c r="C56" i="118"/>
  <c r="C58" i="118"/>
  <c r="C59" i="118"/>
  <c r="F54" i="118"/>
  <c r="F55" i="118"/>
  <c r="F56" i="118"/>
  <c r="O63" i="118"/>
  <c r="O61" i="118"/>
  <c r="J8" i="118"/>
  <c r="O13" i="118"/>
  <c r="M13" i="118"/>
  <c r="S4" i="118"/>
  <c r="M73" i="118"/>
  <c r="J80" i="118"/>
  <c r="J9" i="118"/>
  <c r="O14" i="118"/>
  <c r="M14" i="118"/>
  <c r="S6" i="118"/>
  <c r="M74" i="118"/>
  <c r="K80" i="118"/>
  <c r="O20" i="118"/>
  <c r="O21" i="118"/>
  <c r="O22" i="118"/>
  <c r="U97" i="114"/>
  <c r="R11" i="114"/>
  <c r="Z161" i="114"/>
  <c r="AE161" i="114"/>
  <c r="Z165" i="114"/>
  <c r="AE165" i="114"/>
  <c r="Z164" i="114"/>
  <c r="AE164" i="114"/>
  <c r="Z163" i="114"/>
  <c r="AE163" i="114"/>
  <c r="E49" i="125"/>
  <c r="E47" i="125"/>
  <c r="M21" i="135"/>
  <c r="H21" i="135"/>
  <c r="E26" i="125"/>
  <c r="E27" i="125"/>
  <c r="E29" i="125"/>
  <c r="E30" i="125"/>
  <c r="E31" i="125"/>
  <c r="E49" i="119"/>
  <c r="E47" i="119"/>
  <c r="C47" i="119"/>
  <c r="C50" i="119"/>
  <c r="C51" i="119"/>
  <c r="C45" i="119"/>
  <c r="E31" i="119"/>
  <c r="E30" i="119"/>
  <c r="E29" i="119"/>
  <c r="E27" i="119"/>
  <c r="E26" i="119"/>
  <c r="E49" i="127"/>
  <c r="E47" i="127"/>
  <c r="C47" i="127"/>
  <c r="C50" i="127"/>
  <c r="C51" i="127"/>
  <c r="C45" i="127"/>
  <c r="E26" i="127"/>
  <c r="E27" i="127"/>
  <c r="E29" i="127"/>
  <c r="E30" i="127"/>
  <c r="E31" i="127"/>
  <c r="E49" i="118"/>
  <c r="E47" i="118"/>
  <c r="C47" i="118"/>
  <c r="C50" i="118"/>
  <c r="C51" i="118"/>
  <c r="C45" i="118"/>
  <c r="E26" i="118"/>
  <c r="E27" i="118"/>
  <c r="E29" i="118"/>
  <c r="E30" i="118"/>
  <c r="E31" i="118"/>
  <c r="F47" i="130"/>
  <c r="C48" i="130"/>
  <c r="E48" i="130"/>
  <c r="F48" i="130"/>
  <c r="C49" i="130"/>
  <c r="F49" i="130"/>
  <c r="N8" i="130"/>
  <c r="C50" i="130"/>
  <c r="C47" i="130"/>
  <c r="C51" i="130"/>
  <c r="C45" i="130"/>
  <c r="E49" i="130"/>
  <c r="E47" i="130"/>
  <c r="E26" i="130"/>
  <c r="E27" i="130"/>
  <c r="E28" i="130"/>
  <c r="E29" i="130"/>
  <c r="E30" i="130"/>
  <c r="E31" i="130"/>
  <c r="C32" i="130"/>
  <c r="F26" i="130"/>
  <c r="F27" i="130"/>
  <c r="C28" i="130"/>
  <c r="F28" i="130"/>
  <c r="F29" i="130"/>
  <c r="F30" i="130"/>
  <c r="C31" i="130"/>
  <c r="N31" i="130"/>
  <c r="F31" i="130"/>
  <c r="F35" i="130"/>
  <c r="E33" i="130"/>
  <c r="F33" i="130"/>
  <c r="E34" i="130"/>
  <c r="F34" i="130"/>
  <c r="F47" i="124"/>
  <c r="C50" i="124"/>
  <c r="C47" i="124"/>
  <c r="C51" i="124"/>
  <c r="C45" i="124"/>
  <c r="E49" i="124"/>
  <c r="E47" i="124"/>
  <c r="E26" i="124"/>
  <c r="E27" i="124"/>
  <c r="E29" i="124"/>
  <c r="E30" i="124"/>
  <c r="E31" i="124"/>
  <c r="F26" i="124"/>
  <c r="F35" i="124"/>
  <c r="N8" i="117"/>
  <c r="F47" i="117"/>
  <c r="C48" i="117"/>
  <c r="E48" i="117"/>
  <c r="F48" i="117"/>
  <c r="C49" i="117"/>
  <c r="F49" i="117"/>
  <c r="C50" i="117"/>
  <c r="C47" i="117"/>
  <c r="C51" i="117"/>
  <c r="C45" i="117"/>
  <c r="E49" i="117"/>
  <c r="E47" i="117"/>
  <c r="E26" i="117"/>
  <c r="E27" i="117"/>
  <c r="E28" i="117"/>
  <c r="E29" i="117"/>
  <c r="E30" i="117"/>
  <c r="E31" i="117"/>
  <c r="C32" i="117"/>
  <c r="F26" i="117"/>
  <c r="F27" i="117"/>
  <c r="C28" i="117"/>
  <c r="F28" i="117"/>
  <c r="F29" i="117"/>
  <c r="F30" i="117"/>
  <c r="C31" i="117"/>
  <c r="N31" i="117"/>
  <c r="F31" i="117"/>
  <c r="F35" i="117"/>
  <c r="E33" i="117"/>
  <c r="F33" i="117"/>
  <c r="E34" i="117"/>
  <c r="F34" i="117"/>
  <c r="N57" i="122"/>
  <c r="F56" i="122"/>
  <c r="E31" i="122"/>
  <c r="E30" i="122"/>
  <c r="E29" i="122"/>
  <c r="E27" i="122"/>
  <c r="E26" i="122"/>
  <c r="E26" i="120"/>
  <c r="E27" i="120"/>
  <c r="E29" i="120"/>
  <c r="E30" i="120"/>
  <c r="E31" i="120"/>
  <c r="E49" i="129"/>
  <c r="E47" i="129"/>
  <c r="E49" i="116"/>
  <c r="E47" i="116"/>
  <c r="F136" i="114"/>
  <c r="F138" i="114"/>
  <c r="AP12" i="114"/>
  <c r="AP21" i="114"/>
  <c r="O136" i="114"/>
  <c r="F142" i="114"/>
  <c r="F139" i="114"/>
  <c r="O137" i="114"/>
  <c r="O140" i="114"/>
  <c r="F143" i="114"/>
  <c r="O141" i="114"/>
  <c r="F140" i="114"/>
  <c r="O138" i="114"/>
  <c r="F141" i="114"/>
  <c r="O139" i="114"/>
  <c r="E70" i="114"/>
  <c r="L2" i="133"/>
  <c r="L2" i="135"/>
  <c r="D5" i="135"/>
  <c r="E5" i="135"/>
  <c r="J5" i="135"/>
  <c r="L5" i="135"/>
  <c r="AG158" i="114"/>
  <c r="U158" i="114"/>
  <c r="Z172" i="114"/>
  <c r="AE172" i="114"/>
  <c r="Z171" i="114"/>
  <c r="AE171" i="114"/>
  <c r="Z170" i="114"/>
  <c r="AE170" i="114"/>
  <c r="Z169" i="114"/>
  <c r="AE169" i="114"/>
  <c r="Z168" i="114"/>
  <c r="AE168" i="114"/>
  <c r="Z167" i="114"/>
  <c r="AE167" i="114"/>
  <c r="AC170" i="114"/>
  <c r="AC169" i="114"/>
  <c r="AC168" i="114"/>
  <c r="AC167" i="114"/>
  <c r="AC166" i="114"/>
  <c r="AC165" i="114"/>
  <c r="AC164" i="114"/>
  <c r="AC163" i="114"/>
  <c r="AC162" i="114"/>
  <c r="AC161" i="114"/>
  <c r="AC160" i="114"/>
  <c r="AC159" i="114"/>
  <c r="X170" i="114"/>
  <c r="X169" i="114"/>
  <c r="X168" i="114"/>
  <c r="X167" i="114"/>
  <c r="X166" i="114"/>
  <c r="X165" i="114"/>
  <c r="X164" i="114"/>
  <c r="X163" i="114"/>
  <c r="X162" i="114"/>
  <c r="X161" i="114"/>
  <c r="X160" i="114"/>
  <c r="X159" i="114"/>
  <c r="V89" i="114"/>
  <c r="V88" i="114"/>
  <c r="AE158" i="114"/>
  <c r="AC158" i="114"/>
  <c r="AB158" i="114"/>
  <c r="Z158" i="114"/>
  <c r="X158" i="114"/>
  <c r="W158" i="114"/>
  <c r="AA89" i="114"/>
  <c r="AA88" i="114"/>
  <c r="E49" i="120"/>
  <c r="AA97" i="114"/>
  <c r="O8" i="114"/>
  <c r="D73" i="114"/>
  <c r="E42" i="132"/>
  <c r="AA98" i="114"/>
  <c r="AA99" i="114"/>
  <c r="AA100" i="114"/>
  <c r="AA101" i="114"/>
  <c r="AC89" i="114"/>
  <c r="X89" i="114"/>
  <c r="U101" i="114"/>
  <c r="E8" i="132"/>
  <c r="H11" i="134"/>
  <c r="G15" i="114"/>
  <c r="G15" i="128"/>
  <c r="O68" i="128"/>
  <c r="E6" i="129"/>
  <c r="E55" i="129"/>
  <c r="O68" i="129"/>
  <c r="N50" i="130"/>
  <c r="C57" i="130"/>
  <c r="N57" i="130"/>
  <c r="C56" i="130"/>
  <c r="F56" i="130"/>
  <c r="H19" i="130"/>
  <c r="O10" i="130"/>
  <c r="E6" i="130"/>
  <c r="C55" i="130"/>
  <c r="E55" i="130"/>
  <c r="F55" i="130"/>
  <c r="G15" i="130"/>
  <c r="O68" i="130"/>
  <c r="N50" i="124"/>
  <c r="E55" i="124"/>
  <c r="L109" i="114"/>
  <c r="N9" i="117"/>
  <c r="H19" i="117"/>
  <c r="O10" i="117"/>
  <c r="O9" i="117"/>
  <c r="G10" i="117"/>
  <c r="F107" i="117"/>
  <c r="O107" i="117"/>
  <c r="E71" i="117"/>
  <c r="C79" i="117"/>
  <c r="N50" i="117"/>
  <c r="E56" i="117"/>
  <c r="E55" i="117"/>
  <c r="E54" i="117"/>
  <c r="C57" i="117"/>
  <c r="N57" i="117"/>
  <c r="C54" i="117"/>
  <c r="C55" i="117"/>
  <c r="C56" i="117"/>
  <c r="C58" i="117"/>
  <c r="C59" i="117"/>
  <c r="F54" i="117"/>
  <c r="F55" i="117"/>
  <c r="F56" i="117"/>
  <c r="O11" i="117"/>
  <c r="N10" i="117"/>
  <c r="O63" i="117"/>
  <c r="O61" i="117"/>
  <c r="J8" i="117"/>
  <c r="O13" i="117"/>
  <c r="M13" i="117"/>
  <c r="Q4" i="117"/>
  <c r="M73" i="117"/>
  <c r="J79" i="117"/>
  <c r="M74" i="117"/>
  <c r="K79" i="117"/>
  <c r="O20" i="117"/>
  <c r="O21" i="117"/>
  <c r="O22" i="117"/>
  <c r="N9" i="130"/>
  <c r="O9" i="130"/>
  <c r="D12" i="130"/>
  <c r="G10" i="130"/>
  <c r="F119" i="130"/>
  <c r="O117" i="130"/>
  <c r="E71" i="130"/>
  <c r="C91" i="130"/>
  <c r="E56" i="130"/>
  <c r="E54" i="130"/>
  <c r="C54" i="130"/>
  <c r="C58" i="130"/>
  <c r="C59" i="130"/>
  <c r="F54" i="130"/>
  <c r="O11" i="130"/>
  <c r="N10" i="130"/>
  <c r="O20" i="130"/>
  <c r="O21" i="130"/>
  <c r="O22" i="130"/>
  <c r="O63" i="130"/>
  <c r="O61" i="130"/>
  <c r="J8" i="130"/>
  <c r="O13" i="130"/>
  <c r="M13" i="130"/>
  <c r="Q4" i="130"/>
  <c r="M73" i="130"/>
  <c r="J91" i="130"/>
  <c r="M74" i="130"/>
  <c r="K91" i="130"/>
  <c r="N50" i="127"/>
  <c r="N50" i="119"/>
  <c r="E6" i="119"/>
  <c r="G15" i="119"/>
  <c r="O68" i="119"/>
  <c r="N50" i="118"/>
  <c r="E6" i="118"/>
  <c r="G15" i="118"/>
  <c r="O68" i="118"/>
  <c r="R11" i="115"/>
  <c r="O10" i="115"/>
  <c r="N50" i="116"/>
  <c r="E55" i="116"/>
  <c r="O76" i="124"/>
  <c r="O75" i="124"/>
  <c r="L2" i="134"/>
  <c r="O80" i="114"/>
  <c r="O20" i="125"/>
  <c r="O21" i="125"/>
  <c r="O22" i="125"/>
  <c r="O11" i="123"/>
  <c r="N10" i="123"/>
  <c r="F27" i="123"/>
  <c r="C28" i="123"/>
  <c r="E28" i="123"/>
  <c r="F28" i="123"/>
  <c r="F29" i="123"/>
  <c r="C31" i="123"/>
  <c r="N31" i="123"/>
  <c r="F31" i="123"/>
  <c r="C32" i="123"/>
  <c r="E33" i="123"/>
  <c r="F33" i="123"/>
  <c r="E34" i="123"/>
  <c r="F34" i="123"/>
  <c r="C57" i="123"/>
  <c r="N57" i="123"/>
  <c r="C55" i="123"/>
  <c r="E55" i="123"/>
  <c r="F55" i="123"/>
  <c r="C56" i="123"/>
  <c r="F56" i="123"/>
  <c r="N50" i="123"/>
  <c r="C50" i="123"/>
  <c r="C48" i="123"/>
  <c r="E48" i="123"/>
  <c r="F48" i="123"/>
  <c r="C49" i="123"/>
  <c r="F49" i="123"/>
  <c r="O20" i="123"/>
  <c r="O21" i="123"/>
  <c r="O22" i="123"/>
  <c r="O20" i="122"/>
  <c r="E55" i="122"/>
  <c r="F55" i="122"/>
  <c r="O21" i="122"/>
  <c r="O22" i="122"/>
  <c r="O11" i="121"/>
  <c r="N10" i="121"/>
  <c r="N57" i="121"/>
  <c r="C55" i="121"/>
  <c r="E55" i="121"/>
  <c r="F55" i="121"/>
  <c r="C56" i="121"/>
  <c r="F56" i="121"/>
  <c r="N50" i="121"/>
  <c r="C50" i="121"/>
  <c r="C48" i="121"/>
  <c r="E48" i="121"/>
  <c r="F48" i="121"/>
  <c r="C49" i="121"/>
  <c r="F49" i="121"/>
  <c r="O20" i="121"/>
  <c r="O21" i="121"/>
  <c r="O22" i="121"/>
  <c r="O20" i="128"/>
  <c r="N57" i="128"/>
  <c r="E55" i="128"/>
  <c r="F55" i="128"/>
  <c r="F56" i="128"/>
  <c r="O21" i="128"/>
  <c r="O22" i="128"/>
  <c r="O11" i="126"/>
  <c r="N10" i="126"/>
  <c r="C57" i="126"/>
  <c r="N57" i="126"/>
  <c r="C55" i="126"/>
  <c r="E55" i="126"/>
  <c r="F55" i="126"/>
  <c r="C56" i="126"/>
  <c r="F56" i="126"/>
  <c r="N50" i="126"/>
  <c r="C50" i="126"/>
  <c r="C48" i="126"/>
  <c r="E48" i="126"/>
  <c r="F48" i="126"/>
  <c r="C49" i="126"/>
  <c r="F49" i="126"/>
  <c r="O20" i="126"/>
  <c r="O21" i="126"/>
  <c r="O22" i="126"/>
  <c r="D14" i="115"/>
  <c r="O20" i="120"/>
  <c r="N57" i="120"/>
  <c r="E55" i="120"/>
  <c r="F55" i="120"/>
  <c r="F56" i="120"/>
  <c r="O21" i="120"/>
  <c r="O22" i="120"/>
  <c r="J9" i="130"/>
  <c r="O14" i="130"/>
  <c r="J9" i="129"/>
  <c r="J9" i="128"/>
  <c r="O14" i="128"/>
  <c r="O63" i="126"/>
  <c r="O61" i="126"/>
  <c r="O14" i="126"/>
  <c r="O13" i="126"/>
  <c r="J9" i="125"/>
  <c r="O14" i="125"/>
  <c r="J9" i="124"/>
  <c r="O63" i="123"/>
  <c r="O61" i="123"/>
  <c r="O14" i="123"/>
  <c r="O13" i="123"/>
  <c r="J9" i="122"/>
  <c r="O14" i="122"/>
  <c r="O20" i="115"/>
  <c r="O21" i="115"/>
  <c r="O22" i="115"/>
  <c r="O63" i="121"/>
  <c r="O61" i="121"/>
  <c r="O14" i="121"/>
  <c r="O13" i="121"/>
  <c r="J9" i="120"/>
  <c r="O14" i="120"/>
  <c r="J9" i="117"/>
  <c r="O14" i="117"/>
  <c r="J9" i="116"/>
  <c r="G109" i="114"/>
  <c r="D88" i="133"/>
  <c r="I53" i="133"/>
  <c r="I37" i="133"/>
  <c r="H38" i="133"/>
  <c r="I38" i="133"/>
  <c r="J35" i="133"/>
  <c r="J51" i="133"/>
  <c r="J124" i="119"/>
  <c r="I124" i="119"/>
  <c r="E56" i="121"/>
  <c r="N50" i="115"/>
  <c r="N57" i="115"/>
  <c r="C26" i="114"/>
  <c r="C27" i="114"/>
  <c r="C29" i="114"/>
  <c r="C30" i="114"/>
  <c r="C38" i="114"/>
  <c r="C37" i="114"/>
  <c r="D24" i="133"/>
  <c r="D46" i="133"/>
  <c r="D62" i="133"/>
  <c r="D68" i="133"/>
  <c r="D47" i="133"/>
  <c r="F26" i="123"/>
  <c r="AA9" i="114"/>
  <c r="AA8" i="114"/>
  <c r="E147" i="114"/>
  <c r="X88" i="114"/>
  <c r="AC88" i="114"/>
  <c r="W86" i="114"/>
  <c r="AB86" i="114"/>
  <c r="X86" i="114"/>
  <c r="AC86" i="114"/>
  <c r="N225" i="114"/>
  <c r="O225" i="114"/>
  <c r="O68" i="114"/>
  <c r="J75" i="133"/>
  <c r="J8" i="133"/>
  <c r="J7" i="133"/>
  <c r="H16" i="133"/>
  <c r="J27" i="114"/>
  <c r="J28" i="114"/>
  <c r="J105" i="114"/>
  <c r="I105" i="114"/>
  <c r="I91" i="130"/>
  <c r="H105" i="114"/>
  <c r="N205" i="130"/>
  <c r="O205" i="130"/>
  <c r="E105" i="114"/>
  <c r="I149" i="114"/>
  <c r="P10" i="114"/>
  <c r="H150" i="114"/>
  <c r="H149" i="114"/>
  <c r="F150" i="114"/>
  <c r="F149" i="114"/>
  <c r="AY21" i="114"/>
  <c r="AX21" i="114"/>
  <c r="N197" i="119"/>
  <c r="O197" i="119"/>
  <c r="N196" i="118"/>
  <c r="O196" i="118"/>
  <c r="F54" i="120"/>
  <c r="E56" i="116"/>
  <c r="F54" i="128"/>
  <c r="E56" i="129"/>
  <c r="N205" i="129"/>
  <c r="O205" i="129"/>
  <c r="F54" i="129"/>
  <c r="F54" i="122"/>
  <c r="F54" i="124"/>
  <c r="E56" i="124"/>
  <c r="J26" i="114"/>
  <c r="J29" i="114"/>
  <c r="J30" i="114"/>
  <c r="I87" i="125"/>
  <c r="H111" i="114"/>
  <c r="C79" i="124"/>
  <c r="H79" i="124"/>
  <c r="K79" i="124"/>
  <c r="I85" i="123"/>
  <c r="H109" i="114"/>
  <c r="I79" i="117"/>
  <c r="H106" i="114"/>
  <c r="C79" i="129"/>
  <c r="K79" i="129"/>
  <c r="E111" i="114"/>
  <c r="E110" i="114"/>
  <c r="E109" i="114"/>
  <c r="E108" i="114"/>
  <c r="E107" i="114"/>
  <c r="E106" i="114"/>
  <c r="E104" i="114"/>
  <c r="E103" i="114"/>
  <c r="E102" i="114"/>
  <c r="E101" i="114"/>
  <c r="E100" i="114"/>
  <c r="E99" i="114"/>
  <c r="E98" i="114"/>
  <c r="E97" i="114"/>
  <c r="J5" i="134"/>
  <c r="I5" i="134"/>
  <c r="D5" i="134"/>
  <c r="C5" i="134"/>
  <c r="G16" i="134"/>
  <c r="I8" i="133"/>
  <c r="I7" i="133"/>
  <c r="I12" i="133"/>
  <c r="H11" i="133"/>
  <c r="I11" i="133"/>
  <c r="I10" i="133"/>
  <c r="I9" i="133"/>
  <c r="G110" i="114"/>
  <c r="E148" i="114"/>
  <c r="C148" i="114"/>
  <c r="H152" i="114"/>
  <c r="H151" i="114"/>
  <c r="F152" i="114"/>
  <c r="F151" i="114"/>
  <c r="J83" i="133"/>
  <c r="J77" i="133"/>
  <c r="H55" i="133"/>
  <c r="H54" i="133"/>
  <c r="H39" i="133"/>
  <c r="I18" i="133"/>
  <c r="I17" i="133"/>
  <c r="I16" i="133"/>
  <c r="H17" i="133"/>
  <c r="H14" i="133"/>
  <c r="C41" i="132"/>
  <c r="C69" i="114"/>
  <c r="E40" i="132"/>
  <c r="C68" i="114"/>
  <c r="E39" i="132"/>
  <c r="C39" i="132"/>
  <c r="L11" i="114"/>
  <c r="N7" i="114"/>
  <c r="M6" i="114"/>
  <c r="J6" i="114"/>
  <c r="G12" i="114"/>
  <c r="C9" i="114"/>
  <c r="C8" i="114"/>
  <c r="C7" i="114"/>
  <c r="E31" i="128"/>
  <c r="E6" i="120"/>
  <c r="N197" i="120"/>
  <c r="O197" i="120"/>
  <c r="G15" i="120"/>
  <c r="O68" i="120"/>
  <c r="J72" i="114"/>
  <c r="N54" i="114"/>
  <c r="N47" i="114"/>
  <c r="J56" i="114"/>
  <c r="J55" i="114"/>
  <c r="J54" i="114"/>
  <c r="J49" i="114"/>
  <c r="J48" i="114"/>
  <c r="J47" i="114"/>
  <c r="N28" i="114"/>
  <c r="N27" i="114"/>
  <c r="N26" i="114"/>
  <c r="G15" i="116"/>
  <c r="E6" i="116"/>
  <c r="O68" i="116"/>
  <c r="N196" i="116"/>
  <c r="O196" i="116"/>
  <c r="G15" i="115"/>
  <c r="E6" i="115"/>
  <c r="O68" i="115"/>
  <c r="N196" i="115"/>
  <c r="O196" i="115"/>
  <c r="E6" i="126"/>
  <c r="O68" i="126"/>
  <c r="N205" i="126"/>
  <c r="O205" i="126"/>
  <c r="G15" i="127"/>
  <c r="E6" i="127"/>
  <c r="O68" i="127"/>
  <c r="N205" i="127"/>
  <c r="O205" i="127"/>
  <c r="G15" i="117"/>
  <c r="E6" i="117"/>
  <c r="O68" i="117"/>
  <c r="N196" i="117"/>
  <c r="O196" i="117"/>
  <c r="E6" i="121"/>
  <c r="O68" i="121"/>
  <c r="N200" i="121"/>
  <c r="O200" i="121"/>
  <c r="E6" i="122"/>
  <c r="O68" i="122"/>
  <c r="N200" i="122"/>
  <c r="O200" i="122"/>
  <c r="G15" i="123"/>
  <c r="E6" i="123"/>
  <c r="O68" i="123"/>
  <c r="E31" i="123"/>
  <c r="N200" i="123"/>
  <c r="O200" i="123"/>
  <c r="E6" i="124"/>
  <c r="O68" i="124"/>
  <c r="N200" i="124"/>
  <c r="O200" i="124"/>
  <c r="G15" i="125"/>
  <c r="E6" i="125"/>
  <c r="O68" i="125"/>
  <c r="N201" i="125"/>
  <c r="O201" i="125"/>
  <c r="J104" i="114"/>
  <c r="N54" i="130"/>
  <c r="N47" i="130"/>
  <c r="N28" i="130"/>
  <c r="N27" i="130"/>
  <c r="N26" i="130"/>
  <c r="J56" i="130"/>
  <c r="J55" i="130"/>
  <c r="J54" i="130"/>
  <c r="J49" i="130"/>
  <c r="J48" i="130"/>
  <c r="J47" i="130"/>
  <c r="J30" i="130"/>
  <c r="J29" i="130"/>
  <c r="J28" i="130"/>
  <c r="J27" i="130"/>
  <c r="J26" i="130"/>
  <c r="C30" i="130"/>
  <c r="C29" i="130"/>
  <c r="C27" i="130"/>
  <c r="C26" i="130"/>
  <c r="G12" i="130"/>
  <c r="D10" i="130"/>
  <c r="N7" i="130"/>
  <c r="M6" i="130"/>
  <c r="J6" i="130"/>
  <c r="C9" i="130"/>
  <c r="C8" i="130"/>
  <c r="C7" i="130"/>
  <c r="N54" i="124"/>
  <c r="J56" i="124"/>
  <c r="J55" i="124"/>
  <c r="J54" i="124"/>
  <c r="J49" i="124"/>
  <c r="J48" i="124"/>
  <c r="J47" i="124"/>
  <c r="N47" i="124"/>
  <c r="N28" i="124"/>
  <c r="N27" i="124"/>
  <c r="N26" i="124"/>
  <c r="J30" i="124"/>
  <c r="J29" i="124"/>
  <c r="J28" i="124"/>
  <c r="J27" i="124"/>
  <c r="J26" i="124"/>
  <c r="E54" i="124"/>
  <c r="C54" i="124"/>
  <c r="C30" i="124"/>
  <c r="C29" i="124"/>
  <c r="C27" i="124"/>
  <c r="C26" i="124"/>
  <c r="N7" i="124"/>
  <c r="M6" i="124"/>
  <c r="J6" i="124"/>
  <c r="C9" i="124"/>
  <c r="C8" i="124"/>
  <c r="C7" i="124"/>
  <c r="G12" i="124"/>
  <c r="D12" i="124"/>
  <c r="D10" i="124"/>
  <c r="F54" i="115"/>
  <c r="F47" i="115"/>
  <c r="J6" i="115"/>
  <c r="R13" i="130"/>
  <c r="F118" i="130"/>
  <c r="O116" i="130"/>
  <c r="E42" i="130"/>
  <c r="E43" i="130"/>
  <c r="E44" i="130"/>
  <c r="R125" i="130"/>
  <c r="Q125" i="130"/>
  <c r="R4" i="130"/>
  <c r="C90" i="130"/>
  <c r="J90" i="130"/>
  <c r="K90" i="130"/>
  <c r="C89" i="130"/>
  <c r="J89" i="130"/>
  <c r="K89" i="130"/>
  <c r="C88" i="130"/>
  <c r="J88" i="130"/>
  <c r="K88" i="130"/>
  <c r="C87" i="130"/>
  <c r="J87" i="130"/>
  <c r="K87" i="130"/>
  <c r="I87" i="130"/>
  <c r="C86" i="130"/>
  <c r="J86" i="130"/>
  <c r="K86" i="130"/>
  <c r="I86" i="130"/>
  <c r="C85" i="130"/>
  <c r="J85" i="130"/>
  <c r="K85" i="130"/>
  <c r="C84" i="130"/>
  <c r="J84" i="130"/>
  <c r="K84" i="130"/>
  <c r="C83" i="130"/>
  <c r="J83" i="130"/>
  <c r="K83" i="130"/>
  <c r="C82" i="130"/>
  <c r="J82" i="130"/>
  <c r="K82" i="130"/>
  <c r="C81" i="130"/>
  <c r="J81" i="130"/>
  <c r="K81" i="130"/>
  <c r="C80" i="130"/>
  <c r="J80" i="130"/>
  <c r="K80" i="130"/>
  <c r="C79" i="130"/>
  <c r="J79" i="130"/>
  <c r="K79" i="130"/>
  <c r="I79" i="130"/>
  <c r="C78" i="130"/>
  <c r="J78" i="130"/>
  <c r="K78" i="130"/>
  <c r="N54" i="129"/>
  <c r="N47" i="129"/>
  <c r="N28" i="129"/>
  <c r="N27" i="129"/>
  <c r="N26" i="129"/>
  <c r="J56" i="129"/>
  <c r="J55" i="129"/>
  <c r="J54" i="129"/>
  <c r="J49" i="129"/>
  <c r="J48" i="129"/>
  <c r="J47" i="129"/>
  <c r="J30" i="129"/>
  <c r="J29" i="129"/>
  <c r="J28" i="129"/>
  <c r="J27" i="129"/>
  <c r="J26" i="129"/>
  <c r="E54" i="129"/>
  <c r="C30" i="129"/>
  <c r="C29" i="129"/>
  <c r="C27" i="129"/>
  <c r="C26" i="129"/>
  <c r="N7" i="129"/>
  <c r="M6" i="129"/>
  <c r="J6" i="129"/>
  <c r="G12" i="129"/>
  <c r="D10" i="129"/>
  <c r="C9" i="129"/>
  <c r="C8" i="129"/>
  <c r="C7" i="129"/>
  <c r="E42" i="129"/>
  <c r="E43" i="129"/>
  <c r="E44" i="129"/>
  <c r="R125" i="129"/>
  <c r="Q125" i="129"/>
  <c r="C90" i="129"/>
  <c r="K90" i="129"/>
  <c r="C89" i="129"/>
  <c r="K89" i="129"/>
  <c r="C88" i="129"/>
  <c r="K88" i="129"/>
  <c r="C87" i="129"/>
  <c r="K87" i="129"/>
  <c r="C86" i="129"/>
  <c r="K86" i="129"/>
  <c r="C85" i="129"/>
  <c r="K85" i="129"/>
  <c r="C84" i="129"/>
  <c r="K84" i="129"/>
  <c r="C83" i="129"/>
  <c r="K83" i="129"/>
  <c r="C82" i="129"/>
  <c r="K82" i="129"/>
  <c r="C81" i="129"/>
  <c r="K81" i="129"/>
  <c r="C80" i="129"/>
  <c r="K80" i="129"/>
  <c r="C78" i="129"/>
  <c r="K78" i="129"/>
  <c r="J103" i="114"/>
  <c r="I103" i="114"/>
  <c r="N54" i="128"/>
  <c r="J56" i="128"/>
  <c r="J55" i="128"/>
  <c r="J54" i="128"/>
  <c r="J49" i="128"/>
  <c r="J48" i="128"/>
  <c r="J47" i="128"/>
  <c r="N47" i="128"/>
  <c r="N28" i="128"/>
  <c r="N27" i="128"/>
  <c r="N26" i="128"/>
  <c r="J30" i="128"/>
  <c r="J29" i="128"/>
  <c r="J28" i="128"/>
  <c r="J27" i="128"/>
  <c r="J26" i="128"/>
  <c r="E56" i="128"/>
  <c r="E54" i="128"/>
  <c r="E47" i="128"/>
  <c r="E26" i="128"/>
  <c r="E27" i="128"/>
  <c r="E29" i="128"/>
  <c r="E30" i="128"/>
  <c r="C30" i="128"/>
  <c r="C29" i="128"/>
  <c r="C27" i="128"/>
  <c r="C26" i="128"/>
  <c r="N7" i="128"/>
  <c r="M6" i="128"/>
  <c r="J6" i="128"/>
  <c r="G12" i="128"/>
  <c r="D10" i="128"/>
  <c r="C9" i="128"/>
  <c r="C8" i="128"/>
  <c r="C7" i="128"/>
  <c r="C91" i="128"/>
  <c r="J91" i="128"/>
  <c r="K91" i="128"/>
  <c r="I91" i="128"/>
  <c r="C89" i="128"/>
  <c r="J89" i="128"/>
  <c r="K89" i="128"/>
  <c r="C88" i="128"/>
  <c r="J88" i="128"/>
  <c r="K88" i="128"/>
  <c r="C87" i="128"/>
  <c r="J87" i="128"/>
  <c r="K87" i="128"/>
  <c r="I87" i="128"/>
  <c r="C86" i="128"/>
  <c r="J86" i="128"/>
  <c r="K86" i="128"/>
  <c r="I86" i="128"/>
  <c r="C85" i="128"/>
  <c r="J85" i="128"/>
  <c r="K85" i="128"/>
  <c r="C84" i="128"/>
  <c r="J84" i="128"/>
  <c r="K84" i="128"/>
  <c r="C83" i="128"/>
  <c r="J83" i="128"/>
  <c r="K83" i="128"/>
  <c r="C82" i="128"/>
  <c r="J82" i="128"/>
  <c r="K82" i="128"/>
  <c r="C81" i="128"/>
  <c r="J81" i="128"/>
  <c r="K81" i="128"/>
  <c r="C80" i="128"/>
  <c r="J80" i="128"/>
  <c r="K80" i="128"/>
  <c r="C79" i="128"/>
  <c r="J79" i="128"/>
  <c r="K79" i="128"/>
  <c r="I79" i="128"/>
  <c r="C78" i="128"/>
  <c r="J78" i="128"/>
  <c r="K78" i="128"/>
  <c r="J102" i="114"/>
  <c r="I102" i="114"/>
  <c r="G12" i="127"/>
  <c r="D10" i="127"/>
  <c r="N54" i="127"/>
  <c r="N47" i="127"/>
  <c r="N28" i="127"/>
  <c r="N27" i="127"/>
  <c r="N26" i="127"/>
  <c r="J56" i="127"/>
  <c r="J55" i="127"/>
  <c r="J54" i="127"/>
  <c r="J49" i="127"/>
  <c r="J48" i="127"/>
  <c r="J47" i="127"/>
  <c r="J30" i="127"/>
  <c r="J29" i="127"/>
  <c r="J28" i="127"/>
  <c r="J27" i="127"/>
  <c r="J26" i="127"/>
  <c r="C30" i="127"/>
  <c r="C29" i="127"/>
  <c r="C27" i="127"/>
  <c r="C26" i="127"/>
  <c r="N7" i="127"/>
  <c r="M6" i="127"/>
  <c r="J6" i="127"/>
  <c r="C9" i="127"/>
  <c r="C8" i="127"/>
  <c r="C7" i="127"/>
  <c r="R13" i="127"/>
  <c r="F118" i="127"/>
  <c r="O116" i="127"/>
  <c r="C91" i="127"/>
  <c r="E42" i="127"/>
  <c r="E43" i="127"/>
  <c r="E44" i="127"/>
  <c r="R125" i="127"/>
  <c r="Q125" i="127"/>
  <c r="R4" i="127"/>
  <c r="J91" i="127"/>
  <c r="K91" i="127"/>
  <c r="I91" i="127"/>
  <c r="C90" i="127"/>
  <c r="J90" i="127"/>
  <c r="K90" i="127"/>
  <c r="C88" i="127"/>
  <c r="J88" i="127"/>
  <c r="K88" i="127"/>
  <c r="C87" i="127"/>
  <c r="J87" i="127"/>
  <c r="K87" i="127"/>
  <c r="I87" i="127"/>
  <c r="C86" i="127"/>
  <c r="J86" i="127"/>
  <c r="K86" i="127"/>
  <c r="I86" i="127"/>
  <c r="C85" i="127"/>
  <c r="J85" i="127"/>
  <c r="K85" i="127"/>
  <c r="C84" i="127"/>
  <c r="J84" i="127"/>
  <c r="K84" i="127"/>
  <c r="C83" i="127"/>
  <c r="J83" i="127"/>
  <c r="K83" i="127"/>
  <c r="C82" i="127"/>
  <c r="J82" i="127"/>
  <c r="K82" i="127"/>
  <c r="C81" i="127"/>
  <c r="J81" i="127"/>
  <c r="K81" i="127"/>
  <c r="C79" i="127"/>
  <c r="J79" i="127"/>
  <c r="K79" i="127"/>
  <c r="I79" i="127"/>
  <c r="C78" i="127"/>
  <c r="J78" i="127"/>
  <c r="K78" i="127"/>
  <c r="N54" i="126"/>
  <c r="N47" i="126"/>
  <c r="N28" i="126"/>
  <c r="N27" i="126"/>
  <c r="N26" i="126"/>
  <c r="J56" i="126"/>
  <c r="J55" i="126"/>
  <c r="J54" i="126"/>
  <c r="J49" i="126"/>
  <c r="J48" i="126"/>
  <c r="J47" i="126"/>
  <c r="J30" i="126"/>
  <c r="J29" i="126"/>
  <c r="J28" i="126"/>
  <c r="J27" i="126"/>
  <c r="J26" i="126"/>
  <c r="F54" i="126"/>
  <c r="F47" i="126"/>
  <c r="E56" i="126"/>
  <c r="E54" i="126"/>
  <c r="C54" i="126"/>
  <c r="E47" i="126"/>
  <c r="C47" i="126"/>
  <c r="C30" i="126"/>
  <c r="C29" i="126"/>
  <c r="C27" i="126"/>
  <c r="C26" i="126"/>
  <c r="G12" i="126"/>
  <c r="D10" i="126"/>
  <c r="N9" i="126"/>
  <c r="N7" i="126"/>
  <c r="M6" i="126"/>
  <c r="J6" i="126"/>
  <c r="C9" i="126"/>
  <c r="C8" i="126"/>
  <c r="C7" i="126"/>
  <c r="R13" i="126"/>
  <c r="M13" i="126"/>
  <c r="R4" i="126"/>
  <c r="C51" i="126"/>
  <c r="C45" i="126"/>
  <c r="A43" i="126"/>
  <c r="F45" i="126"/>
  <c r="C58" i="126"/>
  <c r="C59" i="126"/>
  <c r="A52" i="126"/>
  <c r="F59" i="126"/>
  <c r="E42" i="126"/>
  <c r="E43" i="126"/>
  <c r="E44" i="126"/>
  <c r="R125" i="126"/>
  <c r="Q125" i="126"/>
  <c r="O9" i="126"/>
  <c r="F118" i="126"/>
  <c r="O116" i="126"/>
  <c r="J101" i="114"/>
  <c r="I101" i="114"/>
  <c r="K91" i="126"/>
  <c r="K90" i="126"/>
  <c r="K89" i="126"/>
  <c r="J91" i="126"/>
  <c r="J90" i="126"/>
  <c r="J89" i="126"/>
  <c r="I91" i="126"/>
  <c r="C91" i="126"/>
  <c r="C90" i="126"/>
  <c r="C89" i="126"/>
  <c r="C87" i="126"/>
  <c r="J87" i="126"/>
  <c r="K87" i="126"/>
  <c r="I87" i="126"/>
  <c r="C86" i="126"/>
  <c r="J86" i="126"/>
  <c r="K86" i="126"/>
  <c r="I86" i="126"/>
  <c r="C85" i="126"/>
  <c r="J85" i="126"/>
  <c r="K85" i="126"/>
  <c r="C84" i="126"/>
  <c r="J84" i="126"/>
  <c r="K84" i="126"/>
  <c r="C83" i="126"/>
  <c r="J83" i="126"/>
  <c r="K83" i="126"/>
  <c r="C82" i="126"/>
  <c r="J82" i="126"/>
  <c r="K82" i="126"/>
  <c r="C81" i="126"/>
  <c r="J81" i="126"/>
  <c r="K81" i="126"/>
  <c r="C80" i="126"/>
  <c r="J80" i="126"/>
  <c r="K80" i="126"/>
  <c r="C79" i="126"/>
  <c r="J79" i="126"/>
  <c r="K79" i="126"/>
  <c r="I79" i="126"/>
  <c r="C78" i="126"/>
  <c r="J78" i="126"/>
  <c r="K78" i="126"/>
  <c r="J111" i="114"/>
  <c r="I111" i="114"/>
  <c r="N54" i="125"/>
  <c r="N47" i="125"/>
  <c r="N28" i="125"/>
  <c r="N27" i="125"/>
  <c r="N26" i="125"/>
  <c r="J56" i="125"/>
  <c r="J55" i="125"/>
  <c r="J54" i="125"/>
  <c r="J49" i="125"/>
  <c r="J48" i="125"/>
  <c r="J47" i="125"/>
  <c r="J30" i="125"/>
  <c r="J29" i="125"/>
  <c r="J28" i="125"/>
  <c r="J27" i="125"/>
  <c r="J26" i="125"/>
  <c r="C30" i="125"/>
  <c r="C29" i="125"/>
  <c r="C27" i="125"/>
  <c r="C26" i="125"/>
  <c r="G12" i="125"/>
  <c r="D10" i="125"/>
  <c r="N7" i="125"/>
  <c r="M6" i="125"/>
  <c r="J6" i="125"/>
  <c r="C9" i="125"/>
  <c r="C8" i="125"/>
  <c r="C7" i="125"/>
  <c r="N35" i="125"/>
  <c r="C86" i="125"/>
  <c r="J86" i="125"/>
  <c r="K86" i="125"/>
  <c r="I86" i="125"/>
  <c r="C85" i="125"/>
  <c r="J85" i="125"/>
  <c r="K85" i="125"/>
  <c r="C84" i="125"/>
  <c r="J84" i="125"/>
  <c r="K84" i="125"/>
  <c r="C83" i="125"/>
  <c r="J83" i="125"/>
  <c r="K83" i="125"/>
  <c r="C82" i="125"/>
  <c r="J82" i="125"/>
  <c r="K82" i="125"/>
  <c r="C81" i="125"/>
  <c r="J81" i="125"/>
  <c r="K81" i="125"/>
  <c r="C80" i="125"/>
  <c r="J80" i="125"/>
  <c r="K80" i="125"/>
  <c r="C79" i="125"/>
  <c r="J79" i="125"/>
  <c r="K79" i="125"/>
  <c r="I79" i="125"/>
  <c r="C78" i="125"/>
  <c r="J78" i="125"/>
  <c r="K78" i="125"/>
  <c r="J110" i="114"/>
  <c r="C84" i="124"/>
  <c r="H84" i="124"/>
  <c r="K84" i="124"/>
  <c r="C83" i="124"/>
  <c r="H83" i="124"/>
  <c r="K83" i="124"/>
  <c r="C82" i="124"/>
  <c r="H82" i="124"/>
  <c r="K82" i="124"/>
  <c r="C81" i="124"/>
  <c r="H81" i="124"/>
  <c r="K81" i="124"/>
  <c r="C80" i="124"/>
  <c r="H80" i="124"/>
  <c r="K80" i="124"/>
  <c r="C78" i="124"/>
  <c r="H78" i="124"/>
  <c r="K78" i="124"/>
  <c r="K109" i="114"/>
  <c r="J109" i="114"/>
  <c r="I109" i="114"/>
  <c r="N54" i="123"/>
  <c r="N47" i="123"/>
  <c r="N28" i="123"/>
  <c r="N27" i="123"/>
  <c r="N26" i="123"/>
  <c r="J56" i="123"/>
  <c r="J55" i="123"/>
  <c r="J54" i="123"/>
  <c r="J49" i="123"/>
  <c r="J48" i="123"/>
  <c r="J47" i="123"/>
  <c r="J30" i="123"/>
  <c r="J29" i="123"/>
  <c r="J28" i="123"/>
  <c r="J27" i="123"/>
  <c r="J26" i="123"/>
  <c r="F54" i="123"/>
  <c r="F47" i="123"/>
  <c r="E56" i="123"/>
  <c r="E54" i="123"/>
  <c r="C54" i="123"/>
  <c r="E47" i="123"/>
  <c r="C47" i="123"/>
  <c r="E30" i="123"/>
  <c r="E29" i="123"/>
  <c r="E27" i="123"/>
  <c r="E26" i="123"/>
  <c r="C30" i="123"/>
  <c r="C29" i="123"/>
  <c r="C27" i="123"/>
  <c r="C26" i="123"/>
  <c r="N7" i="123"/>
  <c r="M6" i="123"/>
  <c r="J6" i="123"/>
  <c r="D12" i="123"/>
  <c r="G12" i="123"/>
  <c r="D10" i="123"/>
  <c r="C9" i="123"/>
  <c r="C8" i="123"/>
  <c r="C7" i="123"/>
  <c r="C86" i="123"/>
  <c r="H86" i="123"/>
  <c r="J86" i="123"/>
  <c r="K86" i="123"/>
  <c r="M86" i="123"/>
  <c r="N86" i="123"/>
  <c r="I86" i="123"/>
  <c r="C84" i="123"/>
  <c r="H84" i="123"/>
  <c r="J84" i="123"/>
  <c r="K84" i="123"/>
  <c r="M84" i="123"/>
  <c r="N84" i="123"/>
  <c r="I84" i="123"/>
  <c r="C83" i="123"/>
  <c r="H83" i="123"/>
  <c r="J83" i="123"/>
  <c r="K83" i="123"/>
  <c r="M83" i="123"/>
  <c r="N83" i="123"/>
  <c r="I83" i="123"/>
  <c r="C82" i="123"/>
  <c r="H82" i="123"/>
  <c r="J82" i="123"/>
  <c r="K82" i="123"/>
  <c r="M82" i="123"/>
  <c r="N82" i="123"/>
  <c r="I82" i="123"/>
  <c r="C81" i="123"/>
  <c r="H81" i="123"/>
  <c r="J81" i="123"/>
  <c r="K81" i="123"/>
  <c r="M81" i="123"/>
  <c r="N81" i="123"/>
  <c r="I81" i="123"/>
  <c r="C80" i="123"/>
  <c r="H80" i="123"/>
  <c r="J80" i="123"/>
  <c r="K80" i="123"/>
  <c r="M80" i="123"/>
  <c r="N80" i="123"/>
  <c r="I80" i="123"/>
  <c r="C79" i="123"/>
  <c r="H79" i="123"/>
  <c r="J79" i="123"/>
  <c r="K79" i="123"/>
  <c r="M79" i="123"/>
  <c r="N79" i="123"/>
  <c r="I79" i="123"/>
  <c r="C78" i="123"/>
  <c r="H78" i="123"/>
  <c r="J78" i="123"/>
  <c r="K78" i="123"/>
  <c r="M78" i="123"/>
  <c r="N78" i="123"/>
  <c r="I78" i="123"/>
  <c r="N54" i="122"/>
  <c r="J56" i="122"/>
  <c r="J55" i="122"/>
  <c r="J54" i="122"/>
  <c r="J49" i="122"/>
  <c r="J48" i="122"/>
  <c r="J47" i="122"/>
  <c r="N47" i="122"/>
  <c r="N28" i="122"/>
  <c r="N27" i="122"/>
  <c r="N26" i="122"/>
  <c r="J30" i="122"/>
  <c r="J29" i="122"/>
  <c r="J28" i="122"/>
  <c r="J27" i="122"/>
  <c r="J26" i="122"/>
  <c r="E56" i="122"/>
  <c r="E54" i="122"/>
  <c r="E47" i="122"/>
  <c r="C30" i="122"/>
  <c r="C29" i="122"/>
  <c r="C27" i="122"/>
  <c r="C26" i="122"/>
  <c r="D12" i="122"/>
  <c r="G12" i="122"/>
  <c r="D10" i="122"/>
  <c r="N7" i="122"/>
  <c r="M6" i="122"/>
  <c r="J6" i="122"/>
  <c r="C9" i="122"/>
  <c r="C8" i="122"/>
  <c r="C7" i="122"/>
  <c r="F113" i="122"/>
  <c r="O111" i="122"/>
  <c r="J108" i="114"/>
  <c r="I108" i="114"/>
  <c r="C86" i="122"/>
  <c r="J86" i="122"/>
  <c r="K86" i="122"/>
  <c r="I86" i="122"/>
  <c r="C85" i="122"/>
  <c r="J85" i="122"/>
  <c r="K85" i="122"/>
  <c r="C83" i="122"/>
  <c r="J83" i="122"/>
  <c r="K83" i="122"/>
  <c r="C82" i="122"/>
  <c r="J82" i="122"/>
  <c r="K82" i="122"/>
  <c r="C81" i="122"/>
  <c r="J81" i="122"/>
  <c r="K81" i="122"/>
  <c r="C80" i="122"/>
  <c r="J80" i="122"/>
  <c r="K80" i="122"/>
  <c r="C79" i="122"/>
  <c r="J79" i="122"/>
  <c r="K79" i="122"/>
  <c r="I79" i="122"/>
  <c r="C78" i="122"/>
  <c r="J78" i="122"/>
  <c r="K78" i="122"/>
  <c r="J107" i="114"/>
  <c r="I107" i="114"/>
  <c r="K86" i="121"/>
  <c r="K85" i="121"/>
  <c r="K84" i="121"/>
  <c r="K82" i="121"/>
  <c r="K81" i="121"/>
  <c r="K80" i="121"/>
  <c r="K79" i="121"/>
  <c r="K78" i="121"/>
  <c r="J82" i="121"/>
  <c r="J81" i="121"/>
  <c r="J80" i="121"/>
  <c r="J79" i="121"/>
  <c r="J78" i="121"/>
  <c r="J86" i="121"/>
  <c r="J85" i="121"/>
  <c r="J84" i="121"/>
  <c r="I86" i="121"/>
  <c r="I79" i="121"/>
  <c r="C86" i="121"/>
  <c r="C85" i="121"/>
  <c r="C84" i="121"/>
  <c r="C82" i="121"/>
  <c r="C81" i="121"/>
  <c r="C80" i="121"/>
  <c r="C79" i="121"/>
  <c r="C78" i="121"/>
  <c r="N54" i="121"/>
  <c r="J56" i="121"/>
  <c r="J55" i="121"/>
  <c r="J54" i="121"/>
  <c r="J49" i="121"/>
  <c r="J48" i="121"/>
  <c r="J47" i="121"/>
  <c r="N47" i="121"/>
  <c r="N28" i="121"/>
  <c r="N27" i="121"/>
  <c r="N26" i="121"/>
  <c r="J30" i="121"/>
  <c r="J29" i="121"/>
  <c r="J28" i="121"/>
  <c r="J27" i="121"/>
  <c r="J26" i="121"/>
  <c r="F54" i="121"/>
  <c r="F47" i="121"/>
  <c r="E54" i="121"/>
  <c r="C54" i="121"/>
  <c r="E47" i="121"/>
  <c r="C47" i="121"/>
  <c r="C27" i="121"/>
  <c r="C29" i="121"/>
  <c r="C30" i="121"/>
  <c r="C26" i="121"/>
  <c r="D12" i="121"/>
  <c r="G12" i="121"/>
  <c r="D10" i="121"/>
  <c r="N9" i="121"/>
  <c r="N7" i="121"/>
  <c r="M6" i="121"/>
  <c r="J6" i="121"/>
  <c r="C9" i="121"/>
  <c r="C8" i="121"/>
  <c r="C7" i="121"/>
  <c r="J98" i="114"/>
  <c r="I98" i="114"/>
  <c r="K81" i="120"/>
  <c r="K80" i="120"/>
  <c r="K79" i="120"/>
  <c r="K78" i="120"/>
  <c r="J81" i="120"/>
  <c r="J80" i="120"/>
  <c r="J79" i="120"/>
  <c r="J78" i="120"/>
  <c r="I79" i="120"/>
  <c r="C81" i="120"/>
  <c r="C80" i="120"/>
  <c r="C79" i="120"/>
  <c r="C78" i="120"/>
  <c r="N54" i="120"/>
  <c r="J56" i="120"/>
  <c r="J55" i="120"/>
  <c r="J54" i="120"/>
  <c r="J49" i="120"/>
  <c r="J48" i="120"/>
  <c r="J47" i="120"/>
  <c r="N47" i="120"/>
  <c r="N28" i="120"/>
  <c r="N27" i="120"/>
  <c r="N26" i="120"/>
  <c r="J30" i="120"/>
  <c r="J29" i="120"/>
  <c r="J28" i="120"/>
  <c r="J27" i="120"/>
  <c r="J26" i="120"/>
  <c r="E56" i="120"/>
  <c r="E54" i="120"/>
  <c r="E47" i="120"/>
  <c r="C27" i="120"/>
  <c r="C29" i="120"/>
  <c r="C30" i="120"/>
  <c r="C26" i="120"/>
  <c r="D12" i="120"/>
  <c r="G12" i="120"/>
  <c r="D10" i="120"/>
  <c r="N7" i="120"/>
  <c r="M6" i="120"/>
  <c r="J6" i="120"/>
  <c r="C9" i="120"/>
  <c r="C8" i="120"/>
  <c r="C7" i="120"/>
  <c r="J96" i="114"/>
  <c r="I96" i="114"/>
  <c r="K80" i="119"/>
  <c r="K79" i="119"/>
  <c r="K78" i="119"/>
  <c r="J80" i="119"/>
  <c r="J79" i="119"/>
  <c r="J78" i="119"/>
  <c r="I79" i="119"/>
  <c r="J56" i="119"/>
  <c r="J55" i="119"/>
  <c r="J54" i="119"/>
  <c r="N54" i="119"/>
  <c r="J49" i="119"/>
  <c r="J48" i="119"/>
  <c r="J47" i="119"/>
  <c r="N47" i="119"/>
  <c r="N28" i="119"/>
  <c r="N27" i="119"/>
  <c r="N26" i="119"/>
  <c r="J30" i="119"/>
  <c r="J29" i="119"/>
  <c r="J28" i="119"/>
  <c r="J27" i="119"/>
  <c r="J26" i="119"/>
  <c r="C27" i="119"/>
  <c r="C29" i="119"/>
  <c r="C30" i="119"/>
  <c r="C26" i="119"/>
  <c r="G12" i="119"/>
  <c r="D12" i="119"/>
  <c r="C9" i="119"/>
  <c r="C8" i="119"/>
  <c r="C7" i="119"/>
  <c r="N7" i="119"/>
  <c r="M6" i="119"/>
  <c r="J6" i="119"/>
  <c r="J97" i="114"/>
  <c r="I97" i="114"/>
  <c r="K82" i="118"/>
  <c r="K81" i="118"/>
  <c r="K79" i="118"/>
  <c r="K78" i="118"/>
  <c r="J82" i="118"/>
  <c r="J81" i="118"/>
  <c r="J79" i="118"/>
  <c r="J78" i="118"/>
  <c r="I79" i="118"/>
  <c r="C82" i="118"/>
  <c r="C81" i="118"/>
  <c r="C79" i="118"/>
  <c r="C78" i="118"/>
  <c r="N54" i="118"/>
  <c r="J56" i="118"/>
  <c r="J55" i="118"/>
  <c r="J54" i="118"/>
  <c r="N47" i="118"/>
  <c r="J49" i="118"/>
  <c r="J48" i="118"/>
  <c r="J47" i="118"/>
  <c r="N28" i="118"/>
  <c r="N27" i="118"/>
  <c r="N26" i="118"/>
  <c r="J30" i="118"/>
  <c r="J29" i="118"/>
  <c r="J28" i="118"/>
  <c r="J27" i="118"/>
  <c r="J26" i="118"/>
  <c r="C27" i="118"/>
  <c r="C29" i="118"/>
  <c r="C30" i="118"/>
  <c r="C26" i="118"/>
  <c r="D12" i="118"/>
  <c r="G12" i="118"/>
  <c r="D10" i="118"/>
  <c r="N7" i="118"/>
  <c r="M6" i="118"/>
  <c r="J6" i="118"/>
  <c r="C9" i="118"/>
  <c r="C8" i="118"/>
  <c r="C7" i="118"/>
  <c r="J106" i="114"/>
  <c r="I106" i="114"/>
  <c r="K82" i="117"/>
  <c r="K81" i="117"/>
  <c r="K80" i="117"/>
  <c r="K78" i="117"/>
  <c r="J82" i="117"/>
  <c r="J81" i="117"/>
  <c r="J80" i="117"/>
  <c r="J78" i="117"/>
  <c r="C82" i="117"/>
  <c r="C81" i="117"/>
  <c r="C80" i="117"/>
  <c r="C78" i="117"/>
  <c r="C9" i="117"/>
  <c r="C8" i="117"/>
  <c r="C7" i="117"/>
  <c r="J6" i="117"/>
  <c r="J56" i="117"/>
  <c r="J55" i="117"/>
  <c r="J54" i="117"/>
  <c r="N54" i="117"/>
  <c r="J49" i="117"/>
  <c r="J48" i="117"/>
  <c r="J47" i="117"/>
  <c r="N47" i="117"/>
  <c r="N28" i="117"/>
  <c r="N27" i="117"/>
  <c r="N26" i="117"/>
  <c r="J30" i="117"/>
  <c r="J29" i="117"/>
  <c r="J28" i="117"/>
  <c r="J27" i="117"/>
  <c r="N7" i="117"/>
  <c r="M6" i="117"/>
  <c r="J26" i="117"/>
  <c r="C27" i="117"/>
  <c r="C29" i="117"/>
  <c r="C30" i="117"/>
  <c r="C26" i="117"/>
  <c r="D12" i="117"/>
  <c r="G12" i="117"/>
  <c r="D10" i="117"/>
  <c r="K82" i="116"/>
  <c r="K81" i="116"/>
  <c r="K80" i="116"/>
  <c r="K78" i="116"/>
  <c r="J99" i="114"/>
  <c r="R13" i="117"/>
  <c r="C82" i="116"/>
  <c r="C81" i="116"/>
  <c r="C80" i="116"/>
  <c r="C78" i="116"/>
  <c r="N7" i="116"/>
  <c r="M6" i="116"/>
  <c r="N54" i="116"/>
  <c r="J56" i="116"/>
  <c r="J55" i="116"/>
  <c r="J54" i="116"/>
  <c r="J49" i="116"/>
  <c r="J48" i="116"/>
  <c r="J47" i="116"/>
  <c r="N47" i="116"/>
  <c r="N28" i="116"/>
  <c r="N27" i="116"/>
  <c r="N26" i="116"/>
  <c r="J30" i="116"/>
  <c r="J29" i="116"/>
  <c r="J28" i="116"/>
  <c r="J27" i="116"/>
  <c r="J26" i="116"/>
  <c r="E54" i="116"/>
  <c r="C30" i="116"/>
  <c r="C29" i="116"/>
  <c r="C27" i="116"/>
  <c r="C26" i="116"/>
  <c r="D12" i="116"/>
  <c r="G12" i="116"/>
  <c r="D10" i="116"/>
  <c r="J6" i="116"/>
  <c r="C7" i="116"/>
  <c r="J100" i="114"/>
  <c r="I100" i="114"/>
  <c r="N54" i="115"/>
  <c r="J56" i="115"/>
  <c r="J55" i="115"/>
  <c r="J54" i="115"/>
  <c r="J30" i="115"/>
  <c r="J29" i="115"/>
  <c r="J28" i="115"/>
  <c r="J27" i="115"/>
  <c r="J26" i="115"/>
  <c r="N28" i="115"/>
  <c r="N27" i="115"/>
  <c r="N26" i="115"/>
  <c r="N47" i="115"/>
  <c r="J49" i="115"/>
  <c r="J48" i="115"/>
  <c r="J47" i="115"/>
  <c r="E56" i="115"/>
  <c r="E55" i="115"/>
  <c r="E54" i="115"/>
  <c r="C57" i="115"/>
  <c r="C56" i="115"/>
  <c r="C55" i="115"/>
  <c r="C54" i="115"/>
  <c r="E48" i="115"/>
  <c r="E47" i="115"/>
  <c r="C50" i="115"/>
  <c r="C49" i="115"/>
  <c r="C48" i="115"/>
  <c r="C47" i="115"/>
  <c r="C30" i="115"/>
  <c r="C29" i="115"/>
  <c r="C27" i="115"/>
  <c r="C26" i="115"/>
  <c r="M6" i="115"/>
  <c r="N9" i="115"/>
  <c r="N7" i="115"/>
  <c r="F48" i="115"/>
  <c r="F49" i="115"/>
  <c r="F55" i="115"/>
  <c r="F56" i="115"/>
  <c r="G14" i="115"/>
  <c r="G12" i="115"/>
  <c r="D12" i="115"/>
  <c r="D10" i="115"/>
  <c r="C9" i="115"/>
  <c r="C8" i="115"/>
  <c r="C7" i="115"/>
  <c r="K82" i="115"/>
  <c r="K81" i="115"/>
  <c r="K80" i="115"/>
  <c r="K79" i="115"/>
  <c r="J82" i="115"/>
  <c r="J81" i="115"/>
  <c r="J80" i="115"/>
  <c r="J79" i="115"/>
  <c r="C79" i="115"/>
  <c r="C82" i="115"/>
  <c r="C81" i="115"/>
  <c r="C80" i="115"/>
  <c r="R13" i="125"/>
  <c r="N35" i="123"/>
  <c r="F35" i="123"/>
  <c r="C51" i="123"/>
  <c r="C45" i="123"/>
  <c r="A43" i="123"/>
  <c r="F45" i="123"/>
  <c r="C58" i="123"/>
  <c r="C59" i="123"/>
  <c r="A52" i="123"/>
  <c r="F59" i="123"/>
  <c r="E42" i="123"/>
  <c r="E43" i="123"/>
  <c r="E44" i="123"/>
  <c r="R120" i="123"/>
  <c r="Q120" i="123"/>
  <c r="H65" i="123"/>
  <c r="N66" i="123"/>
  <c r="J65" i="123"/>
  <c r="M65" i="123"/>
  <c r="R13" i="123"/>
  <c r="N35" i="121"/>
  <c r="C51" i="121"/>
  <c r="C45" i="121"/>
  <c r="A43" i="121"/>
  <c r="F45" i="121"/>
  <c r="C58" i="121"/>
  <c r="C59" i="121"/>
  <c r="A52" i="121"/>
  <c r="F59" i="121"/>
  <c r="E42" i="121"/>
  <c r="E43" i="121"/>
  <c r="E44" i="121"/>
  <c r="R120" i="121"/>
  <c r="Q120" i="121"/>
  <c r="R13" i="121"/>
  <c r="N35" i="119"/>
  <c r="E42" i="119"/>
  <c r="E43" i="119"/>
  <c r="E44" i="119"/>
  <c r="R117" i="119"/>
  <c r="Q117" i="119"/>
  <c r="R13" i="119"/>
  <c r="N35" i="117"/>
  <c r="E42" i="117"/>
  <c r="E43" i="117"/>
  <c r="E44" i="117"/>
  <c r="R116" i="117"/>
  <c r="Q116" i="117"/>
  <c r="N35" i="116"/>
  <c r="E42" i="116"/>
  <c r="E43" i="116"/>
  <c r="E44" i="116"/>
  <c r="R116" i="116"/>
  <c r="Q116" i="116"/>
  <c r="J99" i="116"/>
  <c r="N68" i="116"/>
  <c r="N69" i="116"/>
  <c r="R13" i="116"/>
  <c r="S4" i="130"/>
  <c r="T4" i="130"/>
  <c r="U4" i="130"/>
  <c r="R6" i="130"/>
  <c r="M14" i="130"/>
  <c r="S6" i="130"/>
  <c r="T6" i="130"/>
  <c r="U6" i="130"/>
  <c r="N11" i="130"/>
  <c r="R11" i="130"/>
  <c r="R12" i="130"/>
  <c r="N13" i="130"/>
  <c r="N14" i="130"/>
  <c r="M35" i="130"/>
  <c r="C38" i="130"/>
  <c r="C37" i="130"/>
  <c r="C39" i="130"/>
  <c r="H42" i="130"/>
  <c r="H43" i="130"/>
  <c r="O43" i="130"/>
  <c r="J43" i="130"/>
  <c r="M43" i="130"/>
  <c r="H44" i="130"/>
  <c r="O44" i="130"/>
  <c r="J44" i="130"/>
  <c r="M44" i="130"/>
  <c r="J68" i="130"/>
  <c r="J109" i="130"/>
  <c r="J108" i="130"/>
  <c r="N68" i="130"/>
  <c r="E69" i="130"/>
  <c r="N69" i="130"/>
  <c r="E70" i="130"/>
  <c r="M109" i="130"/>
  <c r="N108" i="130"/>
  <c r="N70" i="130"/>
  <c r="N71" i="130"/>
  <c r="C73" i="130"/>
  <c r="C74" i="130"/>
  <c r="D75" i="130"/>
  <c r="BI96" i="130"/>
  <c r="BI97" i="130"/>
  <c r="BI98" i="130"/>
  <c r="BI99" i="130"/>
  <c r="BI100" i="130"/>
  <c r="BI101" i="130"/>
  <c r="BI102" i="130"/>
  <c r="BI103" i="130"/>
  <c r="BI104" i="130"/>
  <c r="BI105" i="130"/>
  <c r="BI106" i="130"/>
  <c r="J107" i="130"/>
  <c r="BI107" i="130"/>
  <c r="F108" i="130"/>
  <c r="E108" i="130"/>
  <c r="H108" i="130"/>
  <c r="L108" i="130"/>
  <c r="M108" i="130"/>
  <c r="BI108" i="130"/>
  <c r="E109" i="130"/>
  <c r="F110" i="130"/>
  <c r="F111" i="130"/>
  <c r="H110" i="130"/>
  <c r="J110" i="130"/>
  <c r="BI110" i="130"/>
  <c r="H111" i="130"/>
  <c r="BI112" i="130"/>
  <c r="BI113" i="130"/>
  <c r="BI115" i="130"/>
  <c r="F116" i="130"/>
  <c r="C130" i="130"/>
  <c r="BI117" i="130"/>
  <c r="O118" i="130"/>
  <c r="O119" i="130"/>
  <c r="BI119" i="130"/>
  <c r="F120" i="130"/>
  <c r="O120" i="130"/>
  <c r="BI120" i="130"/>
  <c r="F121" i="130"/>
  <c r="O121" i="130"/>
  <c r="F122" i="130"/>
  <c r="F123" i="130"/>
  <c r="E130" i="130"/>
  <c r="C131" i="130"/>
  <c r="E131" i="130"/>
  <c r="BI135" i="130"/>
  <c r="C182" i="130"/>
  <c r="J204" i="130"/>
  <c r="K204" i="130"/>
  <c r="L204" i="130"/>
  <c r="J225" i="130"/>
  <c r="K225" i="130"/>
  <c r="L225" i="130"/>
  <c r="J229" i="130"/>
  <c r="K229" i="130"/>
  <c r="L229" i="130"/>
  <c r="R6" i="129"/>
  <c r="T6" i="129"/>
  <c r="N11" i="129"/>
  <c r="R11" i="129"/>
  <c r="R13" i="129"/>
  <c r="M35" i="129"/>
  <c r="C38" i="129"/>
  <c r="C37" i="129"/>
  <c r="C39" i="129"/>
  <c r="H42" i="129"/>
  <c r="H43" i="129"/>
  <c r="O43" i="129"/>
  <c r="J43" i="129"/>
  <c r="M43" i="129"/>
  <c r="H44" i="129"/>
  <c r="O44" i="129"/>
  <c r="J44" i="129"/>
  <c r="M44" i="129"/>
  <c r="K59" i="129"/>
  <c r="M59" i="129"/>
  <c r="J109" i="129"/>
  <c r="J108" i="129"/>
  <c r="N68" i="129"/>
  <c r="E69" i="129"/>
  <c r="N69" i="129"/>
  <c r="E70" i="129"/>
  <c r="M109" i="129"/>
  <c r="N70" i="129"/>
  <c r="N71" i="129"/>
  <c r="C73" i="129"/>
  <c r="C74" i="129"/>
  <c r="D75" i="129"/>
  <c r="BI96" i="129"/>
  <c r="BI97" i="129"/>
  <c r="BI98" i="129"/>
  <c r="BI99" i="129"/>
  <c r="BI100" i="129"/>
  <c r="BI101" i="129"/>
  <c r="BI102" i="129"/>
  <c r="BI103" i="129"/>
  <c r="BI104" i="129"/>
  <c r="BI105" i="129"/>
  <c r="BI106" i="129"/>
  <c r="J107" i="129"/>
  <c r="BI107" i="129"/>
  <c r="F108" i="129"/>
  <c r="E108" i="129"/>
  <c r="H108" i="129"/>
  <c r="L108" i="129"/>
  <c r="M108" i="129"/>
  <c r="N108" i="129"/>
  <c r="BI108" i="129"/>
  <c r="E109" i="129"/>
  <c r="F110" i="129"/>
  <c r="F111" i="129"/>
  <c r="H110" i="129"/>
  <c r="J110" i="129"/>
  <c r="BI110" i="129"/>
  <c r="H111" i="129"/>
  <c r="BI112" i="129"/>
  <c r="BI113" i="129"/>
  <c r="BI115" i="129"/>
  <c r="F116" i="129"/>
  <c r="O116" i="129"/>
  <c r="BI117" i="129"/>
  <c r="F118" i="129"/>
  <c r="O118" i="129"/>
  <c r="O119" i="129"/>
  <c r="BI119" i="129"/>
  <c r="F120" i="129"/>
  <c r="O120" i="129"/>
  <c r="BI120" i="129"/>
  <c r="F121" i="129"/>
  <c r="O121" i="129"/>
  <c r="F122" i="129"/>
  <c r="F123" i="129"/>
  <c r="C130" i="129"/>
  <c r="E130" i="129"/>
  <c r="C131" i="129"/>
  <c r="E131" i="129"/>
  <c r="BI135" i="129"/>
  <c r="C182" i="129"/>
  <c r="J204" i="129"/>
  <c r="K204" i="129"/>
  <c r="L204" i="129"/>
  <c r="J225" i="129"/>
  <c r="K225" i="129"/>
  <c r="L225" i="129"/>
  <c r="J229" i="129"/>
  <c r="K229" i="129"/>
  <c r="L229" i="129"/>
  <c r="Q4" i="128"/>
  <c r="S4" i="128"/>
  <c r="T4" i="128"/>
  <c r="U4" i="128"/>
  <c r="R6" i="128"/>
  <c r="M14" i="128"/>
  <c r="S6" i="128"/>
  <c r="T6" i="128"/>
  <c r="U6" i="128"/>
  <c r="N11" i="128"/>
  <c r="R11" i="128"/>
  <c r="R12" i="128"/>
  <c r="N13" i="128"/>
  <c r="N14" i="128"/>
  <c r="M35" i="128"/>
  <c r="C38" i="128"/>
  <c r="C37" i="128"/>
  <c r="C39" i="128"/>
  <c r="K59" i="128"/>
  <c r="M59" i="128"/>
  <c r="J109" i="128"/>
  <c r="N68" i="128"/>
  <c r="E69" i="128"/>
  <c r="N69" i="128"/>
  <c r="E70" i="128"/>
  <c r="N70" i="128"/>
  <c r="F118" i="128"/>
  <c r="O116" i="128"/>
  <c r="N71" i="128"/>
  <c r="C73" i="128"/>
  <c r="C74" i="128"/>
  <c r="D75" i="128"/>
  <c r="BI96" i="128"/>
  <c r="BI97" i="128"/>
  <c r="BI98" i="128"/>
  <c r="BI99" i="128"/>
  <c r="BI100" i="128"/>
  <c r="BI101" i="128"/>
  <c r="BI102" i="128"/>
  <c r="BI103" i="128"/>
  <c r="BI104" i="128"/>
  <c r="BI105" i="128"/>
  <c r="BI106" i="128"/>
  <c r="J107" i="128"/>
  <c r="BI107" i="128"/>
  <c r="F108" i="128"/>
  <c r="E108" i="128"/>
  <c r="H108" i="128"/>
  <c r="J108" i="128"/>
  <c r="L108" i="128"/>
  <c r="M108" i="128"/>
  <c r="N108" i="128"/>
  <c r="BI108" i="128"/>
  <c r="E109" i="128"/>
  <c r="M109" i="128"/>
  <c r="F110" i="128"/>
  <c r="F111" i="128"/>
  <c r="H110" i="128"/>
  <c r="J110" i="128"/>
  <c r="BI110" i="128"/>
  <c r="H111" i="128"/>
  <c r="BI112" i="128"/>
  <c r="BI113" i="128"/>
  <c r="BI115" i="128"/>
  <c r="F116" i="128"/>
  <c r="C130" i="128"/>
  <c r="BI117" i="128"/>
  <c r="O118" i="128"/>
  <c r="F119" i="128"/>
  <c r="O119" i="128"/>
  <c r="BI119" i="128"/>
  <c r="F120" i="128"/>
  <c r="O120" i="128"/>
  <c r="BI120" i="128"/>
  <c r="F121" i="128"/>
  <c r="O121" i="128"/>
  <c r="F123" i="128"/>
  <c r="E130" i="128"/>
  <c r="C131" i="128"/>
  <c r="E131" i="128"/>
  <c r="BI135" i="128"/>
  <c r="C182" i="128"/>
  <c r="J204" i="128"/>
  <c r="K204" i="128"/>
  <c r="L204" i="128"/>
  <c r="N205" i="128"/>
  <c r="O205" i="128"/>
  <c r="J225" i="128"/>
  <c r="K225" i="128"/>
  <c r="L225" i="128"/>
  <c r="J229" i="128"/>
  <c r="K229" i="128"/>
  <c r="L229" i="128"/>
  <c r="Q4" i="127"/>
  <c r="T4" i="127"/>
  <c r="U4" i="127"/>
  <c r="R6" i="127"/>
  <c r="T6" i="127"/>
  <c r="U6" i="127"/>
  <c r="N11" i="127"/>
  <c r="R11" i="127"/>
  <c r="R12" i="127"/>
  <c r="N13" i="127"/>
  <c r="N14" i="127"/>
  <c r="M35" i="127"/>
  <c r="C38" i="127"/>
  <c r="C37" i="127"/>
  <c r="C39" i="127"/>
  <c r="H42" i="127"/>
  <c r="H43" i="127"/>
  <c r="O43" i="127"/>
  <c r="J43" i="127"/>
  <c r="M43" i="127"/>
  <c r="H44" i="127"/>
  <c r="O44" i="127"/>
  <c r="J44" i="127"/>
  <c r="M44" i="127"/>
  <c r="J109" i="127"/>
  <c r="N68" i="127"/>
  <c r="E69" i="127"/>
  <c r="N69" i="127"/>
  <c r="E70" i="127"/>
  <c r="N70" i="127"/>
  <c r="N71" i="127"/>
  <c r="C73" i="127"/>
  <c r="C74" i="127"/>
  <c r="D75" i="127"/>
  <c r="BI96" i="127"/>
  <c r="BI97" i="127"/>
  <c r="BI98" i="127"/>
  <c r="BI99" i="127"/>
  <c r="BI100" i="127"/>
  <c r="BI101" i="127"/>
  <c r="BI102" i="127"/>
  <c r="BI103" i="127"/>
  <c r="BI104" i="127"/>
  <c r="BI105" i="127"/>
  <c r="BI106" i="127"/>
  <c r="J107" i="127"/>
  <c r="BI107" i="127"/>
  <c r="F108" i="127"/>
  <c r="E108" i="127"/>
  <c r="H108" i="127"/>
  <c r="J108" i="127"/>
  <c r="L108" i="127"/>
  <c r="M108" i="127"/>
  <c r="N108" i="127"/>
  <c r="BI108" i="127"/>
  <c r="E109" i="127"/>
  <c r="M109" i="127"/>
  <c r="F110" i="127"/>
  <c r="F111" i="127"/>
  <c r="H110" i="127"/>
  <c r="J110" i="127"/>
  <c r="BI110" i="127"/>
  <c r="H111" i="127"/>
  <c r="BI112" i="127"/>
  <c r="BI113" i="127"/>
  <c r="BI115" i="127"/>
  <c r="F116" i="127"/>
  <c r="C130" i="127"/>
  <c r="BI117" i="127"/>
  <c r="O118" i="127"/>
  <c r="O119" i="127"/>
  <c r="BI119" i="127"/>
  <c r="F120" i="127"/>
  <c r="O120" i="127"/>
  <c r="BI120" i="127"/>
  <c r="F121" i="127"/>
  <c r="O121" i="127"/>
  <c r="F122" i="127"/>
  <c r="F123" i="127"/>
  <c r="E130" i="127"/>
  <c r="C131" i="127"/>
  <c r="E131" i="127"/>
  <c r="BI135" i="127"/>
  <c r="C182" i="127"/>
  <c r="J204" i="127"/>
  <c r="K204" i="127"/>
  <c r="L204" i="127"/>
  <c r="J225" i="127"/>
  <c r="K225" i="127"/>
  <c r="L225" i="127"/>
  <c r="J229" i="127"/>
  <c r="K229" i="127"/>
  <c r="L229" i="127"/>
  <c r="Q4" i="126"/>
  <c r="S4" i="126"/>
  <c r="T4" i="126"/>
  <c r="U4" i="126"/>
  <c r="R6" i="126"/>
  <c r="M14" i="126"/>
  <c r="S6" i="126"/>
  <c r="T6" i="126"/>
  <c r="U6" i="126"/>
  <c r="N11" i="126"/>
  <c r="R12" i="126"/>
  <c r="N13" i="126"/>
  <c r="N14" i="126"/>
  <c r="M35" i="126"/>
  <c r="C38" i="126"/>
  <c r="C37" i="126"/>
  <c r="C39" i="126"/>
  <c r="A42" i="126"/>
  <c r="H42" i="126"/>
  <c r="H43" i="126"/>
  <c r="O43" i="126"/>
  <c r="J43" i="126"/>
  <c r="M43" i="126"/>
  <c r="H44" i="126"/>
  <c r="O44" i="126"/>
  <c r="J44" i="126"/>
  <c r="M44" i="126"/>
  <c r="K45" i="126"/>
  <c r="M45" i="126"/>
  <c r="K59" i="126"/>
  <c r="M59" i="126"/>
  <c r="J109" i="126"/>
  <c r="J107" i="126"/>
  <c r="N68" i="126"/>
  <c r="E69" i="126"/>
  <c r="N69" i="126"/>
  <c r="E70" i="126"/>
  <c r="N70" i="126"/>
  <c r="N71" i="126"/>
  <c r="C73" i="126"/>
  <c r="C74" i="126"/>
  <c r="D75" i="126"/>
  <c r="BI96" i="126"/>
  <c r="BI97" i="126"/>
  <c r="BI98" i="126"/>
  <c r="BI99" i="126"/>
  <c r="BI100" i="126"/>
  <c r="BI101" i="126"/>
  <c r="BI102" i="126"/>
  <c r="BI103" i="126"/>
  <c r="BI104" i="126"/>
  <c r="BI105" i="126"/>
  <c r="BI106" i="126"/>
  <c r="BI107" i="126"/>
  <c r="F108" i="126"/>
  <c r="E108" i="126"/>
  <c r="H108" i="126"/>
  <c r="J108" i="126"/>
  <c r="L108" i="126"/>
  <c r="M108" i="126"/>
  <c r="N108" i="126"/>
  <c r="BI108" i="126"/>
  <c r="E109" i="126"/>
  <c r="M109" i="126"/>
  <c r="F110" i="126"/>
  <c r="F111" i="126"/>
  <c r="H110" i="126"/>
  <c r="J110" i="126"/>
  <c r="BI110" i="126"/>
  <c r="H111" i="126"/>
  <c r="BI112" i="126"/>
  <c r="BI113" i="126"/>
  <c r="BI115" i="126"/>
  <c r="F116" i="126"/>
  <c r="C130" i="126"/>
  <c r="BI117" i="126"/>
  <c r="O118" i="126"/>
  <c r="F119" i="126"/>
  <c r="O119" i="126"/>
  <c r="BI119" i="126"/>
  <c r="F120" i="126"/>
  <c r="O120" i="126"/>
  <c r="BI120" i="126"/>
  <c r="F121" i="126"/>
  <c r="O121" i="126"/>
  <c r="F122" i="126"/>
  <c r="F123" i="126"/>
  <c r="E130" i="126"/>
  <c r="C131" i="126"/>
  <c r="E131" i="126"/>
  <c r="BI135" i="126"/>
  <c r="C182" i="126"/>
  <c r="J204" i="126"/>
  <c r="K204" i="126"/>
  <c r="L204" i="126"/>
  <c r="J225" i="126"/>
  <c r="K225" i="126"/>
  <c r="L225" i="126"/>
  <c r="J229" i="126"/>
  <c r="K229" i="126"/>
  <c r="L229" i="126"/>
  <c r="Q4" i="125"/>
  <c r="R4" i="125"/>
  <c r="S4" i="125"/>
  <c r="U4" i="125"/>
  <c r="R6" i="125"/>
  <c r="M14" i="125"/>
  <c r="S6" i="125"/>
  <c r="T6" i="125"/>
  <c r="U6" i="125"/>
  <c r="N11" i="125"/>
  <c r="R11" i="125"/>
  <c r="R12" i="125"/>
  <c r="N13" i="125"/>
  <c r="N14" i="125"/>
  <c r="C38" i="125"/>
  <c r="C37" i="125"/>
  <c r="C39" i="125"/>
  <c r="J105" i="125"/>
  <c r="F106" i="125"/>
  <c r="F107" i="125"/>
  <c r="H106" i="125"/>
  <c r="H107" i="125"/>
  <c r="J106" i="125"/>
  <c r="N68" i="125"/>
  <c r="E69" i="125"/>
  <c r="N69" i="125"/>
  <c r="E70" i="125"/>
  <c r="N70" i="125"/>
  <c r="O112" i="125"/>
  <c r="N71" i="125"/>
  <c r="C73" i="125"/>
  <c r="C74" i="125"/>
  <c r="D75" i="125"/>
  <c r="BI92" i="125"/>
  <c r="BI93" i="125"/>
  <c r="BI94" i="125"/>
  <c r="BI95" i="125"/>
  <c r="BI96" i="125"/>
  <c r="BI97" i="125"/>
  <c r="BI98" i="125"/>
  <c r="BI99" i="125"/>
  <c r="BI100" i="125"/>
  <c r="BI101" i="125"/>
  <c r="BI102" i="125"/>
  <c r="J103" i="125"/>
  <c r="BI103" i="125"/>
  <c r="J104" i="125"/>
  <c r="N104" i="125"/>
  <c r="BI104" i="125"/>
  <c r="E105" i="125"/>
  <c r="M105" i="125"/>
  <c r="BI106" i="125"/>
  <c r="BI108" i="125"/>
  <c r="BI109" i="125"/>
  <c r="BI111" i="125"/>
  <c r="F112" i="125"/>
  <c r="C126" i="125"/>
  <c r="O113" i="125"/>
  <c r="BI113" i="125"/>
  <c r="O114" i="125"/>
  <c r="F115" i="125"/>
  <c r="O115" i="125"/>
  <c r="BI115" i="125"/>
  <c r="F116" i="125"/>
  <c r="BI116" i="125"/>
  <c r="F117" i="125"/>
  <c r="O117" i="125"/>
  <c r="F118" i="125"/>
  <c r="F119" i="125"/>
  <c r="E126" i="125"/>
  <c r="C127" i="125"/>
  <c r="E127" i="125"/>
  <c r="BI131" i="125"/>
  <c r="C178" i="125"/>
  <c r="J200" i="125"/>
  <c r="K200" i="125"/>
  <c r="L200" i="125"/>
  <c r="J221" i="125"/>
  <c r="K221" i="125"/>
  <c r="L221" i="125"/>
  <c r="J225" i="125"/>
  <c r="K225" i="125"/>
  <c r="L225" i="125"/>
  <c r="R13" i="124"/>
  <c r="R6" i="124"/>
  <c r="T6" i="124"/>
  <c r="N11" i="124"/>
  <c r="R11" i="124"/>
  <c r="N35" i="124"/>
  <c r="M35" i="124"/>
  <c r="C38" i="124"/>
  <c r="C37" i="124"/>
  <c r="C39" i="124"/>
  <c r="E42" i="124"/>
  <c r="H42" i="124"/>
  <c r="E43" i="124"/>
  <c r="H43" i="124"/>
  <c r="O43" i="124"/>
  <c r="J43" i="124"/>
  <c r="M43" i="124"/>
  <c r="E44" i="124"/>
  <c r="H44" i="124"/>
  <c r="O44" i="124"/>
  <c r="J44" i="124"/>
  <c r="M44" i="124"/>
  <c r="C58" i="124"/>
  <c r="C59" i="124"/>
  <c r="R120" i="124"/>
  <c r="Q120" i="124"/>
  <c r="H64" i="124"/>
  <c r="J64" i="124"/>
  <c r="H65" i="124"/>
  <c r="N66" i="124"/>
  <c r="J65" i="124"/>
  <c r="M65" i="124"/>
  <c r="J104" i="124"/>
  <c r="E69" i="124"/>
  <c r="E70" i="124"/>
  <c r="M104" i="124"/>
  <c r="F113" i="124"/>
  <c r="O111" i="124"/>
  <c r="C73" i="124"/>
  <c r="C74" i="124"/>
  <c r="D75" i="124"/>
  <c r="BI91" i="124"/>
  <c r="BI92" i="124"/>
  <c r="BI93" i="124"/>
  <c r="BI94" i="124"/>
  <c r="BI95" i="124"/>
  <c r="BI96" i="124"/>
  <c r="BI97" i="124"/>
  <c r="BI98" i="124"/>
  <c r="BI99" i="124"/>
  <c r="BI100" i="124"/>
  <c r="BI101" i="124"/>
  <c r="BI102" i="124"/>
  <c r="BI103" i="124"/>
  <c r="E104" i="124"/>
  <c r="F105" i="124"/>
  <c r="F106" i="124"/>
  <c r="H105" i="124"/>
  <c r="J105" i="124"/>
  <c r="BI105" i="124"/>
  <c r="H106" i="124"/>
  <c r="BI107" i="124"/>
  <c r="BI108" i="124"/>
  <c r="BI110" i="124"/>
  <c r="F111" i="124"/>
  <c r="C125" i="124"/>
  <c r="O112" i="124"/>
  <c r="BI112" i="124"/>
  <c r="F114" i="124"/>
  <c r="O114" i="124"/>
  <c r="BI114" i="124"/>
  <c r="O115" i="124"/>
  <c r="BI115" i="124"/>
  <c r="F116" i="124"/>
  <c r="O116" i="124"/>
  <c r="F117" i="124"/>
  <c r="F118" i="124"/>
  <c r="E125" i="124"/>
  <c r="C126" i="124"/>
  <c r="E126" i="124"/>
  <c r="BI130" i="124"/>
  <c r="C177" i="124"/>
  <c r="J199" i="124"/>
  <c r="K199" i="124"/>
  <c r="L199" i="124"/>
  <c r="J220" i="124"/>
  <c r="K220" i="124"/>
  <c r="L220" i="124"/>
  <c r="J224" i="124"/>
  <c r="K224" i="124"/>
  <c r="L224" i="124"/>
  <c r="M13" i="123"/>
  <c r="Q4" i="123"/>
  <c r="R4" i="123"/>
  <c r="S4" i="123"/>
  <c r="T4" i="123"/>
  <c r="U4" i="123"/>
  <c r="R6" i="123"/>
  <c r="M14" i="123"/>
  <c r="S6" i="123"/>
  <c r="T6" i="123"/>
  <c r="U6" i="123"/>
  <c r="N11" i="123"/>
  <c r="R12" i="123"/>
  <c r="N13" i="123"/>
  <c r="N14" i="123"/>
  <c r="M35" i="123"/>
  <c r="C38" i="123"/>
  <c r="C37" i="123"/>
  <c r="C39" i="123"/>
  <c r="A42" i="123"/>
  <c r="H42" i="123"/>
  <c r="H43" i="123"/>
  <c r="O43" i="123"/>
  <c r="J43" i="123"/>
  <c r="M43" i="123"/>
  <c r="H44" i="123"/>
  <c r="O44" i="123"/>
  <c r="J44" i="123"/>
  <c r="M44" i="123"/>
  <c r="K45" i="123"/>
  <c r="M45" i="123"/>
  <c r="K59" i="123"/>
  <c r="M59" i="123"/>
  <c r="H64" i="123"/>
  <c r="J64" i="123"/>
  <c r="J104" i="123"/>
  <c r="E69" i="123"/>
  <c r="E70" i="123"/>
  <c r="N70" i="123"/>
  <c r="F113" i="123"/>
  <c r="O111" i="123"/>
  <c r="N71" i="123"/>
  <c r="C73" i="123"/>
  <c r="C74" i="123"/>
  <c r="D75" i="123"/>
  <c r="BI91" i="123"/>
  <c r="BI92" i="123"/>
  <c r="BI93" i="123"/>
  <c r="BI94" i="123"/>
  <c r="BI95" i="123"/>
  <c r="BI96" i="123"/>
  <c r="BI97" i="123"/>
  <c r="BI98" i="123"/>
  <c r="BI99" i="123"/>
  <c r="BI100" i="123"/>
  <c r="BI101" i="123"/>
  <c r="BI102" i="123"/>
  <c r="BI103" i="123"/>
  <c r="E104" i="123"/>
  <c r="M104" i="123"/>
  <c r="F105" i="123"/>
  <c r="F106" i="123"/>
  <c r="H105" i="123"/>
  <c r="J105" i="123"/>
  <c r="BI105" i="123"/>
  <c r="H106" i="123"/>
  <c r="BI107" i="123"/>
  <c r="BI108" i="123"/>
  <c r="BI110" i="123"/>
  <c r="F111" i="123"/>
  <c r="C125" i="123"/>
  <c r="O112" i="123"/>
  <c r="BI112" i="123"/>
  <c r="F114" i="123"/>
  <c r="O114" i="123"/>
  <c r="BI114" i="123"/>
  <c r="O115" i="123"/>
  <c r="BI115" i="123"/>
  <c r="F116" i="123"/>
  <c r="O116" i="123"/>
  <c r="F117" i="123"/>
  <c r="F118" i="123"/>
  <c r="E125" i="123"/>
  <c r="C126" i="123"/>
  <c r="E126" i="123"/>
  <c r="BI130" i="123"/>
  <c r="C177" i="123"/>
  <c r="J199" i="123"/>
  <c r="K199" i="123"/>
  <c r="L199" i="123"/>
  <c r="J220" i="123"/>
  <c r="K220" i="123"/>
  <c r="L220" i="123"/>
  <c r="J224" i="123"/>
  <c r="K224" i="123"/>
  <c r="L224" i="123"/>
  <c r="Q4" i="122"/>
  <c r="S4" i="122"/>
  <c r="T4" i="122"/>
  <c r="U4" i="122"/>
  <c r="R6" i="122"/>
  <c r="M14" i="122"/>
  <c r="S6" i="122"/>
  <c r="T6" i="122"/>
  <c r="U6" i="122"/>
  <c r="N11" i="122"/>
  <c r="R11" i="122"/>
  <c r="R12" i="122"/>
  <c r="N13" i="122"/>
  <c r="N14" i="122"/>
  <c r="M35" i="122"/>
  <c r="C38" i="122"/>
  <c r="C37" i="122"/>
  <c r="C39" i="122"/>
  <c r="K59" i="122"/>
  <c r="M59" i="122"/>
  <c r="E69" i="122"/>
  <c r="E70" i="122"/>
  <c r="N70" i="122"/>
  <c r="N71" i="122"/>
  <c r="C73" i="122"/>
  <c r="C74" i="122"/>
  <c r="D75" i="122"/>
  <c r="BI91" i="122"/>
  <c r="BI92" i="122"/>
  <c r="BI93" i="122"/>
  <c r="BI94" i="122"/>
  <c r="BI95" i="122"/>
  <c r="BI96" i="122"/>
  <c r="BI97" i="122"/>
  <c r="BI98" i="122"/>
  <c r="BI99" i="122"/>
  <c r="BI100" i="122"/>
  <c r="BI101" i="122"/>
  <c r="BI102" i="122"/>
  <c r="J103" i="122"/>
  <c r="N103" i="122"/>
  <c r="BI103" i="122"/>
  <c r="M104" i="122"/>
  <c r="F105" i="122"/>
  <c r="F106" i="122"/>
  <c r="H105" i="122"/>
  <c r="J105" i="122"/>
  <c r="BI105" i="122"/>
  <c r="H106" i="122"/>
  <c r="BI107" i="122"/>
  <c r="BI108" i="122"/>
  <c r="BI110" i="122"/>
  <c r="F111" i="122"/>
  <c r="C125" i="122"/>
  <c r="O112" i="122"/>
  <c r="BI112" i="122"/>
  <c r="O113" i="122"/>
  <c r="F114" i="122"/>
  <c r="BI114" i="122"/>
  <c r="F115" i="122"/>
  <c r="O115" i="122"/>
  <c r="BI115" i="122"/>
  <c r="O116" i="122"/>
  <c r="F117" i="122"/>
  <c r="F118" i="122"/>
  <c r="E125" i="122"/>
  <c r="C126" i="122"/>
  <c r="E126" i="122"/>
  <c r="BI130" i="122"/>
  <c r="C177" i="122"/>
  <c r="J199" i="122"/>
  <c r="K199" i="122"/>
  <c r="L199" i="122"/>
  <c r="J220" i="122"/>
  <c r="K220" i="122"/>
  <c r="L220" i="122"/>
  <c r="J224" i="122"/>
  <c r="K224" i="122"/>
  <c r="L224" i="122"/>
  <c r="M13" i="121"/>
  <c r="Q4" i="121"/>
  <c r="R4" i="121"/>
  <c r="S4" i="121"/>
  <c r="T4" i="121"/>
  <c r="U4" i="121"/>
  <c r="R6" i="121"/>
  <c r="M14" i="121"/>
  <c r="S6" i="121"/>
  <c r="T6" i="121"/>
  <c r="U6" i="121"/>
  <c r="O9" i="121"/>
  <c r="N11" i="121"/>
  <c r="R12" i="121"/>
  <c r="N13" i="121"/>
  <c r="N14" i="121"/>
  <c r="M35" i="121"/>
  <c r="C38" i="121"/>
  <c r="C37" i="121"/>
  <c r="C39" i="121"/>
  <c r="A42" i="121"/>
  <c r="H42" i="121"/>
  <c r="H43" i="121"/>
  <c r="O43" i="121"/>
  <c r="J43" i="121"/>
  <c r="M43" i="121"/>
  <c r="H44" i="121"/>
  <c r="O44" i="121"/>
  <c r="J44" i="121"/>
  <c r="M44" i="121"/>
  <c r="K45" i="121"/>
  <c r="M45" i="121"/>
  <c r="K59" i="121"/>
  <c r="M59" i="121"/>
  <c r="E69" i="121"/>
  <c r="E70" i="121"/>
  <c r="N70" i="121"/>
  <c r="F113" i="121"/>
  <c r="O111" i="121"/>
  <c r="N71" i="121"/>
  <c r="C73" i="121"/>
  <c r="C74" i="121"/>
  <c r="D75" i="121"/>
  <c r="BI91" i="121"/>
  <c r="BI92" i="121"/>
  <c r="BI93" i="121"/>
  <c r="BI94" i="121"/>
  <c r="BI95" i="121"/>
  <c r="BI96" i="121"/>
  <c r="BI97" i="121"/>
  <c r="BI98" i="121"/>
  <c r="BI99" i="121"/>
  <c r="BI100" i="121"/>
  <c r="BI101" i="121"/>
  <c r="BI102" i="121"/>
  <c r="J103" i="121"/>
  <c r="N103" i="121"/>
  <c r="BI103" i="121"/>
  <c r="M104" i="121"/>
  <c r="F105" i="121"/>
  <c r="F106" i="121"/>
  <c r="H105" i="121"/>
  <c r="J105" i="121"/>
  <c r="BI105" i="121"/>
  <c r="H106" i="121"/>
  <c r="BI107" i="121"/>
  <c r="BI108" i="121"/>
  <c r="BI110" i="121"/>
  <c r="F111" i="121"/>
  <c r="C125" i="121"/>
  <c r="O112" i="121"/>
  <c r="BI112" i="121"/>
  <c r="O113" i="121"/>
  <c r="F114" i="121"/>
  <c r="BI114" i="121"/>
  <c r="F115" i="121"/>
  <c r="O115" i="121"/>
  <c r="BI115" i="121"/>
  <c r="F116" i="121"/>
  <c r="O116" i="121"/>
  <c r="F117" i="121"/>
  <c r="F118" i="121"/>
  <c r="E125" i="121"/>
  <c r="C126" i="121"/>
  <c r="E126" i="121"/>
  <c r="BI130" i="121"/>
  <c r="C177" i="121"/>
  <c r="J199" i="121"/>
  <c r="K199" i="121"/>
  <c r="L199" i="121"/>
  <c r="J220" i="121"/>
  <c r="K220" i="121"/>
  <c r="L220" i="121"/>
  <c r="J224" i="121"/>
  <c r="K224" i="121"/>
  <c r="L224" i="121"/>
  <c r="Q4" i="120"/>
  <c r="S4" i="120"/>
  <c r="T4" i="120"/>
  <c r="U4" i="120"/>
  <c r="R6" i="120"/>
  <c r="M14" i="120"/>
  <c r="S6" i="120"/>
  <c r="T6" i="120"/>
  <c r="U6" i="120"/>
  <c r="N11" i="120"/>
  <c r="R11" i="120"/>
  <c r="R12" i="120"/>
  <c r="N13" i="120"/>
  <c r="N14" i="120"/>
  <c r="M35" i="120"/>
  <c r="C38" i="120"/>
  <c r="C37" i="120"/>
  <c r="C39" i="120"/>
  <c r="K59" i="120"/>
  <c r="M59" i="120"/>
  <c r="J101" i="120"/>
  <c r="N68" i="120"/>
  <c r="E69" i="120"/>
  <c r="N69" i="120"/>
  <c r="E70" i="120"/>
  <c r="N70" i="120"/>
  <c r="N71" i="120"/>
  <c r="C73" i="120"/>
  <c r="C74" i="120"/>
  <c r="D75" i="120"/>
  <c r="BI88" i="120"/>
  <c r="BI89" i="120"/>
  <c r="BI90" i="120"/>
  <c r="BI91" i="120"/>
  <c r="BI92" i="120"/>
  <c r="BI93" i="120"/>
  <c r="BI94" i="120"/>
  <c r="BI95" i="120"/>
  <c r="BI96" i="120"/>
  <c r="BI97" i="120"/>
  <c r="BI98" i="120"/>
  <c r="J99" i="120"/>
  <c r="BI99" i="120"/>
  <c r="F100" i="120"/>
  <c r="E100" i="120"/>
  <c r="H100" i="120"/>
  <c r="J100" i="120"/>
  <c r="L100" i="120"/>
  <c r="M100" i="120"/>
  <c r="N100" i="120"/>
  <c r="BI100" i="120"/>
  <c r="E101" i="120"/>
  <c r="M101" i="120"/>
  <c r="F102" i="120"/>
  <c r="F103" i="120"/>
  <c r="H102" i="120"/>
  <c r="J102" i="120"/>
  <c r="BI102" i="120"/>
  <c r="H103" i="120"/>
  <c r="BI104" i="120"/>
  <c r="BI105" i="120"/>
  <c r="BI107" i="120"/>
  <c r="F108" i="120"/>
  <c r="C122" i="120"/>
  <c r="O109" i="120"/>
  <c r="BI109" i="120"/>
  <c r="O110" i="120"/>
  <c r="F111" i="120"/>
  <c r="O111" i="120"/>
  <c r="BI111" i="120"/>
  <c r="F112" i="120"/>
  <c r="O112" i="120"/>
  <c r="BI112" i="120"/>
  <c r="F113" i="120"/>
  <c r="O113" i="120"/>
  <c r="F114" i="120"/>
  <c r="F115" i="120"/>
  <c r="E122" i="120"/>
  <c r="C123" i="120"/>
  <c r="E123" i="120"/>
  <c r="BI127" i="120"/>
  <c r="C174" i="120"/>
  <c r="J196" i="120"/>
  <c r="K196" i="120"/>
  <c r="L196" i="120"/>
  <c r="J217" i="120"/>
  <c r="K217" i="120"/>
  <c r="L217" i="120"/>
  <c r="J221" i="120"/>
  <c r="K221" i="120"/>
  <c r="L221" i="120"/>
  <c r="Q4" i="119"/>
  <c r="R4" i="119"/>
  <c r="S4" i="119"/>
  <c r="T4" i="119"/>
  <c r="R6" i="119"/>
  <c r="S6" i="119"/>
  <c r="T6" i="119"/>
  <c r="R11" i="119"/>
  <c r="R12" i="119"/>
  <c r="N13" i="119"/>
  <c r="N14" i="119"/>
  <c r="M35" i="119"/>
  <c r="C38" i="119"/>
  <c r="C37" i="119"/>
  <c r="C39" i="119"/>
  <c r="H42" i="119"/>
  <c r="H43" i="119"/>
  <c r="O43" i="119"/>
  <c r="J43" i="119"/>
  <c r="M43" i="119"/>
  <c r="H44" i="119"/>
  <c r="O44" i="119"/>
  <c r="J44" i="119"/>
  <c r="M44" i="119"/>
  <c r="J101" i="119"/>
  <c r="N68" i="119"/>
  <c r="E69" i="119"/>
  <c r="N69" i="119"/>
  <c r="E70" i="119"/>
  <c r="N70" i="119"/>
  <c r="F110" i="119"/>
  <c r="N71" i="119"/>
  <c r="C73" i="119"/>
  <c r="C74" i="119"/>
  <c r="D75" i="119"/>
  <c r="BI88" i="119"/>
  <c r="BI89" i="119"/>
  <c r="BI90" i="119"/>
  <c r="BI91" i="119"/>
  <c r="BI92" i="119"/>
  <c r="BI93" i="119"/>
  <c r="BI94" i="119"/>
  <c r="BI95" i="119"/>
  <c r="BI96" i="119"/>
  <c r="BI97" i="119"/>
  <c r="BI98" i="119"/>
  <c r="J99" i="119"/>
  <c r="BI99" i="119"/>
  <c r="F100" i="119"/>
  <c r="E100" i="119"/>
  <c r="H100" i="119"/>
  <c r="J100" i="119"/>
  <c r="L100" i="119"/>
  <c r="M100" i="119"/>
  <c r="N100" i="119"/>
  <c r="BI100" i="119"/>
  <c r="E101" i="119"/>
  <c r="M101" i="119"/>
  <c r="F102" i="119"/>
  <c r="F103" i="119"/>
  <c r="H102" i="119"/>
  <c r="J102" i="119"/>
  <c r="BI102" i="119"/>
  <c r="H103" i="119"/>
  <c r="BI104" i="119"/>
  <c r="BI105" i="119"/>
  <c r="BI107" i="119"/>
  <c r="F108" i="119"/>
  <c r="C122" i="119"/>
  <c r="O109" i="119"/>
  <c r="BI109" i="119"/>
  <c r="O110" i="119"/>
  <c r="F111" i="119"/>
  <c r="O111" i="119"/>
  <c r="BI111" i="119"/>
  <c r="F112" i="119"/>
  <c r="O112" i="119"/>
  <c r="BI112" i="119"/>
  <c r="F113" i="119"/>
  <c r="O113" i="119"/>
  <c r="F114" i="119"/>
  <c r="F115" i="119"/>
  <c r="E122" i="119"/>
  <c r="C123" i="119"/>
  <c r="E123" i="119"/>
  <c r="BI127" i="119"/>
  <c r="C174" i="119"/>
  <c r="J196" i="119"/>
  <c r="K196" i="119"/>
  <c r="L196" i="119"/>
  <c r="J217" i="119"/>
  <c r="K217" i="119"/>
  <c r="L217" i="119"/>
  <c r="J221" i="119"/>
  <c r="K221" i="119"/>
  <c r="L221" i="119"/>
  <c r="Q4" i="118"/>
  <c r="R4" i="118"/>
  <c r="T4" i="118"/>
  <c r="U4" i="118"/>
  <c r="R6" i="118"/>
  <c r="T6" i="118"/>
  <c r="U6" i="118"/>
  <c r="N11" i="118"/>
  <c r="R11" i="118"/>
  <c r="R12" i="118"/>
  <c r="N13" i="118"/>
  <c r="R13" i="118"/>
  <c r="N14" i="118"/>
  <c r="M35" i="118"/>
  <c r="N35" i="118"/>
  <c r="C38" i="118"/>
  <c r="C37" i="118"/>
  <c r="C39" i="118"/>
  <c r="E42" i="118"/>
  <c r="H42" i="118"/>
  <c r="E43" i="118"/>
  <c r="H43" i="118"/>
  <c r="O43" i="118"/>
  <c r="J43" i="118"/>
  <c r="M43" i="118"/>
  <c r="E44" i="118"/>
  <c r="H44" i="118"/>
  <c r="O44" i="118"/>
  <c r="J44" i="118"/>
  <c r="M44" i="118"/>
  <c r="N68" i="118"/>
  <c r="E69" i="118"/>
  <c r="N69" i="118"/>
  <c r="E70" i="118"/>
  <c r="N70" i="118"/>
  <c r="F109" i="118"/>
  <c r="N71" i="118"/>
  <c r="C73" i="118"/>
  <c r="C74" i="118"/>
  <c r="D75" i="118"/>
  <c r="BI87" i="118"/>
  <c r="BI88" i="118"/>
  <c r="BI89" i="118"/>
  <c r="BI90" i="118"/>
  <c r="BI91" i="118"/>
  <c r="BI92" i="118"/>
  <c r="BI93" i="118"/>
  <c r="BI94" i="118"/>
  <c r="BI95" i="118"/>
  <c r="BI96" i="118"/>
  <c r="BI97" i="118"/>
  <c r="J98" i="118"/>
  <c r="BI98" i="118"/>
  <c r="F99" i="118"/>
  <c r="E99" i="118"/>
  <c r="H99" i="118"/>
  <c r="J99" i="118"/>
  <c r="L99" i="118"/>
  <c r="M99" i="118"/>
  <c r="N99" i="118"/>
  <c r="BI99" i="118"/>
  <c r="E100" i="118"/>
  <c r="J100" i="118"/>
  <c r="M100" i="118"/>
  <c r="F101" i="118"/>
  <c r="F102" i="118"/>
  <c r="H101" i="118"/>
  <c r="J101" i="118"/>
  <c r="BI101" i="118"/>
  <c r="H102" i="118"/>
  <c r="BI103" i="118"/>
  <c r="BI104" i="118"/>
  <c r="BI106" i="118"/>
  <c r="C121" i="118"/>
  <c r="E121" i="118"/>
  <c r="O108" i="118"/>
  <c r="BI108" i="118"/>
  <c r="O109" i="118"/>
  <c r="F110" i="118"/>
  <c r="O110" i="118"/>
  <c r="BI110" i="118"/>
  <c r="F111" i="118"/>
  <c r="O111" i="118"/>
  <c r="BI111" i="118"/>
  <c r="F112" i="118"/>
  <c r="O112" i="118"/>
  <c r="F113" i="118"/>
  <c r="F114" i="118"/>
  <c r="Q116" i="118"/>
  <c r="R116" i="118"/>
  <c r="C122" i="118"/>
  <c r="E122" i="118"/>
  <c r="BI126" i="118"/>
  <c r="C173" i="118"/>
  <c r="J195" i="118"/>
  <c r="K195" i="118"/>
  <c r="L195" i="118"/>
  <c r="J216" i="118"/>
  <c r="K216" i="118"/>
  <c r="L216" i="118"/>
  <c r="J220" i="118"/>
  <c r="K220" i="118"/>
  <c r="L220" i="118"/>
  <c r="R4" i="117"/>
  <c r="S4" i="117"/>
  <c r="T4" i="117"/>
  <c r="U4" i="117"/>
  <c r="R6" i="117"/>
  <c r="M14" i="117"/>
  <c r="S6" i="117"/>
  <c r="T6" i="117"/>
  <c r="U6" i="117"/>
  <c r="N11" i="117"/>
  <c r="R11" i="117"/>
  <c r="R12" i="117"/>
  <c r="N13" i="117"/>
  <c r="N14" i="117"/>
  <c r="M35" i="117"/>
  <c r="C38" i="117"/>
  <c r="C37" i="117"/>
  <c r="C39" i="117"/>
  <c r="H42" i="117"/>
  <c r="H43" i="117"/>
  <c r="O43" i="117"/>
  <c r="J43" i="117"/>
  <c r="M43" i="117"/>
  <c r="H44" i="117"/>
  <c r="O44" i="117"/>
  <c r="J44" i="117"/>
  <c r="M44" i="117"/>
  <c r="J100" i="117"/>
  <c r="J99" i="117"/>
  <c r="N68" i="117"/>
  <c r="E69" i="117"/>
  <c r="N69" i="117"/>
  <c r="E70" i="117"/>
  <c r="M100" i="117"/>
  <c r="N99" i="117"/>
  <c r="N70" i="117"/>
  <c r="F109" i="117"/>
  <c r="N71" i="117"/>
  <c r="C73" i="117"/>
  <c r="C74" i="117"/>
  <c r="D75" i="117"/>
  <c r="BI87" i="117"/>
  <c r="BI88" i="117"/>
  <c r="BI89" i="117"/>
  <c r="BI90" i="117"/>
  <c r="BI91" i="117"/>
  <c r="BI92" i="117"/>
  <c r="BI93" i="117"/>
  <c r="BI94" i="117"/>
  <c r="BI95" i="117"/>
  <c r="BI96" i="117"/>
  <c r="BI97" i="117"/>
  <c r="J98" i="117"/>
  <c r="BI98" i="117"/>
  <c r="F99" i="117"/>
  <c r="E99" i="117"/>
  <c r="H99" i="117"/>
  <c r="L99" i="117"/>
  <c r="M99" i="117"/>
  <c r="BI99" i="117"/>
  <c r="E100" i="117"/>
  <c r="F101" i="117"/>
  <c r="F102" i="117"/>
  <c r="H101" i="117"/>
  <c r="J101" i="117"/>
  <c r="BI101" i="117"/>
  <c r="H102" i="117"/>
  <c r="BI103" i="117"/>
  <c r="BI104" i="117"/>
  <c r="BI106" i="117"/>
  <c r="C121" i="117"/>
  <c r="O108" i="117"/>
  <c r="BI108" i="117"/>
  <c r="O109" i="117"/>
  <c r="F110" i="117"/>
  <c r="O110" i="117"/>
  <c r="BI110" i="117"/>
  <c r="F111" i="117"/>
  <c r="O111" i="117"/>
  <c r="BI111" i="117"/>
  <c r="F112" i="117"/>
  <c r="O112" i="117"/>
  <c r="F113" i="117"/>
  <c r="F114" i="117"/>
  <c r="E121" i="117"/>
  <c r="C122" i="117"/>
  <c r="E122" i="117"/>
  <c r="BI126" i="117"/>
  <c r="C173" i="117"/>
  <c r="J195" i="117"/>
  <c r="K195" i="117"/>
  <c r="L195" i="117"/>
  <c r="J216" i="117"/>
  <c r="K216" i="117"/>
  <c r="L216" i="117"/>
  <c r="J220" i="117"/>
  <c r="K220" i="117"/>
  <c r="L220" i="117"/>
  <c r="R6" i="116"/>
  <c r="T6" i="116"/>
  <c r="N11" i="116"/>
  <c r="R11" i="116"/>
  <c r="M35" i="116"/>
  <c r="C38" i="116"/>
  <c r="C37" i="116"/>
  <c r="C39" i="116"/>
  <c r="H42" i="116"/>
  <c r="H43" i="116"/>
  <c r="O43" i="116"/>
  <c r="J43" i="116"/>
  <c r="M43" i="116"/>
  <c r="H44" i="116"/>
  <c r="O44" i="116"/>
  <c r="J44" i="116"/>
  <c r="M44" i="116"/>
  <c r="K59" i="116"/>
  <c r="M59" i="116"/>
  <c r="J68" i="116"/>
  <c r="J100" i="116"/>
  <c r="E69" i="116"/>
  <c r="E70" i="116"/>
  <c r="M100" i="116"/>
  <c r="N99" i="116"/>
  <c r="N70" i="116"/>
  <c r="F109" i="116"/>
  <c r="N71" i="116"/>
  <c r="C73" i="116"/>
  <c r="C74" i="116"/>
  <c r="D75" i="116"/>
  <c r="BI87" i="116"/>
  <c r="BI88" i="116"/>
  <c r="BI89" i="116"/>
  <c r="BI90" i="116"/>
  <c r="BI91" i="116"/>
  <c r="BI92" i="116"/>
  <c r="BI93" i="116"/>
  <c r="BI94" i="116"/>
  <c r="BI95" i="116"/>
  <c r="BI96" i="116"/>
  <c r="BI97" i="116"/>
  <c r="J98" i="116"/>
  <c r="BI98" i="116"/>
  <c r="F99" i="116"/>
  <c r="E99" i="116"/>
  <c r="H99" i="116"/>
  <c r="L99" i="116"/>
  <c r="M99" i="116"/>
  <c r="BI99" i="116"/>
  <c r="E100" i="116"/>
  <c r="F101" i="116"/>
  <c r="F102" i="116"/>
  <c r="H101" i="116"/>
  <c r="J101" i="116"/>
  <c r="BI101" i="116"/>
  <c r="H102" i="116"/>
  <c r="BI103" i="116"/>
  <c r="BI104" i="116"/>
  <c r="BI106" i="116"/>
  <c r="C121" i="116"/>
  <c r="O108" i="116"/>
  <c r="BI108" i="116"/>
  <c r="O109" i="116"/>
  <c r="F110" i="116"/>
  <c r="O110" i="116"/>
  <c r="BI110" i="116"/>
  <c r="F111" i="116"/>
  <c r="O111" i="116"/>
  <c r="BI111" i="116"/>
  <c r="F112" i="116"/>
  <c r="O112" i="116"/>
  <c r="F113" i="116"/>
  <c r="F114" i="116"/>
  <c r="E121" i="116"/>
  <c r="C122" i="116"/>
  <c r="E122" i="116"/>
  <c r="BI126" i="116"/>
  <c r="C173" i="116"/>
  <c r="J195" i="116"/>
  <c r="K195" i="116"/>
  <c r="L195" i="116"/>
  <c r="J216" i="116"/>
  <c r="K216" i="116"/>
  <c r="L216" i="116"/>
  <c r="J220" i="116"/>
  <c r="K220" i="116"/>
  <c r="L220" i="116"/>
  <c r="R6" i="115"/>
  <c r="T6" i="115"/>
  <c r="R12" i="115"/>
  <c r="R13" i="115"/>
  <c r="F45" i="115"/>
  <c r="M35" i="115"/>
  <c r="N35" i="115"/>
  <c r="C38" i="115"/>
  <c r="C37" i="115"/>
  <c r="C51" i="115"/>
  <c r="C45" i="115"/>
  <c r="C39" i="115"/>
  <c r="A42" i="115"/>
  <c r="E42" i="115"/>
  <c r="H42" i="115"/>
  <c r="A43" i="115"/>
  <c r="E43" i="115"/>
  <c r="H43" i="115"/>
  <c r="O43" i="115"/>
  <c r="J43" i="115"/>
  <c r="M43" i="115"/>
  <c r="E44" i="115"/>
  <c r="H44" i="115"/>
  <c r="O44" i="115"/>
  <c r="J44" i="115"/>
  <c r="M44" i="115"/>
  <c r="K45" i="115"/>
  <c r="M45" i="115"/>
  <c r="A52" i="115"/>
  <c r="C58" i="115"/>
  <c r="C59" i="115"/>
  <c r="F59" i="115"/>
  <c r="K59" i="115"/>
  <c r="M59" i="115"/>
  <c r="J98" i="115"/>
  <c r="N68" i="115"/>
  <c r="E69" i="115"/>
  <c r="N69" i="115"/>
  <c r="E70" i="115"/>
  <c r="N70" i="115"/>
  <c r="N71" i="115"/>
  <c r="C73" i="115"/>
  <c r="C74" i="115"/>
  <c r="D75" i="115"/>
  <c r="BI87" i="115"/>
  <c r="BI88" i="115"/>
  <c r="BI89" i="115"/>
  <c r="BI90" i="115"/>
  <c r="BI91" i="115"/>
  <c r="BI92" i="115"/>
  <c r="BI93" i="115"/>
  <c r="BI94" i="115"/>
  <c r="BI95" i="115"/>
  <c r="BI96" i="115"/>
  <c r="BI97" i="115"/>
  <c r="BI98" i="115"/>
  <c r="F99" i="115"/>
  <c r="E99" i="115"/>
  <c r="H99" i="115"/>
  <c r="J99" i="115"/>
  <c r="L99" i="115"/>
  <c r="M99" i="115"/>
  <c r="N99" i="115"/>
  <c r="BI99" i="115"/>
  <c r="E100" i="115"/>
  <c r="J100" i="115"/>
  <c r="J101" i="115"/>
  <c r="BI101" i="115"/>
  <c r="BI103" i="115"/>
  <c r="BI104" i="115"/>
  <c r="BI106" i="115"/>
  <c r="O108" i="115"/>
  <c r="BI108" i="115"/>
  <c r="O109" i="115"/>
  <c r="F110" i="115"/>
  <c r="O110" i="115"/>
  <c r="BI110" i="115"/>
  <c r="O111" i="115"/>
  <c r="BI111" i="115"/>
  <c r="O112" i="115"/>
  <c r="F113" i="115"/>
  <c r="Q116" i="115"/>
  <c r="R116" i="115"/>
  <c r="C121" i="115"/>
  <c r="E121" i="115"/>
  <c r="C122" i="115"/>
  <c r="E122" i="115"/>
  <c r="BI126" i="115"/>
  <c r="C173" i="115"/>
  <c r="J195" i="115"/>
  <c r="K195" i="115"/>
  <c r="L195" i="115"/>
  <c r="J216" i="115"/>
  <c r="K216" i="115"/>
  <c r="L216" i="115"/>
  <c r="J220" i="115"/>
  <c r="K220" i="115"/>
  <c r="L220" i="115"/>
  <c r="D93" i="114"/>
  <c r="J224" i="114"/>
  <c r="K224" i="114"/>
  <c r="L224" i="114"/>
  <c r="J245" i="114"/>
  <c r="K245" i="114"/>
  <c r="L245" i="114"/>
  <c r="J249" i="114"/>
  <c r="K249" i="114"/>
  <c r="L249" i="114"/>
  <c r="T6" i="114"/>
  <c r="R6" i="114"/>
  <c r="C39" i="114"/>
  <c r="BI125" i="114"/>
  <c r="BI132" i="114"/>
  <c r="BI155" i="114"/>
  <c r="BI140" i="114"/>
  <c r="BI139" i="114"/>
  <c r="BI137" i="114"/>
  <c r="BI135" i="114"/>
  <c r="BI133" i="114"/>
  <c r="BI130" i="114"/>
  <c r="BI128" i="114"/>
  <c r="BI127" i="114"/>
  <c r="BI126" i="114"/>
  <c r="BI124" i="114"/>
  <c r="BI123" i="114"/>
  <c r="BI122" i="114"/>
  <c r="BI121" i="114"/>
  <c r="BI120" i="114"/>
  <c r="BI119" i="114"/>
  <c r="BI118" i="114"/>
  <c r="BI117" i="114"/>
  <c r="BI116" i="114"/>
  <c r="AC11" i="114"/>
  <c r="AD11" i="114"/>
  <c r="E129" i="114"/>
  <c r="J129" i="114"/>
  <c r="F130" i="114"/>
  <c r="F131" i="114"/>
  <c r="H130" i="114"/>
  <c r="H131" i="114"/>
  <c r="J130" i="114"/>
  <c r="H9" i="134"/>
  <c r="Q9" i="114"/>
  <c r="R9" i="114"/>
  <c r="S9" i="114"/>
  <c r="AG11" i="114"/>
  <c r="AP11" i="114"/>
  <c r="AC12" i="114"/>
  <c r="AC13" i="114"/>
  <c r="AP13" i="114"/>
  <c r="AC14" i="114"/>
  <c r="AP14" i="114"/>
  <c r="AC15" i="114"/>
  <c r="AP15" i="114"/>
  <c r="AC16" i="114"/>
  <c r="AP16" i="114"/>
  <c r="AC17" i="114"/>
  <c r="AP17" i="114"/>
  <c r="AC18" i="114"/>
  <c r="AP18" i="114"/>
  <c r="AC19" i="114"/>
  <c r="AP19" i="114"/>
  <c r="AC20" i="114"/>
  <c r="AP20" i="114"/>
  <c r="M129" i="114"/>
  <c r="U98" i="114"/>
  <c r="U99" i="114"/>
  <c r="U100" i="114"/>
  <c r="M54" i="132"/>
  <c r="M55" i="132"/>
  <c r="M56" i="132"/>
  <c r="M57" i="132"/>
  <c r="I40" i="133"/>
  <c r="C83" i="133"/>
  <c r="H10" i="134"/>
  <c r="H31" i="134"/>
  <c r="H32" i="134"/>
  <c r="H33" i="134"/>
  <c r="H35" i="134"/>
  <c r="H36" i="134"/>
  <c r="N75" i="114"/>
  <c r="K36" i="134"/>
  <c r="N76" i="114"/>
  <c r="M36" i="134"/>
  <c r="H37" i="134"/>
  <c r="C72" i="134"/>
  <c r="C73" i="134"/>
  <c r="C75" i="134"/>
  <c r="AB18" i="114"/>
  <c r="AD18" i="114"/>
  <c r="AG18" i="114"/>
  <c r="H18" i="133"/>
  <c r="E49" i="128"/>
  <c r="E49" i="122"/>
  <c r="E49" i="126"/>
  <c r="E49" i="123"/>
  <c r="E49" i="121"/>
  <c r="E49" i="115"/>
  <c r="AG15" i="114"/>
  <c r="AG16" i="114"/>
  <c r="AG17" i="114"/>
  <c r="H43" i="114"/>
  <c r="O43" i="114"/>
  <c r="J43" i="114"/>
  <c r="M43" i="114"/>
  <c r="H44" i="114"/>
  <c r="O44" i="114"/>
  <c r="J44" i="114"/>
  <c r="M44" i="114"/>
  <c r="H42" i="114"/>
  <c r="C28" i="133"/>
  <c r="F29" i="133"/>
  <c r="J29" i="133"/>
  <c r="M29" i="133"/>
  <c r="F30" i="133"/>
  <c r="J30" i="133"/>
  <c r="M30" i="133"/>
  <c r="F31" i="133"/>
  <c r="J31" i="133"/>
  <c r="M31" i="133"/>
  <c r="F46" i="129"/>
  <c r="A45" i="129"/>
  <c r="A44" i="129"/>
  <c r="A42" i="129"/>
  <c r="F45" i="129"/>
  <c r="J51" i="129"/>
  <c r="E32" i="129"/>
  <c r="F32" i="129"/>
  <c r="E57" i="129"/>
  <c r="F57" i="129"/>
  <c r="H60" i="129"/>
  <c r="O59" i="129"/>
  <c r="O60" i="129"/>
  <c r="F137" i="129"/>
  <c r="N33" i="129"/>
  <c r="N34" i="129"/>
  <c r="D137" i="129"/>
  <c r="O67" i="129"/>
  <c r="I67" i="129"/>
  <c r="F91" i="129"/>
  <c r="F104" i="114"/>
  <c r="E50" i="130"/>
  <c r="E51" i="130"/>
  <c r="E45" i="130"/>
  <c r="E32" i="130"/>
  <c r="F32" i="130"/>
  <c r="F50" i="130"/>
  <c r="H51" i="130"/>
  <c r="E57" i="130"/>
  <c r="F57" i="130"/>
  <c r="H60" i="130"/>
  <c r="O59" i="130"/>
  <c r="O60" i="130"/>
  <c r="F137" i="130"/>
  <c r="N33" i="130"/>
  <c r="N34" i="130"/>
  <c r="D137" i="130"/>
  <c r="O67" i="130"/>
  <c r="I67" i="130"/>
  <c r="F91" i="130"/>
  <c r="F105" i="114"/>
  <c r="O33" i="128"/>
  <c r="O34" i="128"/>
  <c r="E137" i="128"/>
  <c r="N33" i="128"/>
  <c r="N34" i="128"/>
  <c r="D137" i="128"/>
  <c r="O67" i="128"/>
  <c r="I67" i="128"/>
  <c r="F90" i="128"/>
  <c r="F103" i="114"/>
  <c r="M109" i="114"/>
  <c r="A109" i="114"/>
  <c r="C90" i="114"/>
  <c r="G55" i="134"/>
  <c r="B90" i="114"/>
  <c r="D55" i="134"/>
  <c r="C55" i="134"/>
  <c r="F90" i="114"/>
  <c r="J55" i="134"/>
  <c r="A90" i="114"/>
  <c r="J90" i="114"/>
  <c r="N55" i="134"/>
  <c r="I90" i="114"/>
  <c r="L55" i="134"/>
  <c r="E32" i="123"/>
  <c r="F32" i="123"/>
  <c r="N33" i="123"/>
  <c r="N34" i="123"/>
  <c r="D132" i="123"/>
  <c r="O67" i="123"/>
  <c r="I67" i="123"/>
  <c r="F85" i="123"/>
  <c r="F109" i="114"/>
  <c r="H90" i="114"/>
  <c r="E50" i="119"/>
  <c r="E51" i="119"/>
  <c r="E45" i="119"/>
  <c r="E32" i="119"/>
  <c r="F32" i="119"/>
  <c r="F38" i="119"/>
  <c r="F37" i="119"/>
  <c r="F50" i="119"/>
  <c r="F46" i="119"/>
  <c r="A45" i="119"/>
  <c r="A44" i="119"/>
  <c r="F45" i="119"/>
  <c r="F52" i="119"/>
  <c r="E57" i="119"/>
  <c r="E58" i="119"/>
  <c r="E59" i="119"/>
  <c r="F57" i="119"/>
  <c r="A59" i="119"/>
  <c r="A52" i="119"/>
  <c r="F59" i="119"/>
  <c r="F61" i="119"/>
  <c r="H61" i="119"/>
  <c r="I125" i="119"/>
  <c r="X101" i="114"/>
  <c r="L26" i="134"/>
  <c r="Z101" i="114"/>
  <c r="Z92" i="114"/>
  <c r="Y101" i="114"/>
  <c r="E41" i="132"/>
  <c r="C77" i="133"/>
  <c r="F26" i="134"/>
  <c r="AG21" i="114"/>
  <c r="J82" i="116"/>
  <c r="J81" i="116"/>
  <c r="J80" i="116"/>
  <c r="J78" i="116"/>
  <c r="I99" i="114"/>
  <c r="R4" i="116"/>
  <c r="S4" i="116"/>
  <c r="T4" i="116"/>
  <c r="U4" i="116"/>
  <c r="O14" i="116"/>
  <c r="M14" i="116"/>
  <c r="S6" i="116"/>
  <c r="U6" i="116"/>
  <c r="N13" i="116"/>
  <c r="N14" i="116"/>
  <c r="E39" i="116"/>
  <c r="D52" i="116"/>
  <c r="O61" i="129"/>
  <c r="Z160" i="114"/>
  <c r="AE160" i="114"/>
  <c r="Z159" i="114"/>
  <c r="AE159" i="114"/>
  <c r="N20" i="135"/>
  <c r="M20" i="135"/>
  <c r="E50" i="127"/>
  <c r="E51" i="127"/>
  <c r="E45" i="127"/>
  <c r="E50" i="118"/>
  <c r="E51" i="118"/>
  <c r="E45" i="118"/>
  <c r="E50" i="117"/>
  <c r="E51" i="117"/>
  <c r="E45" i="117"/>
  <c r="G46" i="129"/>
  <c r="G46" i="116"/>
  <c r="A44" i="114"/>
  <c r="A43" i="114"/>
  <c r="A42" i="114"/>
  <c r="AR15" i="114"/>
  <c r="AR12" i="114"/>
  <c r="AR16" i="114"/>
  <c r="AR13" i="114"/>
  <c r="AR20" i="114"/>
  <c r="AR17" i="114"/>
  <c r="AI22" i="114"/>
  <c r="AR18" i="114"/>
  <c r="H51" i="119"/>
  <c r="H60" i="119"/>
  <c r="O59" i="119"/>
  <c r="O60" i="119"/>
  <c r="F129" i="119"/>
  <c r="N33" i="119"/>
  <c r="N34" i="119"/>
  <c r="D129" i="119"/>
  <c r="O67" i="119"/>
  <c r="I67" i="119"/>
  <c r="F81" i="119"/>
  <c r="F96" i="114"/>
  <c r="E32" i="118"/>
  <c r="F32" i="118"/>
  <c r="F50" i="118"/>
  <c r="H51" i="118"/>
  <c r="E57" i="118"/>
  <c r="F57" i="118"/>
  <c r="H60" i="118"/>
  <c r="O59" i="118"/>
  <c r="O60" i="118"/>
  <c r="F128" i="118"/>
  <c r="N33" i="118"/>
  <c r="N34" i="118"/>
  <c r="D128" i="118"/>
  <c r="O67" i="118"/>
  <c r="I67" i="118"/>
  <c r="F80" i="118"/>
  <c r="F97" i="114"/>
  <c r="H88" i="126"/>
  <c r="O76" i="126"/>
  <c r="O75" i="126"/>
  <c r="M75" i="126"/>
  <c r="M88" i="126"/>
  <c r="N88" i="126"/>
  <c r="L101" i="114"/>
  <c r="M101" i="114"/>
  <c r="A101" i="114"/>
  <c r="C82" i="114"/>
  <c r="G47" i="134"/>
  <c r="B82" i="114"/>
  <c r="D47" i="134"/>
  <c r="C47" i="134"/>
  <c r="I88" i="126"/>
  <c r="H101" i="114"/>
  <c r="G101" i="114"/>
  <c r="N35" i="126"/>
  <c r="K101" i="114"/>
  <c r="M91" i="126"/>
  <c r="M90" i="126"/>
  <c r="M89" i="126"/>
  <c r="H91" i="126"/>
  <c r="N91" i="126"/>
  <c r="H90" i="126"/>
  <c r="N90" i="126"/>
  <c r="I90" i="126"/>
  <c r="H89" i="126"/>
  <c r="N89" i="126"/>
  <c r="I89" i="126"/>
  <c r="M87" i="126"/>
  <c r="H87" i="126"/>
  <c r="N87" i="126"/>
  <c r="M86" i="126"/>
  <c r="H86" i="126"/>
  <c r="N86" i="126"/>
  <c r="M85" i="126"/>
  <c r="H85" i="126"/>
  <c r="N85" i="126"/>
  <c r="I85" i="126"/>
  <c r="M84" i="126"/>
  <c r="H84" i="126"/>
  <c r="N84" i="126"/>
  <c r="I84" i="126"/>
  <c r="M83" i="126"/>
  <c r="H83" i="126"/>
  <c r="N83" i="126"/>
  <c r="I83" i="126"/>
  <c r="M82" i="126"/>
  <c r="H82" i="126"/>
  <c r="N82" i="126"/>
  <c r="I82" i="126"/>
  <c r="M81" i="126"/>
  <c r="H81" i="126"/>
  <c r="N81" i="126"/>
  <c r="I81" i="126"/>
  <c r="M80" i="126"/>
  <c r="H80" i="126"/>
  <c r="N80" i="126"/>
  <c r="I80" i="126"/>
  <c r="M79" i="126"/>
  <c r="H79" i="126"/>
  <c r="N79" i="126"/>
  <c r="M78" i="126"/>
  <c r="H78" i="126"/>
  <c r="N78" i="126"/>
  <c r="I78" i="126"/>
  <c r="H65" i="126"/>
  <c r="N66" i="126"/>
  <c r="J65" i="126"/>
  <c r="M65" i="126"/>
  <c r="Q126" i="128"/>
  <c r="R127" i="128"/>
  <c r="H64" i="126"/>
  <c r="J64" i="126"/>
  <c r="F52" i="126"/>
  <c r="F61" i="126"/>
  <c r="Q126" i="126"/>
  <c r="N33" i="126"/>
  <c r="N34" i="126"/>
  <c r="D137" i="126"/>
  <c r="O67" i="126"/>
  <c r="I67" i="126"/>
  <c r="F88" i="126"/>
  <c r="F101" i="114"/>
  <c r="A82" i="114"/>
  <c r="H82" i="114"/>
  <c r="F82" i="114"/>
  <c r="J47" i="134"/>
  <c r="I82" i="114"/>
  <c r="L47" i="134"/>
  <c r="J82" i="114"/>
  <c r="N47" i="134"/>
  <c r="AB19" i="114"/>
  <c r="AD19" i="114"/>
  <c r="AG19" i="114"/>
  <c r="AB20" i="114"/>
  <c r="AD20" i="114"/>
  <c r="AG20" i="114"/>
  <c r="N35" i="130"/>
  <c r="N35" i="129"/>
  <c r="E32" i="127"/>
  <c r="F32" i="127"/>
  <c r="N35" i="127"/>
  <c r="F38" i="130"/>
  <c r="E38" i="130"/>
  <c r="E37" i="130"/>
  <c r="F37" i="130"/>
  <c r="R127" i="130"/>
  <c r="F38" i="129"/>
  <c r="E38" i="129"/>
  <c r="E37" i="129"/>
  <c r="F37" i="129"/>
  <c r="R127" i="129"/>
  <c r="F38" i="127"/>
  <c r="F37" i="127"/>
  <c r="R127" i="127"/>
  <c r="F50" i="127"/>
  <c r="F46" i="127"/>
  <c r="A45" i="127"/>
  <c r="A44" i="127"/>
  <c r="F45" i="127"/>
  <c r="F52" i="127"/>
  <c r="E57" i="127"/>
  <c r="E58" i="127"/>
  <c r="E59" i="127"/>
  <c r="F57" i="127"/>
  <c r="A59" i="127"/>
  <c r="A52" i="127"/>
  <c r="F59" i="127"/>
  <c r="F61" i="127"/>
  <c r="Q126" i="127"/>
  <c r="C65" i="127"/>
  <c r="C64" i="127"/>
  <c r="F72" i="127"/>
  <c r="H89" i="127"/>
  <c r="G102" i="114"/>
  <c r="F52" i="129"/>
  <c r="F61" i="129"/>
  <c r="Q126" i="129"/>
  <c r="C65" i="129"/>
  <c r="C64" i="129"/>
  <c r="F72" i="129"/>
  <c r="H91" i="129"/>
  <c r="G104" i="114"/>
  <c r="F46" i="130"/>
  <c r="A45" i="130"/>
  <c r="A44" i="130"/>
  <c r="A42" i="130"/>
  <c r="F45" i="130"/>
  <c r="F52" i="130"/>
  <c r="E58" i="130"/>
  <c r="E59" i="130"/>
  <c r="A59" i="130"/>
  <c r="A52" i="130"/>
  <c r="F59" i="130"/>
  <c r="F61" i="130"/>
  <c r="Q126" i="130"/>
  <c r="C65" i="130"/>
  <c r="C64" i="130"/>
  <c r="F72" i="130"/>
  <c r="H91" i="130"/>
  <c r="G105" i="114"/>
  <c r="H64" i="127"/>
  <c r="J64" i="127"/>
  <c r="H65" i="127"/>
  <c r="N66" i="127"/>
  <c r="J65" i="127"/>
  <c r="M65" i="127"/>
  <c r="O76" i="127"/>
  <c r="O75" i="127"/>
  <c r="H64" i="129"/>
  <c r="J64" i="129"/>
  <c r="H65" i="129"/>
  <c r="N66" i="129"/>
  <c r="J65" i="129"/>
  <c r="M65" i="129"/>
  <c r="O76" i="129"/>
  <c r="O75" i="129"/>
  <c r="H64" i="130"/>
  <c r="J64" i="130"/>
  <c r="H65" i="130"/>
  <c r="N66" i="130"/>
  <c r="J65" i="130"/>
  <c r="M65" i="130"/>
  <c r="O76" i="130"/>
  <c r="O75" i="130"/>
  <c r="T158" i="114"/>
  <c r="X173" i="114"/>
  <c r="AC173" i="114"/>
  <c r="X172" i="114"/>
  <c r="AC172" i="114"/>
  <c r="X171" i="114"/>
  <c r="AC171" i="114"/>
  <c r="W173" i="114"/>
  <c r="AB173" i="114"/>
  <c r="W172" i="114"/>
  <c r="AB172" i="114"/>
  <c r="W171" i="114"/>
  <c r="AB171" i="114"/>
  <c r="W170" i="114"/>
  <c r="AB170" i="114"/>
  <c r="W169" i="114"/>
  <c r="AB169" i="114"/>
  <c r="W168" i="114"/>
  <c r="AB168" i="114"/>
  <c r="W167" i="114"/>
  <c r="AB167" i="114"/>
  <c r="R166" i="114"/>
  <c r="W166" i="114"/>
  <c r="AB166" i="114"/>
  <c r="R165" i="114"/>
  <c r="W165" i="114"/>
  <c r="AB165" i="114"/>
  <c r="W164" i="114"/>
  <c r="AB164" i="114"/>
  <c r="W163" i="114"/>
  <c r="AB163" i="114"/>
  <c r="R162" i="114"/>
  <c r="W162" i="114"/>
  <c r="AB162" i="114"/>
  <c r="R161" i="114"/>
  <c r="W161" i="114"/>
  <c r="AB161" i="114"/>
  <c r="W160" i="114"/>
  <c r="AB160" i="114"/>
  <c r="W159" i="114"/>
  <c r="AB159" i="114"/>
  <c r="W98" i="114"/>
  <c r="X98" i="114"/>
  <c r="W99" i="114"/>
  <c r="X99" i="114"/>
  <c r="T89" i="114"/>
  <c r="Y89" i="114"/>
  <c r="AD158" i="114"/>
  <c r="Y158" i="114"/>
  <c r="AD89" i="114"/>
  <c r="AR11" i="114"/>
  <c r="AR14" i="114"/>
  <c r="H64" i="114"/>
  <c r="J64" i="114"/>
  <c r="H65" i="114"/>
  <c r="N66" i="114"/>
  <c r="J65" i="114"/>
  <c r="M65" i="114"/>
  <c r="AR19" i="114"/>
  <c r="AB22" i="114"/>
  <c r="I74" i="114"/>
  <c r="M13" i="114"/>
  <c r="Q4" i="114"/>
  <c r="J80" i="133"/>
  <c r="G20" i="134"/>
  <c r="O77" i="114"/>
  <c r="O76" i="114"/>
  <c r="M15" i="114"/>
  <c r="Q7" i="114"/>
  <c r="O63" i="129"/>
  <c r="O13" i="129"/>
  <c r="M13" i="129"/>
  <c r="Q4" i="129"/>
  <c r="M73" i="129"/>
  <c r="J91" i="129"/>
  <c r="Z99" i="114"/>
  <c r="Y99" i="114"/>
  <c r="M14" i="114"/>
  <c r="U6" i="114"/>
  <c r="S6" i="114"/>
  <c r="N69" i="114"/>
  <c r="I33" i="132"/>
  <c r="F24" i="134"/>
  <c r="G46" i="117"/>
  <c r="H46" i="117"/>
  <c r="E39" i="117"/>
  <c r="D52" i="117"/>
  <c r="I22" i="132"/>
  <c r="I110" i="114"/>
  <c r="H51" i="125"/>
  <c r="G46" i="127"/>
  <c r="H46" i="127"/>
  <c r="E39" i="127"/>
  <c r="D52" i="127"/>
  <c r="E50" i="126"/>
  <c r="F50" i="126"/>
  <c r="F46" i="126"/>
  <c r="E51" i="126"/>
  <c r="E45" i="126"/>
  <c r="A45" i="126"/>
  <c r="A44" i="126"/>
  <c r="G46" i="126"/>
  <c r="H46" i="126"/>
  <c r="E39" i="126"/>
  <c r="D52" i="126"/>
  <c r="J51" i="126"/>
  <c r="H51" i="126"/>
  <c r="G46" i="130"/>
  <c r="H46" i="130"/>
  <c r="E39" i="130"/>
  <c r="D52" i="130"/>
  <c r="G46" i="118"/>
  <c r="H46" i="118"/>
  <c r="E39" i="118"/>
  <c r="D52" i="118"/>
  <c r="E50" i="115"/>
  <c r="E51" i="115"/>
  <c r="E45" i="115"/>
  <c r="O11" i="115"/>
  <c r="N10" i="115"/>
  <c r="O61" i="115"/>
  <c r="O63" i="115"/>
  <c r="O13" i="115"/>
  <c r="M13" i="115"/>
  <c r="Q4" i="115"/>
  <c r="R4" i="115"/>
  <c r="S4" i="115"/>
  <c r="T4" i="115"/>
  <c r="U4" i="115"/>
  <c r="O14" i="115"/>
  <c r="M14" i="115"/>
  <c r="S6" i="115"/>
  <c r="U6" i="115"/>
  <c r="N13" i="115"/>
  <c r="N14" i="115"/>
  <c r="F50" i="115"/>
  <c r="F46" i="115"/>
  <c r="A45" i="115"/>
  <c r="A44" i="115"/>
  <c r="G46" i="115"/>
  <c r="H46" i="115"/>
  <c r="E39" i="115"/>
  <c r="D52" i="115"/>
  <c r="J51" i="115"/>
  <c r="H51" i="115"/>
  <c r="G46" i="119"/>
  <c r="H46" i="119"/>
  <c r="E39" i="119"/>
  <c r="D52" i="119"/>
  <c r="E50" i="123"/>
  <c r="F50" i="123"/>
  <c r="F46" i="123"/>
  <c r="E51" i="123"/>
  <c r="E45" i="123"/>
  <c r="A45" i="123"/>
  <c r="A44" i="123"/>
  <c r="G46" i="123"/>
  <c r="H46" i="123"/>
  <c r="E39" i="123"/>
  <c r="D52" i="123"/>
  <c r="J51" i="123"/>
  <c r="H51" i="123"/>
  <c r="R4" i="124"/>
  <c r="S4" i="124"/>
  <c r="T4" i="124"/>
  <c r="U4" i="124"/>
  <c r="O14" i="124"/>
  <c r="M14" i="124"/>
  <c r="S6" i="124"/>
  <c r="U6" i="124"/>
  <c r="N13" i="124"/>
  <c r="N14" i="124"/>
  <c r="G46" i="124"/>
  <c r="E39" i="124"/>
  <c r="D52" i="124"/>
  <c r="E50" i="121"/>
  <c r="F50" i="121"/>
  <c r="F46" i="121"/>
  <c r="E51" i="121"/>
  <c r="E45" i="121"/>
  <c r="A45" i="121"/>
  <c r="A44" i="121"/>
  <c r="G46" i="121"/>
  <c r="H46" i="121"/>
  <c r="E39" i="121"/>
  <c r="D52" i="121"/>
  <c r="J51" i="121"/>
  <c r="H51" i="121"/>
  <c r="A42" i="125"/>
  <c r="A43" i="125"/>
  <c r="K45" i="125"/>
  <c r="M45" i="125"/>
  <c r="G46" i="125"/>
  <c r="H46" i="125"/>
  <c r="J51" i="125"/>
  <c r="E39" i="125"/>
  <c r="D52" i="125"/>
  <c r="R19" i="114"/>
  <c r="E32" i="121"/>
  <c r="F32" i="121"/>
  <c r="N33" i="121"/>
  <c r="N34" i="121"/>
  <c r="D132" i="121"/>
  <c r="O67" i="121"/>
  <c r="I67" i="121"/>
  <c r="F83" i="121"/>
  <c r="F107" i="114"/>
  <c r="E32" i="115"/>
  <c r="F32" i="115"/>
  <c r="N33" i="115"/>
  <c r="N34" i="115"/>
  <c r="D128" i="115"/>
  <c r="O67" i="115"/>
  <c r="I67" i="115"/>
  <c r="F78" i="115"/>
  <c r="F100" i="114"/>
  <c r="I79" i="115"/>
  <c r="E39" i="114"/>
  <c r="D52" i="114"/>
  <c r="E32" i="120"/>
  <c r="F32" i="120"/>
  <c r="E50" i="120"/>
  <c r="F50" i="120"/>
  <c r="E51" i="120"/>
  <c r="G46" i="120"/>
  <c r="E45" i="120"/>
  <c r="F46" i="120"/>
  <c r="A45" i="120"/>
  <c r="A44" i="120"/>
  <c r="A43" i="120"/>
  <c r="F45" i="120"/>
  <c r="O33" i="120"/>
  <c r="O34" i="120"/>
  <c r="E129" i="120"/>
  <c r="N33" i="120"/>
  <c r="N34" i="120"/>
  <c r="D129" i="120"/>
  <c r="O67" i="120"/>
  <c r="I67" i="120"/>
  <c r="F82" i="120"/>
  <c r="F98" i="114"/>
  <c r="H51" i="127"/>
  <c r="H60" i="127"/>
  <c r="O59" i="127"/>
  <c r="O60" i="127"/>
  <c r="F137" i="127"/>
  <c r="N33" i="127"/>
  <c r="N34" i="127"/>
  <c r="D137" i="127"/>
  <c r="O67" i="127"/>
  <c r="I67" i="127"/>
  <c r="F89" i="127"/>
  <c r="F102" i="114"/>
  <c r="E32" i="117"/>
  <c r="F32" i="117"/>
  <c r="F50" i="117"/>
  <c r="H51" i="117"/>
  <c r="E57" i="117"/>
  <c r="F57" i="117"/>
  <c r="H60" i="117"/>
  <c r="O59" i="117"/>
  <c r="O60" i="117"/>
  <c r="F128" i="117"/>
  <c r="N33" i="117"/>
  <c r="N34" i="117"/>
  <c r="D128" i="117"/>
  <c r="O67" i="117"/>
  <c r="I67" i="117"/>
  <c r="F79" i="117"/>
  <c r="F106" i="114"/>
  <c r="E32" i="122"/>
  <c r="F32" i="122"/>
  <c r="E50" i="122"/>
  <c r="F50" i="122"/>
  <c r="E51" i="122"/>
  <c r="G46" i="122"/>
  <c r="E45" i="122"/>
  <c r="F46" i="122"/>
  <c r="A45" i="122"/>
  <c r="A44" i="122"/>
  <c r="A43" i="122"/>
  <c r="F45" i="122"/>
  <c r="O33" i="122"/>
  <c r="O34" i="122"/>
  <c r="E132" i="122"/>
  <c r="N33" i="122"/>
  <c r="N34" i="122"/>
  <c r="D132" i="122"/>
  <c r="O67" i="122"/>
  <c r="I67" i="122"/>
  <c r="F84" i="122"/>
  <c r="F108" i="114"/>
  <c r="E32" i="124"/>
  <c r="F32" i="124"/>
  <c r="F50" i="124"/>
  <c r="H51" i="124"/>
  <c r="E57" i="124"/>
  <c r="F57" i="124"/>
  <c r="H60" i="124"/>
  <c r="O59" i="124"/>
  <c r="O60" i="124"/>
  <c r="F132" i="124"/>
  <c r="N33" i="124"/>
  <c r="N34" i="124"/>
  <c r="D132" i="124"/>
  <c r="O67" i="124"/>
  <c r="I67" i="124"/>
  <c r="F86" i="124"/>
  <c r="F110" i="114"/>
  <c r="E57" i="125"/>
  <c r="F57" i="125"/>
  <c r="H60" i="125"/>
  <c r="O59" i="125"/>
  <c r="O60" i="125"/>
  <c r="F133" i="125"/>
  <c r="N33" i="125"/>
  <c r="N34" i="125"/>
  <c r="D133" i="125"/>
  <c r="O67" i="125"/>
  <c r="I67" i="125"/>
  <c r="F87" i="125"/>
  <c r="F111" i="114"/>
  <c r="Y98" i="114"/>
  <c r="Z98" i="114"/>
  <c r="J79" i="124"/>
  <c r="I86" i="124"/>
  <c r="H110" i="114"/>
  <c r="C202" i="114"/>
  <c r="E32" i="132"/>
  <c r="N13" i="114"/>
  <c r="G32" i="132"/>
  <c r="T4" i="114"/>
  <c r="R4" i="114"/>
  <c r="U4" i="114"/>
  <c r="S4" i="114"/>
  <c r="N68" i="114"/>
  <c r="I32" i="132"/>
  <c r="E33" i="132"/>
  <c r="N14" i="114"/>
  <c r="G33" i="132"/>
  <c r="O59" i="114"/>
  <c r="O60" i="114"/>
  <c r="F157" i="114"/>
  <c r="N33" i="114"/>
  <c r="N34" i="114"/>
  <c r="D157" i="114"/>
  <c r="O67" i="114"/>
  <c r="I67" i="114"/>
  <c r="N75" i="133"/>
  <c r="F23" i="134"/>
  <c r="S7" i="114"/>
  <c r="N70" i="114"/>
  <c r="F25" i="134"/>
  <c r="H78" i="127"/>
  <c r="H79" i="127"/>
  <c r="H80" i="127"/>
  <c r="H81" i="127"/>
  <c r="H82" i="127"/>
  <c r="H83" i="127"/>
  <c r="H84" i="127"/>
  <c r="H85" i="127"/>
  <c r="H86" i="127"/>
  <c r="H87" i="127"/>
  <c r="H88" i="127"/>
  <c r="H90" i="127"/>
  <c r="H91" i="127"/>
  <c r="H78" i="130"/>
  <c r="H79" i="130"/>
  <c r="H80" i="130"/>
  <c r="H81" i="130"/>
  <c r="H82" i="130"/>
  <c r="H83" i="130"/>
  <c r="H84" i="130"/>
  <c r="H85" i="130"/>
  <c r="H86" i="130"/>
  <c r="H87" i="130"/>
  <c r="H88" i="130"/>
  <c r="H89" i="130"/>
  <c r="H90" i="130"/>
  <c r="J78" i="124"/>
  <c r="I79" i="124"/>
  <c r="J80" i="124"/>
  <c r="J81" i="124"/>
  <c r="J82" i="124"/>
  <c r="J83" i="124"/>
  <c r="J84" i="124"/>
  <c r="J85" i="124"/>
  <c r="I104" i="114"/>
  <c r="R4" i="129"/>
  <c r="S4" i="129"/>
  <c r="T4" i="129"/>
  <c r="U4" i="129"/>
  <c r="O14" i="129"/>
  <c r="M14" i="129"/>
  <c r="S6" i="129"/>
  <c r="U6" i="129"/>
  <c r="N13" i="129"/>
  <c r="N14" i="129"/>
  <c r="A43" i="129"/>
  <c r="K45" i="129"/>
  <c r="M45" i="129"/>
  <c r="E39" i="129"/>
  <c r="D52" i="129"/>
  <c r="J79" i="129"/>
  <c r="H79" i="129"/>
  <c r="J78" i="129"/>
  <c r="H78" i="129"/>
  <c r="J80" i="129"/>
  <c r="H80" i="129"/>
  <c r="J81" i="129"/>
  <c r="H81" i="129"/>
  <c r="J82" i="129"/>
  <c r="H82" i="129"/>
  <c r="J83" i="129"/>
  <c r="H83" i="129"/>
  <c r="J84" i="129"/>
  <c r="H84" i="129"/>
  <c r="J85" i="129"/>
  <c r="H85" i="129"/>
  <c r="J86" i="129"/>
  <c r="H86" i="129"/>
  <c r="J87" i="129"/>
  <c r="H87" i="129"/>
  <c r="J88" i="129"/>
  <c r="H88" i="129"/>
  <c r="J89" i="129"/>
  <c r="H89" i="129"/>
  <c r="J90" i="129"/>
  <c r="H90" i="129"/>
  <c r="E32" i="116"/>
  <c r="F32" i="116"/>
  <c r="F50" i="116"/>
  <c r="H51" i="116"/>
  <c r="E57" i="116"/>
  <c r="F57" i="116"/>
  <c r="H60" i="116"/>
  <c r="O59" i="116"/>
  <c r="O60" i="116"/>
  <c r="F128" i="116"/>
  <c r="N33" i="116"/>
  <c r="N34" i="116"/>
  <c r="D128" i="116"/>
  <c r="O67" i="116"/>
  <c r="I67" i="116"/>
  <c r="F79" i="116"/>
  <c r="F99" i="114"/>
  <c r="V159" i="114"/>
  <c r="AA159" i="114"/>
  <c r="AA160" i="114"/>
  <c r="V160" i="114"/>
  <c r="O9" i="115"/>
  <c r="M100" i="115"/>
  <c r="U166" i="114"/>
  <c r="Z162" i="114"/>
  <c r="AE162" i="114"/>
  <c r="AF166" i="114"/>
  <c r="AH166" i="114"/>
  <c r="Z166" i="114"/>
  <c r="AE166" i="114"/>
  <c r="H20" i="135"/>
  <c r="M23" i="132"/>
  <c r="N11" i="115"/>
  <c r="F101" i="115"/>
  <c r="H101" i="115"/>
  <c r="H102" i="115"/>
  <c r="F107" i="115"/>
  <c r="F109" i="115"/>
  <c r="F111" i="115"/>
  <c r="F112" i="115"/>
  <c r="F102" i="115"/>
  <c r="F114" i="115"/>
  <c r="N21" i="135"/>
  <c r="O21" i="135"/>
  <c r="O20" i="135"/>
  <c r="O17" i="135"/>
  <c r="H16" i="135"/>
  <c r="M16" i="135"/>
  <c r="N16" i="135"/>
  <c r="O16" i="135"/>
  <c r="H32" i="114"/>
  <c r="G202" i="114"/>
  <c r="J202" i="114"/>
  <c r="G158" i="114"/>
  <c r="J158" i="114"/>
  <c r="D158" i="114"/>
  <c r="G159" i="114"/>
  <c r="J159" i="114"/>
  <c r="D159" i="114"/>
  <c r="G160" i="114"/>
  <c r="J160" i="114"/>
  <c r="D160" i="114"/>
  <c r="G161" i="114"/>
  <c r="J161" i="114"/>
  <c r="D161" i="114"/>
  <c r="G162" i="114"/>
  <c r="J162" i="114"/>
  <c r="D162" i="114"/>
  <c r="G163" i="114"/>
  <c r="J163" i="114"/>
  <c r="D163" i="114"/>
  <c r="G164" i="114"/>
  <c r="J164" i="114"/>
  <c r="D164" i="114"/>
  <c r="G165" i="114"/>
  <c r="J165" i="114"/>
  <c r="D165" i="114"/>
  <c r="G166" i="114"/>
  <c r="J166" i="114"/>
  <c r="D166" i="114"/>
  <c r="G167" i="114"/>
  <c r="J167" i="114"/>
  <c r="D167" i="114"/>
  <c r="G168" i="114"/>
  <c r="J168" i="114"/>
  <c r="D168" i="114"/>
  <c r="G169" i="114"/>
  <c r="J169" i="114"/>
  <c r="D169" i="114"/>
  <c r="G170" i="114"/>
  <c r="J170" i="114"/>
  <c r="D170" i="114"/>
  <c r="G171" i="114"/>
  <c r="J171" i="114"/>
  <c r="G172" i="114"/>
  <c r="J172" i="114"/>
  <c r="D172" i="114"/>
  <c r="G173" i="114"/>
  <c r="J173" i="114"/>
  <c r="D173" i="114"/>
  <c r="G174" i="114"/>
  <c r="J174" i="114"/>
  <c r="D174" i="114"/>
  <c r="G175" i="114"/>
  <c r="J175" i="114"/>
  <c r="D175" i="114"/>
  <c r="G176" i="114"/>
  <c r="J176" i="114"/>
  <c r="D176" i="114"/>
  <c r="G177" i="114"/>
  <c r="J177" i="114"/>
  <c r="D177" i="114"/>
  <c r="G178" i="114"/>
  <c r="J178" i="114"/>
  <c r="D178" i="114"/>
  <c r="G179" i="114"/>
  <c r="J179" i="114"/>
  <c r="D179" i="114"/>
  <c r="G180" i="114"/>
  <c r="J180" i="114"/>
  <c r="D180" i="114"/>
  <c r="G183" i="114"/>
  <c r="J183" i="114"/>
  <c r="D183" i="114"/>
  <c r="G184" i="114"/>
  <c r="J184" i="114"/>
  <c r="D184" i="114"/>
  <c r="G185" i="114"/>
  <c r="J185" i="114"/>
  <c r="D185" i="114"/>
  <c r="G186" i="114"/>
  <c r="J186" i="114"/>
  <c r="D186" i="114"/>
  <c r="G187" i="114"/>
  <c r="J187" i="114"/>
  <c r="D187" i="114"/>
  <c r="G188" i="114"/>
  <c r="J188" i="114"/>
  <c r="D188" i="114"/>
  <c r="G189" i="114"/>
  <c r="J189" i="114"/>
  <c r="D189" i="114"/>
  <c r="G190" i="114"/>
  <c r="J190" i="114"/>
  <c r="D190" i="114"/>
  <c r="G191" i="114"/>
  <c r="J191" i="114"/>
  <c r="D191" i="114"/>
  <c r="G192" i="114"/>
  <c r="J192" i="114"/>
  <c r="D192" i="114"/>
  <c r="G193" i="114"/>
  <c r="J193" i="114"/>
  <c r="D193" i="114"/>
  <c r="G194" i="114"/>
  <c r="J194" i="114"/>
  <c r="D194" i="114"/>
  <c r="G195" i="114"/>
  <c r="J195" i="114"/>
  <c r="D195" i="114"/>
  <c r="G196" i="114"/>
  <c r="J196" i="114"/>
  <c r="D196" i="114"/>
  <c r="G197" i="114"/>
  <c r="J197" i="114"/>
  <c r="D197" i="114"/>
  <c r="G198" i="114"/>
  <c r="J198" i="114"/>
  <c r="D198" i="114"/>
  <c r="G199" i="114"/>
  <c r="J199" i="114"/>
  <c r="D199" i="114"/>
  <c r="G200" i="114"/>
  <c r="J200" i="114"/>
  <c r="D200" i="114"/>
  <c r="G201" i="114"/>
  <c r="J201" i="114"/>
  <c r="D201" i="114"/>
  <c r="G203" i="114"/>
  <c r="J203" i="114"/>
  <c r="G204" i="114"/>
  <c r="J204" i="114"/>
  <c r="D204" i="114"/>
  <c r="G205" i="114"/>
  <c r="J205" i="114"/>
  <c r="D205" i="114"/>
  <c r="G206" i="114"/>
  <c r="J206" i="114"/>
  <c r="D206" i="114"/>
  <c r="G207" i="114"/>
  <c r="J207" i="114"/>
  <c r="D207" i="114"/>
  <c r="G208" i="114"/>
  <c r="J208" i="114"/>
  <c r="D208" i="114"/>
  <c r="G209" i="114"/>
  <c r="J209" i="114"/>
  <c r="D209" i="114"/>
  <c r="G210" i="114"/>
  <c r="J210" i="114"/>
  <c r="D210" i="114"/>
  <c r="G211" i="114"/>
  <c r="J211" i="114"/>
  <c r="D211" i="114"/>
  <c r="G212" i="114"/>
  <c r="J212" i="114"/>
  <c r="D212" i="114"/>
  <c r="G213" i="114"/>
  <c r="J213" i="114"/>
  <c r="D213" i="114"/>
  <c r="G214" i="114"/>
  <c r="J214" i="114"/>
  <c r="D214" i="114"/>
  <c r="G215" i="114"/>
  <c r="J215" i="114"/>
  <c r="D215" i="114"/>
  <c r="G216" i="114"/>
  <c r="J216" i="114"/>
  <c r="D216" i="114"/>
  <c r="G217" i="114"/>
  <c r="J217" i="114"/>
  <c r="D217" i="114"/>
  <c r="G218" i="114"/>
  <c r="J218" i="114"/>
  <c r="D218" i="114"/>
  <c r="G219" i="114"/>
  <c r="J219" i="114"/>
  <c r="D219" i="114"/>
  <c r="G220" i="114"/>
  <c r="J220" i="114"/>
  <c r="D220" i="114"/>
  <c r="G221" i="114"/>
  <c r="J221" i="114"/>
  <c r="D221" i="114"/>
  <c r="G222" i="114"/>
  <c r="J222" i="114"/>
  <c r="D222" i="114"/>
  <c r="G223" i="114"/>
  <c r="J223" i="114"/>
  <c r="D223" i="114"/>
  <c r="G225" i="114"/>
  <c r="G226" i="114"/>
  <c r="J226" i="114"/>
  <c r="D226" i="114"/>
  <c r="G227" i="114"/>
  <c r="J227" i="114"/>
  <c r="D227" i="114"/>
  <c r="G228" i="114"/>
  <c r="J228" i="114"/>
  <c r="D228" i="114"/>
  <c r="N229" i="114"/>
  <c r="G229" i="114"/>
  <c r="G230" i="114"/>
  <c r="J230" i="114"/>
  <c r="D230" i="114"/>
  <c r="G231" i="114"/>
  <c r="J231" i="114"/>
  <c r="D231" i="114"/>
  <c r="G232" i="114"/>
  <c r="J232" i="114"/>
  <c r="D232" i="114"/>
  <c r="G233" i="114"/>
  <c r="J233" i="114"/>
  <c r="D233" i="114"/>
  <c r="G234" i="114"/>
  <c r="J234" i="114"/>
  <c r="D234" i="114"/>
  <c r="G235" i="114"/>
  <c r="J235" i="114"/>
  <c r="D235" i="114"/>
  <c r="G236" i="114"/>
  <c r="J236" i="114"/>
  <c r="D236" i="114"/>
  <c r="G237" i="114"/>
  <c r="J237" i="114"/>
  <c r="D237" i="114"/>
  <c r="G238" i="114"/>
  <c r="J238" i="114"/>
  <c r="D238" i="114"/>
  <c r="G239" i="114"/>
  <c r="J239" i="114"/>
  <c r="D239" i="114"/>
  <c r="G241" i="114"/>
  <c r="J241" i="114"/>
  <c r="D241" i="114"/>
  <c r="G242" i="114"/>
  <c r="J242" i="114"/>
  <c r="D242" i="114"/>
  <c r="G243" i="114"/>
  <c r="J243" i="114"/>
  <c r="D243" i="114"/>
  <c r="G244" i="114"/>
  <c r="J244" i="114"/>
  <c r="D244" i="114"/>
  <c r="G246" i="114"/>
  <c r="J246" i="114"/>
  <c r="D246" i="114"/>
  <c r="G247" i="114"/>
  <c r="J247" i="114"/>
  <c r="D247" i="114"/>
  <c r="G248" i="114"/>
  <c r="J248" i="114"/>
  <c r="D248" i="114"/>
  <c r="G250" i="114"/>
  <c r="J250" i="114"/>
  <c r="D250" i="114"/>
  <c r="G251" i="114"/>
  <c r="J251" i="114"/>
  <c r="D251" i="114"/>
  <c r="G252" i="114"/>
  <c r="J252" i="114"/>
  <c r="D252" i="114"/>
  <c r="G253" i="114"/>
  <c r="J253" i="114"/>
  <c r="D253" i="114"/>
  <c r="G254" i="114"/>
  <c r="J254" i="114"/>
  <c r="D254" i="114"/>
  <c r="N240" i="114"/>
  <c r="J51" i="122"/>
  <c r="H51" i="122"/>
  <c r="H46" i="122"/>
  <c r="H46" i="128"/>
  <c r="J51" i="128"/>
  <c r="H51" i="128"/>
  <c r="H51" i="120"/>
  <c r="J51" i="120"/>
  <c r="H46" i="120"/>
  <c r="J60" i="114"/>
  <c r="E57" i="122"/>
  <c r="E57" i="126"/>
  <c r="E57" i="128"/>
  <c r="E57" i="115"/>
  <c r="E57" i="120"/>
  <c r="E57" i="123"/>
  <c r="E57" i="121"/>
  <c r="G47" i="133"/>
  <c r="G46" i="114"/>
  <c r="F46" i="117"/>
  <c r="A45" i="117"/>
  <c r="A44" i="117"/>
  <c r="J51" i="117"/>
  <c r="F46" i="118"/>
  <c r="J51" i="118"/>
  <c r="J51" i="127"/>
  <c r="J51" i="119"/>
  <c r="J51" i="130"/>
  <c r="F46" i="124"/>
  <c r="A45" i="124"/>
  <c r="A44" i="124"/>
  <c r="J51" i="124"/>
  <c r="F46" i="116"/>
  <c r="A45" i="116"/>
  <c r="A44" i="116"/>
  <c r="J51" i="116"/>
  <c r="J51" i="114"/>
  <c r="E58" i="121"/>
  <c r="E59" i="121"/>
  <c r="F57" i="121"/>
  <c r="E58" i="123"/>
  <c r="E59" i="123"/>
  <c r="F57" i="123"/>
  <c r="E58" i="120"/>
  <c r="E59" i="120"/>
  <c r="F57" i="120"/>
  <c r="E58" i="115"/>
  <c r="E59" i="115"/>
  <c r="F57" i="115"/>
  <c r="E58" i="128"/>
  <c r="E59" i="128"/>
  <c r="F57" i="128"/>
  <c r="E58" i="126"/>
  <c r="E59" i="126"/>
  <c r="F57" i="126"/>
  <c r="E58" i="117"/>
  <c r="E59" i="117"/>
  <c r="F57" i="122"/>
  <c r="E58" i="122"/>
  <c r="E59" i="122"/>
  <c r="E58" i="118"/>
  <c r="E59" i="118"/>
  <c r="E58" i="124"/>
  <c r="E59" i="124"/>
  <c r="E58" i="116"/>
  <c r="E59" i="116"/>
  <c r="E58" i="129"/>
  <c r="E59" i="129"/>
  <c r="G62" i="133"/>
  <c r="G68" i="133"/>
  <c r="I16" i="134"/>
  <c r="D61" i="114"/>
  <c r="E58" i="125"/>
  <c r="E59" i="125"/>
  <c r="A42" i="120"/>
  <c r="E39" i="120"/>
  <c r="D52" i="120"/>
  <c r="K45" i="128"/>
  <c r="M45" i="128"/>
  <c r="A42" i="128"/>
  <c r="E39" i="128"/>
  <c r="D52" i="128"/>
  <c r="A42" i="122"/>
  <c r="E39" i="122"/>
  <c r="D52" i="122"/>
  <c r="G240" i="114"/>
  <c r="I240" i="114"/>
  <c r="L240" i="114"/>
  <c r="F240" i="114"/>
  <c r="N220" i="126"/>
  <c r="E38" i="118"/>
  <c r="N211" i="118"/>
  <c r="E38" i="117"/>
  <c r="N211" i="117"/>
  <c r="E38" i="127"/>
  <c r="N220" i="127"/>
  <c r="E38" i="119"/>
  <c r="N212" i="119"/>
  <c r="E38" i="123"/>
  <c r="N215" i="123"/>
  <c r="N220" i="130"/>
  <c r="E38" i="124"/>
  <c r="N215" i="124"/>
  <c r="E38" i="116"/>
  <c r="N211" i="116"/>
  <c r="N220" i="129"/>
  <c r="H37" i="114"/>
  <c r="E38" i="125"/>
  <c r="N216" i="125"/>
  <c r="E38" i="115"/>
  <c r="N211" i="115"/>
  <c r="E38" i="121"/>
  <c r="N215" i="121"/>
  <c r="E38" i="120"/>
  <c r="N212" i="120"/>
  <c r="E38" i="128"/>
  <c r="N220" i="128"/>
  <c r="E38" i="122"/>
  <c r="N215" i="122"/>
  <c r="J229" i="114"/>
  <c r="D229" i="114"/>
  <c r="H229" i="114"/>
  <c r="K229" i="114"/>
  <c r="E229" i="114"/>
  <c r="I229" i="114"/>
  <c r="L229" i="114"/>
  <c r="F229" i="114"/>
  <c r="J225" i="114"/>
  <c r="D225" i="114"/>
  <c r="H225" i="114"/>
  <c r="K225" i="114"/>
  <c r="E225" i="114"/>
  <c r="I225" i="114"/>
  <c r="L225" i="114"/>
  <c r="F225" i="114"/>
  <c r="S75" i="114"/>
  <c r="O201" i="114"/>
  <c r="O202" i="114"/>
  <c r="D202" i="114"/>
  <c r="J32" i="114"/>
  <c r="L32" i="114"/>
  <c r="G215" i="122"/>
  <c r="E37" i="122"/>
  <c r="H37" i="122"/>
  <c r="F38" i="122"/>
  <c r="F37" i="122"/>
  <c r="G136" i="122"/>
  <c r="J136" i="122"/>
  <c r="D136" i="122"/>
  <c r="G133" i="122"/>
  <c r="J133" i="122"/>
  <c r="D133" i="122"/>
  <c r="N204" i="122"/>
  <c r="G204" i="122"/>
  <c r="H60" i="122"/>
  <c r="O16" i="122"/>
  <c r="O15" i="122"/>
  <c r="O17" i="122"/>
  <c r="O18" i="122"/>
  <c r="O19" i="122"/>
  <c r="H32" i="122"/>
  <c r="BC87" i="122"/>
  <c r="G177" i="122"/>
  <c r="J177" i="122"/>
  <c r="G134" i="122"/>
  <c r="J134" i="122"/>
  <c r="D134" i="122"/>
  <c r="G135" i="122"/>
  <c r="J135" i="122"/>
  <c r="D135" i="122"/>
  <c r="G137" i="122"/>
  <c r="J137" i="122"/>
  <c r="D137" i="122"/>
  <c r="G138" i="122"/>
  <c r="J138" i="122"/>
  <c r="D138" i="122"/>
  <c r="G139" i="122"/>
  <c r="J139" i="122"/>
  <c r="D139" i="122"/>
  <c r="G140" i="122"/>
  <c r="J140" i="122"/>
  <c r="D140" i="122"/>
  <c r="G141" i="122"/>
  <c r="J141" i="122"/>
  <c r="D141" i="122"/>
  <c r="G142" i="122"/>
  <c r="J142" i="122"/>
  <c r="D142" i="122"/>
  <c r="G143" i="122"/>
  <c r="J143" i="122"/>
  <c r="D143" i="122"/>
  <c r="G144" i="122"/>
  <c r="J144" i="122"/>
  <c r="D144" i="122"/>
  <c r="G145" i="122"/>
  <c r="J145" i="122"/>
  <c r="D145" i="122"/>
  <c r="G146" i="122"/>
  <c r="J146" i="122"/>
  <c r="G147" i="122"/>
  <c r="J147" i="122"/>
  <c r="D147" i="122"/>
  <c r="G148" i="122"/>
  <c r="J148" i="122"/>
  <c r="D148" i="122"/>
  <c r="G149" i="122"/>
  <c r="J149" i="122"/>
  <c r="D149" i="122"/>
  <c r="G150" i="122"/>
  <c r="J150" i="122"/>
  <c r="D150" i="122"/>
  <c r="G151" i="122"/>
  <c r="J151" i="122"/>
  <c r="D151" i="122"/>
  <c r="G152" i="122"/>
  <c r="J152" i="122"/>
  <c r="D152" i="122"/>
  <c r="G153" i="122"/>
  <c r="J153" i="122"/>
  <c r="D153" i="122"/>
  <c r="G154" i="122"/>
  <c r="J154" i="122"/>
  <c r="D154" i="122"/>
  <c r="G155" i="122"/>
  <c r="J155" i="122"/>
  <c r="D155" i="122"/>
  <c r="G158" i="122"/>
  <c r="J158" i="122"/>
  <c r="D158" i="122"/>
  <c r="G159" i="122"/>
  <c r="J159" i="122"/>
  <c r="D159" i="122"/>
  <c r="G160" i="122"/>
  <c r="J160" i="122"/>
  <c r="D160" i="122"/>
  <c r="G161" i="122"/>
  <c r="J161" i="122"/>
  <c r="D161" i="122"/>
  <c r="G162" i="122"/>
  <c r="J162" i="122"/>
  <c r="D162" i="122"/>
  <c r="G163" i="122"/>
  <c r="J163" i="122"/>
  <c r="D163" i="122"/>
  <c r="G164" i="122"/>
  <c r="J164" i="122"/>
  <c r="D164" i="122"/>
  <c r="G165" i="122"/>
  <c r="J165" i="122"/>
  <c r="D165" i="122"/>
  <c r="G166" i="122"/>
  <c r="J166" i="122"/>
  <c r="D166" i="122"/>
  <c r="G167" i="122"/>
  <c r="J167" i="122"/>
  <c r="D167" i="122"/>
  <c r="G168" i="122"/>
  <c r="J168" i="122"/>
  <c r="D168" i="122"/>
  <c r="G169" i="122"/>
  <c r="J169" i="122"/>
  <c r="D169" i="122"/>
  <c r="G170" i="122"/>
  <c r="J170" i="122"/>
  <c r="D170" i="122"/>
  <c r="G171" i="122"/>
  <c r="J171" i="122"/>
  <c r="D171" i="122"/>
  <c r="G172" i="122"/>
  <c r="J172" i="122"/>
  <c r="D172" i="122"/>
  <c r="G173" i="122"/>
  <c r="J173" i="122"/>
  <c r="D173" i="122"/>
  <c r="G174" i="122"/>
  <c r="J174" i="122"/>
  <c r="D174" i="122"/>
  <c r="G175" i="122"/>
  <c r="J175" i="122"/>
  <c r="D175" i="122"/>
  <c r="G176" i="122"/>
  <c r="J176" i="122"/>
  <c r="D176" i="122"/>
  <c r="G178" i="122"/>
  <c r="J178" i="122"/>
  <c r="G179" i="122"/>
  <c r="J179" i="122"/>
  <c r="D179" i="122"/>
  <c r="G180" i="122"/>
  <c r="J180" i="122"/>
  <c r="D180" i="122"/>
  <c r="G181" i="122"/>
  <c r="J181" i="122"/>
  <c r="D181" i="122"/>
  <c r="G182" i="122"/>
  <c r="J182" i="122"/>
  <c r="D182" i="122"/>
  <c r="G183" i="122"/>
  <c r="J183" i="122"/>
  <c r="D183" i="122"/>
  <c r="G184" i="122"/>
  <c r="J184" i="122"/>
  <c r="D184" i="122"/>
  <c r="G185" i="122"/>
  <c r="J185" i="122"/>
  <c r="D185" i="122"/>
  <c r="G186" i="122"/>
  <c r="J186" i="122"/>
  <c r="D186" i="122"/>
  <c r="G187" i="122"/>
  <c r="J187" i="122"/>
  <c r="D187" i="122"/>
  <c r="G188" i="122"/>
  <c r="J188" i="122"/>
  <c r="D188" i="122"/>
  <c r="G189" i="122"/>
  <c r="J189" i="122"/>
  <c r="D189" i="122"/>
  <c r="G190" i="122"/>
  <c r="J190" i="122"/>
  <c r="D190" i="122"/>
  <c r="G191" i="122"/>
  <c r="J191" i="122"/>
  <c r="D191" i="122"/>
  <c r="G192" i="122"/>
  <c r="J192" i="122"/>
  <c r="D192" i="122"/>
  <c r="G193" i="122"/>
  <c r="J193" i="122"/>
  <c r="D193" i="122"/>
  <c r="G194" i="122"/>
  <c r="J194" i="122"/>
  <c r="D194" i="122"/>
  <c r="G195" i="122"/>
  <c r="J195" i="122"/>
  <c r="D195" i="122"/>
  <c r="G196" i="122"/>
  <c r="J196" i="122"/>
  <c r="D196" i="122"/>
  <c r="G197" i="122"/>
  <c r="J197" i="122"/>
  <c r="D197" i="122"/>
  <c r="G198" i="122"/>
  <c r="J198" i="122"/>
  <c r="D198" i="122"/>
  <c r="G200" i="122"/>
  <c r="G201" i="122"/>
  <c r="J201" i="122"/>
  <c r="D201" i="122"/>
  <c r="G202" i="122"/>
  <c r="J202" i="122"/>
  <c r="D202" i="122"/>
  <c r="G203" i="122"/>
  <c r="J203" i="122"/>
  <c r="D203" i="122"/>
  <c r="G205" i="122"/>
  <c r="J205" i="122"/>
  <c r="D205" i="122"/>
  <c r="G206" i="122"/>
  <c r="J206" i="122"/>
  <c r="D206" i="122"/>
  <c r="G207" i="122"/>
  <c r="J207" i="122"/>
  <c r="D207" i="122"/>
  <c r="G208" i="122"/>
  <c r="J208" i="122"/>
  <c r="D208" i="122"/>
  <c r="G209" i="122"/>
  <c r="J209" i="122"/>
  <c r="D209" i="122"/>
  <c r="G210" i="122"/>
  <c r="J210" i="122"/>
  <c r="D210" i="122"/>
  <c r="G211" i="122"/>
  <c r="J211" i="122"/>
  <c r="D211" i="122"/>
  <c r="G212" i="122"/>
  <c r="J212" i="122"/>
  <c r="D212" i="122"/>
  <c r="G213" i="122"/>
  <c r="J213" i="122"/>
  <c r="D213" i="122"/>
  <c r="G214" i="122"/>
  <c r="J214" i="122"/>
  <c r="D214" i="122"/>
  <c r="G216" i="122"/>
  <c r="J216" i="122"/>
  <c r="D216" i="122"/>
  <c r="G217" i="122"/>
  <c r="J217" i="122"/>
  <c r="D217" i="122"/>
  <c r="G218" i="122"/>
  <c r="J218" i="122"/>
  <c r="D218" i="122"/>
  <c r="G219" i="122"/>
  <c r="J219" i="122"/>
  <c r="D219" i="122"/>
  <c r="G221" i="122"/>
  <c r="J221" i="122"/>
  <c r="D221" i="122"/>
  <c r="G222" i="122"/>
  <c r="J222" i="122"/>
  <c r="D222" i="122"/>
  <c r="G223" i="122"/>
  <c r="J223" i="122"/>
  <c r="D223" i="122"/>
  <c r="G225" i="122"/>
  <c r="J225" i="122"/>
  <c r="D225" i="122"/>
  <c r="G226" i="122"/>
  <c r="J226" i="122"/>
  <c r="D226" i="122"/>
  <c r="G227" i="122"/>
  <c r="J227" i="122"/>
  <c r="D227" i="122"/>
  <c r="G228" i="122"/>
  <c r="J228" i="122"/>
  <c r="D228" i="122"/>
  <c r="G229" i="122"/>
  <c r="J229" i="122"/>
  <c r="D229" i="122"/>
  <c r="G220" i="128"/>
  <c r="E37" i="128"/>
  <c r="H37" i="128"/>
  <c r="H60" i="128"/>
  <c r="O19" i="128"/>
  <c r="O18" i="128"/>
  <c r="O17" i="128"/>
  <c r="O16" i="128"/>
  <c r="O15" i="128"/>
  <c r="H32" i="128"/>
  <c r="BC92" i="128"/>
  <c r="G182" i="128"/>
  <c r="J182" i="128"/>
  <c r="G138" i="128"/>
  <c r="J138" i="128"/>
  <c r="D138" i="128"/>
  <c r="G139" i="128"/>
  <c r="J139" i="128"/>
  <c r="D139" i="128"/>
  <c r="G140" i="128"/>
  <c r="J140" i="128"/>
  <c r="D140" i="128"/>
  <c r="G141" i="128"/>
  <c r="J141" i="128"/>
  <c r="D141" i="128"/>
  <c r="G142" i="128"/>
  <c r="J142" i="128"/>
  <c r="D142" i="128"/>
  <c r="G143" i="128"/>
  <c r="J143" i="128"/>
  <c r="D143" i="128"/>
  <c r="G144" i="128"/>
  <c r="J144" i="128"/>
  <c r="D144" i="128"/>
  <c r="G145" i="128"/>
  <c r="J145" i="128"/>
  <c r="D145" i="128"/>
  <c r="G146" i="128"/>
  <c r="J146" i="128"/>
  <c r="D146" i="128"/>
  <c r="G147" i="128"/>
  <c r="J147" i="128"/>
  <c r="D147" i="128"/>
  <c r="G148" i="128"/>
  <c r="J148" i="128"/>
  <c r="D148" i="128"/>
  <c r="G149" i="128"/>
  <c r="J149" i="128"/>
  <c r="D149" i="128"/>
  <c r="G150" i="128"/>
  <c r="J150" i="128"/>
  <c r="D150" i="128"/>
  <c r="G151" i="128"/>
  <c r="J151" i="128"/>
  <c r="G152" i="128"/>
  <c r="J152" i="128"/>
  <c r="D152" i="128"/>
  <c r="G153" i="128"/>
  <c r="J153" i="128"/>
  <c r="D153" i="128"/>
  <c r="G154" i="128"/>
  <c r="J154" i="128"/>
  <c r="D154" i="128"/>
  <c r="G155" i="128"/>
  <c r="J155" i="128"/>
  <c r="D155" i="128"/>
  <c r="G156" i="128"/>
  <c r="J156" i="128"/>
  <c r="D156" i="128"/>
  <c r="G157" i="128"/>
  <c r="J157" i="128"/>
  <c r="D157" i="128"/>
  <c r="G158" i="128"/>
  <c r="J158" i="128"/>
  <c r="D158" i="128"/>
  <c r="G159" i="128"/>
  <c r="J159" i="128"/>
  <c r="D159" i="128"/>
  <c r="G160" i="128"/>
  <c r="J160" i="128"/>
  <c r="D160" i="128"/>
  <c r="G163" i="128"/>
  <c r="J163" i="128"/>
  <c r="D163" i="128"/>
  <c r="G164" i="128"/>
  <c r="J164" i="128"/>
  <c r="D164" i="128"/>
  <c r="G165" i="128"/>
  <c r="J165" i="128"/>
  <c r="D165" i="128"/>
  <c r="G166" i="128"/>
  <c r="J166" i="128"/>
  <c r="D166" i="128"/>
  <c r="G167" i="128"/>
  <c r="J167" i="128"/>
  <c r="D167" i="128"/>
  <c r="G168" i="128"/>
  <c r="J168" i="128"/>
  <c r="D168" i="128"/>
  <c r="G169" i="128"/>
  <c r="J169" i="128"/>
  <c r="D169" i="128"/>
  <c r="G170" i="128"/>
  <c r="J170" i="128"/>
  <c r="D170" i="128"/>
  <c r="G171" i="128"/>
  <c r="J171" i="128"/>
  <c r="D171" i="128"/>
  <c r="G172" i="128"/>
  <c r="J172" i="128"/>
  <c r="D172" i="128"/>
  <c r="G173" i="128"/>
  <c r="J173" i="128"/>
  <c r="D173" i="128"/>
  <c r="G174" i="128"/>
  <c r="J174" i="128"/>
  <c r="D174" i="128"/>
  <c r="G175" i="128"/>
  <c r="J175" i="128"/>
  <c r="D175" i="128"/>
  <c r="G176" i="128"/>
  <c r="J176" i="128"/>
  <c r="D176" i="128"/>
  <c r="G177" i="128"/>
  <c r="J177" i="128"/>
  <c r="D177" i="128"/>
  <c r="G178" i="128"/>
  <c r="J178" i="128"/>
  <c r="D178" i="128"/>
  <c r="G179" i="128"/>
  <c r="J179" i="128"/>
  <c r="D179" i="128"/>
  <c r="G180" i="128"/>
  <c r="J180" i="128"/>
  <c r="D180" i="128"/>
  <c r="G181" i="128"/>
  <c r="J181" i="128"/>
  <c r="D181" i="128"/>
  <c r="G183" i="128"/>
  <c r="J183" i="128"/>
  <c r="G184" i="128"/>
  <c r="J184" i="128"/>
  <c r="D184" i="128"/>
  <c r="G185" i="128"/>
  <c r="J185" i="128"/>
  <c r="D185" i="128"/>
  <c r="G186" i="128"/>
  <c r="J186" i="128"/>
  <c r="D186" i="128"/>
  <c r="G187" i="128"/>
  <c r="J187" i="128"/>
  <c r="D187" i="128"/>
  <c r="G188" i="128"/>
  <c r="J188" i="128"/>
  <c r="D188" i="128"/>
  <c r="G189" i="128"/>
  <c r="J189" i="128"/>
  <c r="D189" i="128"/>
  <c r="G190" i="128"/>
  <c r="J190" i="128"/>
  <c r="D190" i="128"/>
  <c r="G191" i="128"/>
  <c r="J191" i="128"/>
  <c r="D191" i="128"/>
  <c r="G192" i="128"/>
  <c r="J192" i="128"/>
  <c r="D192" i="128"/>
  <c r="G193" i="128"/>
  <c r="J193" i="128"/>
  <c r="D193" i="128"/>
  <c r="G194" i="128"/>
  <c r="J194" i="128"/>
  <c r="D194" i="128"/>
  <c r="G195" i="128"/>
  <c r="J195" i="128"/>
  <c r="D195" i="128"/>
  <c r="G196" i="128"/>
  <c r="J196" i="128"/>
  <c r="D196" i="128"/>
  <c r="G197" i="128"/>
  <c r="J197" i="128"/>
  <c r="D197" i="128"/>
  <c r="G198" i="128"/>
  <c r="J198" i="128"/>
  <c r="D198" i="128"/>
  <c r="G199" i="128"/>
  <c r="J199" i="128"/>
  <c r="D199" i="128"/>
  <c r="G200" i="128"/>
  <c r="J200" i="128"/>
  <c r="D200" i="128"/>
  <c r="G201" i="128"/>
  <c r="J201" i="128"/>
  <c r="D201" i="128"/>
  <c r="G202" i="128"/>
  <c r="J202" i="128"/>
  <c r="D202" i="128"/>
  <c r="G203" i="128"/>
  <c r="J203" i="128"/>
  <c r="D203" i="128"/>
  <c r="G205" i="128"/>
  <c r="G206" i="128"/>
  <c r="J206" i="128"/>
  <c r="D206" i="128"/>
  <c r="G207" i="128"/>
  <c r="J207" i="128"/>
  <c r="D207" i="128"/>
  <c r="G208" i="128"/>
  <c r="J208" i="128"/>
  <c r="D208" i="128"/>
  <c r="N209" i="128"/>
  <c r="G209" i="128"/>
  <c r="G210" i="128"/>
  <c r="J210" i="128"/>
  <c r="D210" i="128"/>
  <c r="G211" i="128"/>
  <c r="J211" i="128"/>
  <c r="D211" i="128"/>
  <c r="G212" i="128"/>
  <c r="J212" i="128"/>
  <c r="D212" i="128"/>
  <c r="G213" i="128"/>
  <c r="J213" i="128"/>
  <c r="D213" i="128"/>
  <c r="G214" i="128"/>
  <c r="J214" i="128"/>
  <c r="D214" i="128"/>
  <c r="G215" i="128"/>
  <c r="J215" i="128"/>
  <c r="D215" i="128"/>
  <c r="G216" i="128"/>
  <c r="J216" i="128"/>
  <c r="D216" i="128"/>
  <c r="G217" i="128"/>
  <c r="J217" i="128"/>
  <c r="D217" i="128"/>
  <c r="G218" i="128"/>
  <c r="J218" i="128"/>
  <c r="D218" i="128"/>
  <c r="G219" i="128"/>
  <c r="J219" i="128"/>
  <c r="D219" i="128"/>
  <c r="G221" i="128"/>
  <c r="J221" i="128"/>
  <c r="D221" i="128"/>
  <c r="G222" i="128"/>
  <c r="J222" i="128"/>
  <c r="D222" i="128"/>
  <c r="G223" i="128"/>
  <c r="J223" i="128"/>
  <c r="D223" i="128"/>
  <c r="G224" i="128"/>
  <c r="J224" i="128"/>
  <c r="D224" i="128"/>
  <c r="G226" i="128"/>
  <c r="J226" i="128"/>
  <c r="D226" i="128"/>
  <c r="G227" i="128"/>
  <c r="J227" i="128"/>
  <c r="D227" i="128"/>
  <c r="G228" i="128"/>
  <c r="J228" i="128"/>
  <c r="D228" i="128"/>
  <c r="G230" i="128"/>
  <c r="J230" i="128"/>
  <c r="D230" i="128"/>
  <c r="G231" i="128"/>
  <c r="J231" i="128"/>
  <c r="D231" i="128"/>
  <c r="G232" i="128"/>
  <c r="J232" i="128"/>
  <c r="D232" i="128"/>
  <c r="G233" i="128"/>
  <c r="J233" i="128"/>
  <c r="D233" i="128"/>
  <c r="G234" i="128"/>
  <c r="J234" i="128"/>
  <c r="D234" i="128"/>
  <c r="G212" i="120"/>
  <c r="E37" i="120"/>
  <c r="H37" i="120"/>
  <c r="F38" i="120"/>
  <c r="F37" i="120"/>
  <c r="G133" i="120"/>
  <c r="J133" i="120"/>
  <c r="D133" i="120"/>
  <c r="G130" i="120"/>
  <c r="J130" i="120"/>
  <c r="D130" i="120"/>
  <c r="N201" i="120"/>
  <c r="G201" i="120"/>
  <c r="H60" i="120"/>
  <c r="O16" i="120"/>
  <c r="O15" i="120"/>
  <c r="O17" i="120"/>
  <c r="O18" i="120"/>
  <c r="O19" i="120"/>
  <c r="H32" i="120"/>
  <c r="BC84" i="120"/>
  <c r="G174" i="120"/>
  <c r="J174" i="120"/>
  <c r="G131" i="120"/>
  <c r="J131" i="120"/>
  <c r="D131" i="120"/>
  <c r="G132" i="120"/>
  <c r="J132" i="120"/>
  <c r="D132" i="120"/>
  <c r="G134" i="120"/>
  <c r="J134" i="120"/>
  <c r="D134" i="120"/>
  <c r="G135" i="120"/>
  <c r="J135" i="120"/>
  <c r="D135" i="120"/>
  <c r="G136" i="120"/>
  <c r="J136" i="120"/>
  <c r="D136" i="120"/>
  <c r="G137" i="120"/>
  <c r="J137" i="120"/>
  <c r="D137" i="120"/>
  <c r="G138" i="120"/>
  <c r="J138" i="120"/>
  <c r="D138" i="120"/>
  <c r="G139" i="120"/>
  <c r="J139" i="120"/>
  <c r="D139" i="120"/>
  <c r="G140" i="120"/>
  <c r="J140" i="120"/>
  <c r="D140" i="120"/>
  <c r="G141" i="120"/>
  <c r="J141" i="120"/>
  <c r="D141" i="120"/>
  <c r="G142" i="120"/>
  <c r="J142" i="120"/>
  <c r="D142" i="120"/>
  <c r="G143" i="120"/>
  <c r="J143" i="120"/>
  <c r="G144" i="120"/>
  <c r="J144" i="120"/>
  <c r="D144" i="120"/>
  <c r="G145" i="120"/>
  <c r="J145" i="120"/>
  <c r="D145" i="120"/>
  <c r="G146" i="120"/>
  <c r="J146" i="120"/>
  <c r="D146" i="120"/>
  <c r="G147" i="120"/>
  <c r="J147" i="120"/>
  <c r="D147" i="120"/>
  <c r="G148" i="120"/>
  <c r="J148" i="120"/>
  <c r="D148" i="120"/>
  <c r="G149" i="120"/>
  <c r="J149" i="120"/>
  <c r="D149" i="120"/>
  <c r="G150" i="120"/>
  <c r="J150" i="120"/>
  <c r="D150" i="120"/>
  <c r="G151" i="120"/>
  <c r="J151" i="120"/>
  <c r="D151" i="120"/>
  <c r="G152" i="120"/>
  <c r="J152" i="120"/>
  <c r="D152" i="120"/>
  <c r="G155" i="120"/>
  <c r="J155" i="120"/>
  <c r="D155" i="120"/>
  <c r="G156" i="120"/>
  <c r="J156" i="120"/>
  <c r="D156" i="120"/>
  <c r="G157" i="120"/>
  <c r="J157" i="120"/>
  <c r="D157" i="120"/>
  <c r="G158" i="120"/>
  <c r="J158" i="120"/>
  <c r="D158" i="120"/>
  <c r="G159" i="120"/>
  <c r="J159" i="120"/>
  <c r="D159" i="120"/>
  <c r="G160" i="120"/>
  <c r="J160" i="120"/>
  <c r="D160" i="120"/>
  <c r="G161" i="120"/>
  <c r="J161" i="120"/>
  <c r="D161" i="120"/>
  <c r="G162" i="120"/>
  <c r="J162" i="120"/>
  <c r="D162" i="120"/>
  <c r="G163" i="120"/>
  <c r="J163" i="120"/>
  <c r="D163" i="120"/>
  <c r="G164" i="120"/>
  <c r="J164" i="120"/>
  <c r="D164" i="120"/>
  <c r="G165" i="120"/>
  <c r="J165" i="120"/>
  <c r="D165" i="120"/>
  <c r="G166" i="120"/>
  <c r="J166" i="120"/>
  <c r="D166" i="120"/>
  <c r="G167" i="120"/>
  <c r="J167" i="120"/>
  <c r="D167" i="120"/>
  <c r="G168" i="120"/>
  <c r="J168" i="120"/>
  <c r="D168" i="120"/>
  <c r="G169" i="120"/>
  <c r="J169" i="120"/>
  <c r="D169" i="120"/>
  <c r="G170" i="120"/>
  <c r="J170" i="120"/>
  <c r="D170" i="120"/>
  <c r="G171" i="120"/>
  <c r="J171" i="120"/>
  <c r="D171" i="120"/>
  <c r="G172" i="120"/>
  <c r="J172" i="120"/>
  <c r="D172" i="120"/>
  <c r="G173" i="120"/>
  <c r="J173" i="120"/>
  <c r="D173" i="120"/>
  <c r="G175" i="120"/>
  <c r="J175" i="120"/>
  <c r="G176" i="120"/>
  <c r="J176" i="120"/>
  <c r="D176" i="120"/>
  <c r="G177" i="120"/>
  <c r="J177" i="120"/>
  <c r="D177" i="120"/>
  <c r="G178" i="120"/>
  <c r="J178" i="120"/>
  <c r="D178" i="120"/>
  <c r="G179" i="120"/>
  <c r="J179" i="120"/>
  <c r="D179" i="120"/>
  <c r="G180" i="120"/>
  <c r="J180" i="120"/>
  <c r="D180" i="120"/>
  <c r="G181" i="120"/>
  <c r="J181" i="120"/>
  <c r="D181" i="120"/>
  <c r="G182" i="120"/>
  <c r="J182" i="120"/>
  <c r="D182" i="120"/>
  <c r="G183" i="120"/>
  <c r="J183" i="120"/>
  <c r="D183" i="120"/>
  <c r="G184" i="120"/>
  <c r="J184" i="120"/>
  <c r="D184" i="120"/>
  <c r="G185" i="120"/>
  <c r="J185" i="120"/>
  <c r="D185" i="120"/>
  <c r="G186" i="120"/>
  <c r="J186" i="120"/>
  <c r="D186" i="120"/>
  <c r="G187" i="120"/>
  <c r="J187" i="120"/>
  <c r="D187" i="120"/>
  <c r="G188" i="120"/>
  <c r="J188" i="120"/>
  <c r="D188" i="120"/>
  <c r="G189" i="120"/>
  <c r="J189" i="120"/>
  <c r="D189" i="120"/>
  <c r="G190" i="120"/>
  <c r="J190" i="120"/>
  <c r="D190" i="120"/>
  <c r="G191" i="120"/>
  <c r="J191" i="120"/>
  <c r="D191" i="120"/>
  <c r="G192" i="120"/>
  <c r="J192" i="120"/>
  <c r="D192" i="120"/>
  <c r="G193" i="120"/>
  <c r="J193" i="120"/>
  <c r="D193" i="120"/>
  <c r="G194" i="120"/>
  <c r="J194" i="120"/>
  <c r="D194" i="120"/>
  <c r="G195" i="120"/>
  <c r="J195" i="120"/>
  <c r="D195" i="120"/>
  <c r="G197" i="120"/>
  <c r="G198" i="120"/>
  <c r="J198" i="120"/>
  <c r="D198" i="120"/>
  <c r="G199" i="120"/>
  <c r="J199" i="120"/>
  <c r="D199" i="120"/>
  <c r="G200" i="120"/>
  <c r="J200" i="120"/>
  <c r="D200" i="120"/>
  <c r="G202" i="120"/>
  <c r="J202" i="120"/>
  <c r="D202" i="120"/>
  <c r="G203" i="120"/>
  <c r="J203" i="120"/>
  <c r="D203" i="120"/>
  <c r="G204" i="120"/>
  <c r="J204" i="120"/>
  <c r="D204" i="120"/>
  <c r="G205" i="120"/>
  <c r="J205" i="120"/>
  <c r="D205" i="120"/>
  <c r="G206" i="120"/>
  <c r="J206" i="120"/>
  <c r="D206" i="120"/>
  <c r="G207" i="120"/>
  <c r="J207" i="120"/>
  <c r="D207" i="120"/>
  <c r="G208" i="120"/>
  <c r="J208" i="120"/>
  <c r="D208" i="120"/>
  <c r="G209" i="120"/>
  <c r="J209" i="120"/>
  <c r="D209" i="120"/>
  <c r="G210" i="120"/>
  <c r="J210" i="120"/>
  <c r="D210" i="120"/>
  <c r="G211" i="120"/>
  <c r="J211" i="120"/>
  <c r="D211" i="120"/>
  <c r="G213" i="120"/>
  <c r="J213" i="120"/>
  <c r="D213" i="120"/>
  <c r="G214" i="120"/>
  <c r="J214" i="120"/>
  <c r="D214" i="120"/>
  <c r="G215" i="120"/>
  <c r="J215" i="120"/>
  <c r="D215" i="120"/>
  <c r="G216" i="120"/>
  <c r="J216" i="120"/>
  <c r="D216" i="120"/>
  <c r="G218" i="120"/>
  <c r="J218" i="120"/>
  <c r="D218" i="120"/>
  <c r="G219" i="120"/>
  <c r="J219" i="120"/>
  <c r="D219" i="120"/>
  <c r="G220" i="120"/>
  <c r="J220" i="120"/>
  <c r="D220" i="120"/>
  <c r="G222" i="120"/>
  <c r="J222" i="120"/>
  <c r="D222" i="120"/>
  <c r="G223" i="120"/>
  <c r="J223" i="120"/>
  <c r="D223" i="120"/>
  <c r="G224" i="120"/>
  <c r="J224" i="120"/>
  <c r="D224" i="120"/>
  <c r="G225" i="120"/>
  <c r="J225" i="120"/>
  <c r="D225" i="120"/>
  <c r="G226" i="120"/>
  <c r="J226" i="120"/>
  <c r="D226" i="120"/>
  <c r="G215" i="121"/>
  <c r="H60" i="121"/>
  <c r="O19" i="121"/>
  <c r="O18" i="121"/>
  <c r="O17" i="121"/>
  <c r="G151" i="121"/>
  <c r="J151" i="121"/>
  <c r="D151" i="121"/>
  <c r="G136" i="121"/>
  <c r="J136" i="121"/>
  <c r="D136" i="121"/>
  <c r="G200" i="121"/>
  <c r="G183" i="121"/>
  <c r="J183" i="121"/>
  <c r="D183" i="121"/>
  <c r="G133" i="121"/>
  <c r="J133" i="121"/>
  <c r="D133" i="121"/>
  <c r="N204" i="121"/>
  <c r="G204" i="121"/>
  <c r="O33" i="121"/>
  <c r="O34" i="121"/>
  <c r="E132" i="121"/>
  <c r="O16" i="121"/>
  <c r="O15" i="121"/>
  <c r="H32" i="121"/>
  <c r="BC87" i="121"/>
  <c r="G177" i="121"/>
  <c r="J177" i="121"/>
  <c r="G134" i="121"/>
  <c r="J134" i="121"/>
  <c r="D134" i="121"/>
  <c r="G135" i="121"/>
  <c r="J135" i="121"/>
  <c r="D135" i="121"/>
  <c r="G137" i="121"/>
  <c r="J137" i="121"/>
  <c r="D137" i="121"/>
  <c r="G138" i="121"/>
  <c r="J138" i="121"/>
  <c r="D138" i="121"/>
  <c r="G139" i="121"/>
  <c r="J139" i="121"/>
  <c r="D139" i="121"/>
  <c r="G140" i="121"/>
  <c r="J140" i="121"/>
  <c r="D140" i="121"/>
  <c r="G141" i="121"/>
  <c r="J141" i="121"/>
  <c r="D141" i="121"/>
  <c r="G142" i="121"/>
  <c r="J142" i="121"/>
  <c r="D142" i="121"/>
  <c r="G143" i="121"/>
  <c r="J143" i="121"/>
  <c r="D143" i="121"/>
  <c r="G144" i="121"/>
  <c r="J144" i="121"/>
  <c r="D144" i="121"/>
  <c r="G145" i="121"/>
  <c r="J145" i="121"/>
  <c r="D145" i="121"/>
  <c r="G146" i="121"/>
  <c r="J146" i="121"/>
  <c r="G147" i="121"/>
  <c r="J147" i="121"/>
  <c r="D147" i="121"/>
  <c r="G148" i="121"/>
  <c r="J148" i="121"/>
  <c r="D148" i="121"/>
  <c r="G149" i="121"/>
  <c r="J149" i="121"/>
  <c r="D149" i="121"/>
  <c r="G150" i="121"/>
  <c r="J150" i="121"/>
  <c r="D150" i="121"/>
  <c r="G152" i="121"/>
  <c r="J152" i="121"/>
  <c r="D152" i="121"/>
  <c r="G153" i="121"/>
  <c r="J153" i="121"/>
  <c r="D153" i="121"/>
  <c r="G154" i="121"/>
  <c r="J154" i="121"/>
  <c r="D154" i="121"/>
  <c r="G155" i="121"/>
  <c r="J155" i="121"/>
  <c r="D155" i="121"/>
  <c r="G158" i="121"/>
  <c r="J158" i="121"/>
  <c r="D158" i="121"/>
  <c r="G159" i="121"/>
  <c r="J159" i="121"/>
  <c r="D159" i="121"/>
  <c r="G160" i="121"/>
  <c r="J160" i="121"/>
  <c r="D160" i="121"/>
  <c r="G161" i="121"/>
  <c r="J161" i="121"/>
  <c r="D161" i="121"/>
  <c r="G162" i="121"/>
  <c r="J162" i="121"/>
  <c r="D162" i="121"/>
  <c r="G163" i="121"/>
  <c r="J163" i="121"/>
  <c r="D163" i="121"/>
  <c r="G164" i="121"/>
  <c r="J164" i="121"/>
  <c r="D164" i="121"/>
  <c r="G165" i="121"/>
  <c r="J165" i="121"/>
  <c r="D165" i="121"/>
  <c r="G166" i="121"/>
  <c r="J166" i="121"/>
  <c r="D166" i="121"/>
  <c r="G167" i="121"/>
  <c r="J167" i="121"/>
  <c r="D167" i="121"/>
  <c r="G168" i="121"/>
  <c r="J168" i="121"/>
  <c r="D168" i="121"/>
  <c r="G169" i="121"/>
  <c r="J169" i="121"/>
  <c r="D169" i="121"/>
  <c r="G170" i="121"/>
  <c r="J170" i="121"/>
  <c r="D170" i="121"/>
  <c r="G171" i="121"/>
  <c r="J171" i="121"/>
  <c r="D171" i="121"/>
  <c r="G172" i="121"/>
  <c r="J172" i="121"/>
  <c r="D172" i="121"/>
  <c r="G173" i="121"/>
  <c r="J173" i="121"/>
  <c r="D173" i="121"/>
  <c r="G174" i="121"/>
  <c r="J174" i="121"/>
  <c r="D174" i="121"/>
  <c r="G175" i="121"/>
  <c r="J175" i="121"/>
  <c r="D175" i="121"/>
  <c r="G176" i="121"/>
  <c r="J176" i="121"/>
  <c r="D176" i="121"/>
  <c r="G178" i="121"/>
  <c r="J178" i="121"/>
  <c r="G179" i="121"/>
  <c r="J179" i="121"/>
  <c r="D179" i="121"/>
  <c r="G180" i="121"/>
  <c r="J180" i="121"/>
  <c r="D180" i="121"/>
  <c r="G181" i="121"/>
  <c r="J181" i="121"/>
  <c r="D181" i="121"/>
  <c r="G182" i="121"/>
  <c r="J182" i="121"/>
  <c r="D182" i="121"/>
  <c r="G184" i="121"/>
  <c r="J184" i="121"/>
  <c r="D184" i="121"/>
  <c r="G185" i="121"/>
  <c r="J185" i="121"/>
  <c r="D185" i="121"/>
  <c r="G186" i="121"/>
  <c r="J186" i="121"/>
  <c r="D186" i="121"/>
  <c r="G187" i="121"/>
  <c r="J187" i="121"/>
  <c r="D187" i="121"/>
  <c r="G188" i="121"/>
  <c r="J188" i="121"/>
  <c r="D188" i="121"/>
  <c r="G189" i="121"/>
  <c r="J189" i="121"/>
  <c r="D189" i="121"/>
  <c r="G190" i="121"/>
  <c r="J190" i="121"/>
  <c r="D190" i="121"/>
  <c r="G191" i="121"/>
  <c r="J191" i="121"/>
  <c r="D191" i="121"/>
  <c r="G192" i="121"/>
  <c r="J192" i="121"/>
  <c r="D192" i="121"/>
  <c r="G193" i="121"/>
  <c r="J193" i="121"/>
  <c r="D193" i="121"/>
  <c r="G194" i="121"/>
  <c r="J194" i="121"/>
  <c r="D194" i="121"/>
  <c r="G195" i="121"/>
  <c r="J195" i="121"/>
  <c r="D195" i="121"/>
  <c r="G196" i="121"/>
  <c r="J196" i="121"/>
  <c r="D196" i="121"/>
  <c r="G197" i="121"/>
  <c r="J197" i="121"/>
  <c r="D197" i="121"/>
  <c r="G198" i="121"/>
  <c r="J198" i="121"/>
  <c r="D198" i="121"/>
  <c r="G201" i="121"/>
  <c r="J201" i="121"/>
  <c r="D201" i="121"/>
  <c r="G202" i="121"/>
  <c r="J202" i="121"/>
  <c r="D202" i="121"/>
  <c r="G203" i="121"/>
  <c r="J203" i="121"/>
  <c r="D203" i="121"/>
  <c r="G205" i="121"/>
  <c r="J205" i="121"/>
  <c r="D205" i="121"/>
  <c r="G206" i="121"/>
  <c r="J206" i="121"/>
  <c r="D206" i="121"/>
  <c r="G207" i="121"/>
  <c r="J207" i="121"/>
  <c r="D207" i="121"/>
  <c r="G208" i="121"/>
  <c r="J208" i="121"/>
  <c r="D208" i="121"/>
  <c r="G209" i="121"/>
  <c r="J209" i="121"/>
  <c r="D209" i="121"/>
  <c r="G210" i="121"/>
  <c r="J210" i="121"/>
  <c r="D210" i="121"/>
  <c r="G211" i="121"/>
  <c r="J211" i="121"/>
  <c r="D211" i="121"/>
  <c r="G212" i="121"/>
  <c r="J212" i="121"/>
  <c r="D212" i="121"/>
  <c r="G213" i="121"/>
  <c r="J213" i="121"/>
  <c r="D213" i="121"/>
  <c r="G214" i="121"/>
  <c r="J214" i="121"/>
  <c r="D214" i="121"/>
  <c r="G216" i="121"/>
  <c r="J216" i="121"/>
  <c r="D216" i="121"/>
  <c r="G217" i="121"/>
  <c r="J217" i="121"/>
  <c r="D217" i="121"/>
  <c r="G218" i="121"/>
  <c r="J218" i="121"/>
  <c r="D218" i="121"/>
  <c r="G219" i="121"/>
  <c r="J219" i="121"/>
  <c r="D219" i="121"/>
  <c r="G221" i="121"/>
  <c r="J221" i="121"/>
  <c r="D221" i="121"/>
  <c r="G222" i="121"/>
  <c r="J222" i="121"/>
  <c r="D222" i="121"/>
  <c r="G223" i="121"/>
  <c r="J223" i="121"/>
  <c r="D223" i="121"/>
  <c r="G225" i="121"/>
  <c r="J225" i="121"/>
  <c r="D225" i="121"/>
  <c r="G226" i="121"/>
  <c r="J226" i="121"/>
  <c r="D226" i="121"/>
  <c r="G227" i="121"/>
  <c r="J227" i="121"/>
  <c r="D227" i="121"/>
  <c r="G228" i="121"/>
  <c r="J228" i="121"/>
  <c r="D228" i="121"/>
  <c r="G229" i="121"/>
  <c r="J229" i="121"/>
  <c r="D229" i="121"/>
  <c r="H177" i="121"/>
  <c r="K177" i="121"/>
  <c r="H133" i="121"/>
  <c r="K133" i="121"/>
  <c r="E133" i="121"/>
  <c r="H134" i="121"/>
  <c r="K134" i="121"/>
  <c r="E134" i="121"/>
  <c r="H135" i="121"/>
  <c r="K135" i="121"/>
  <c r="E135" i="121"/>
  <c r="H136" i="121"/>
  <c r="K136" i="121"/>
  <c r="E136" i="121"/>
  <c r="H137" i="121"/>
  <c r="K137" i="121"/>
  <c r="E137" i="121"/>
  <c r="H138" i="121"/>
  <c r="K138" i="121"/>
  <c r="E138" i="121"/>
  <c r="H139" i="121"/>
  <c r="K139" i="121"/>
  <c r="E139" i="121"/>
  <c r="H140" i="121"/>
  <c r="K140" i="121"/>
  <c r="E140" i="121"/>
  <c r="H141" i="121"/>
  <c r="K141" i="121"/>
  <c r="E141" i="121"/>
  <c r="H142" i="121"/>
  <c r="K142" i="121"/>
  <c r="E142" i="121"/>
  <c r="H143" i="121"/>
  <c r="K143" i="121"/>
  <c r="E143" i="121"/>
  <c r="H144" i="121"/>
  <c r="K144" i="121"/>
  <c r="E144" i="121"/>
  <c r="H145" i="121"/>
  <c r="K145" i="121"/>
  <c r="E145" i="121"/>
  <c r="H146" i="121"/>
  <c r="K146" i="121"/>
  <c r="H147" i="121"/>
  <c r="K147" i="121"/>
  <c r="E147" i="121"/>
  <c r="H148" i="121"/>
  <c r="K148" i="121"/>
  <c r="E148" i="121"/>
  <c r="H149" i="121"/>
  <c r="K149" i="121"/>
  <c r="E149" i="121"/>
  <c r="H150" i="121"/>
  <c r="K150" i="121"/>
  <c r="E150" i="121"/>
  <c r="H151" i="121"/>
  <c r="K151" i="121"/>
  <c r="E151" i="121"/>
  <c r="H152" i="121"/>
  <c r="K152" i="121"/>
  <c r="E152" i="121"/>
  <c r="H153" i="121"/>
  <c r="K153" i="121"/>
  <c r="E153" i="121"/>
  <c r="H154" i="121"/>
  <c r="K154" i="121"/>
  <c r="E154" i="121"/>
  <c r="H155" i="121"/>
  <c r="K155" i="121"/>
  <c r="E155" i="121"/>
  <c r="H158" i="121"/>
  <c r="K158" i="121"/>
  <c r="E158" i="121"/>
  <c r="H159" i="121"/>
  <c r="K159" i="121"/>
  <c r="E159" i="121"/>
  <c r="H160" i="121"/>
  <c r="K160" i="121"/>
  <c r="E160" i="121"/>
  <c r="H161" i="121"/>
  <c r="K161" i="121"/>
  <c r="E161" i="121"/>
  <c r="H162" i="121"/>
  <c r="K162" i="121"/>
  <c r="E162" i="121"/>
  <c r="H163" i="121"/>
  <c r="K163" i="121"/>
  <c r="E163" i="121"/>
  <c r="H164" i="121"/>
  <c r="K164" i="121"/>
  <c r="E164" i="121"/>
  <c r="H165" i="121"/>
  <c r="K165" i="121"/>
  <c r="E165" i="121"/>
  <c r="H166" i="121"/>
  <c r="K166" i="121"/>
  <c r="E166" i="121"/>
  <c r="H167" i="121"/>
  <c r="K167" i="121"/>
  <c r="E167" i="121"/>
  <c r="H168" i="121"/>
  <c r="K168" i="121"/>
  <c r="E168" i="121"/>
  <c r="H169" i="121"/>
  <c r="K169" i="121"/>
  <c r="E169" i="121"/>
  <c r="H170" i="121"/>
  <c r="K170" i="121"/>
  <c r="E170" i="121"/>
  <c r="H171" i="121"/>
  <c r="K171" i="121"/>
  <c r="E171" i="121"/>
  <c r="H172" i="121"/>
  <c r="K172" i="121"/>
  <c r="E172" i="121"/>
  <c r="H173" i="121"/>
  <c r="K173" i="121"/>
  <c r="E173" i="121"/>
  <c r="H174" i="121"/>
  <c r="K174" i="121"/>
  <c r="E174" i="121"/>
  <c r="H175" i="121"/>
  <c r="K175" i="121"/>
  <c r="E175" i="121"/>
  <c r="H176" i="121"/>
  <c r="K176" i="121"/>
  <c r="E176" i="121"/>
  <c r="H178" i="121"/>
  <c r="K178" i="121"/>
  <c r="H179" i="121"/>
  <c r="K179" i="121"/>
  <c r="E179" i="121"/>
  <c r="H180" i="121"/>
  <c r="K180" i="121"/>
  <c r="E180" i="121"/>
  <c r="H181" i="121"/>
  <c r="K181" i="121"/>
  <c r="E181" i="121"/>
  <c r="H182" i="121"/>
  <c r="K182" i="121"/>
  <c r="E182" i="121"/>
  <c r="H183" i="121"/>
  <c r="K183" i="121"/>
  <c r="E183" i="121"/>
  <c r="H184" i="121"/>
  <c r="K184" i="121"/>
  <c r="E184" i="121"/>
  <c r="H185" i="121"/>
  <c r="K185" i="121"/>
  <c r="E185" i="121"/>
  <c r="H186" i="121"/>
  <c r="K186" i="121"/>
  <c r="E186" i="121"/>
  <c r="H187" i="121"/>
  <c r="K187" i="121"/>
  <c r="E187" i="121"/>
  <c r="H188" i="121"/>
  <c r="K188" i="121"/>
  <c r="E188" i="121"/>
  <c r="H189" i="121"/>
  <c r="K189" i="121"/>
  <c r="E189" i="121"/>
  <c r="H190" i="121"/>
  <c r="K190" i="121"/>
  <c r="E190" i="121"/>
  <c r="H191" i="121"/>
  <c r="K191" i="121"/>
  <c r="E191" i="121"/>
  <c r="H192" i="121"/>
  <c r="K192" i="121"/>
  <c r="E192" i="121"/>
  <c r="H193" i="121"/>
  <c r="K193" i="121"/>
  <c r="E193" i="121"/>
  <c r="H194" i="121"/>
  <c r="K194" i="121"/>
  <c r="E194" i="121"/>
  <c r="H195" i="121"/>
  <c r="K195" i="121"/>
  <c r="E195" i="121"/>
  <c r="H196" i="121"/>
  <c r="K196" i="121"/>
  <c r="E196" i="121"/>
  <c r="H197" i="121"/>
  <c r="K197" i="121"/>
  <c r="E197" i="121"/>
  <c r="H198" i="121"/>
  <c r="K198" i="121"/>
  <c r="E198" i="121"/>
  <c r="H201" i="121"/>
  <c r="K201" i="121"/>
  <c r="E201" i="121"/>
  <c r="H202" i="121"/>
  <c r="K202" i="121"/>
  <c r="E202" i="121"/>
  <c r="H203" i="121"/>
  <c r="K203" i="121"/>
  <c r="E203" i="121"/>
  <c r="H205" i="121"/>
  <c r="K205" i="121"/>
  <c r="E205" i="121"/>
  <c r="H206" i="121"/>
  <c r="K206" i="121"/>
  <c r="E206" i="121"/>
  <c r="H207" i="121"/>
  <c r="K207" i="121"/>
  <c r="E207" i="121"/>
  <c r="H208" i="121"/>
  <c r="K208" i="121"/>
  <c r="E208" i="121"/>
  <c r="H209" i="121"/>
  <c r="K209" i="121"/>
  <c r="E209" i="121"/>
  <c r="H210" i="121"/>
  <c r="K210" i="121"/>
  <c r="E210" i="121"/>
  <c r="H211" i="121"/>
  <c r="K211" i="121"/>
  <c r="E211" i="121"/>
  <c r="H212" i="121"/>
  <c r="K212" i="121"/>
  <c r="E212" i="121"/>
  <c r="H213" i="121"/>
  <c r="K213" i="121"/>
  <c r="E213" i="121"/>
  <c r="H214" i="121"/>
  <c r="K214" i="121"/>
  <c r="E214" i="121"/>
  <c r="H216" i="121"/>
  <c r="K216" i="121"/>
  <c r="E216" i="121"/>
  <c r="H217" i="121"/>
  <c r="K217" i="121"/>
  <c r="E217" i="121"/>
  <c r="H218" i="121"/>
  <c r="K218" i="121"/>
  <c r="E218" i="121"/>
  <c r="H219" i="121"/>
  <c r="K219" i="121"/>
  <c r="E219" i="121"/>
  <c r="H221" i="121"/>
  <c r="K221" i="121"/>
  <c r="E221" i="121"/>
  <c r="H222" i="121"/>
  <c r="K222" i="121"/>
  <c r="E222" i="121"/>
  <c r="H223" i="121"/>
  <c r="K223" i="121"/>
  <c r="E223" i="121"/>
  <c r="H225" i="121"/>
  <c r="K225" i="121"/>
  <c r="E225" i="121"/>
  <c r="H226" i="121"/>
  <c r="K226" i="121"/>
  <c r="E226" i="121"/>
  <c r="H227" i="121"/>
  <c r="K227" i="121"/>
  <c r="E227" i="121"/>
  <c r="H228" i="121"/>
  <c r="K228" i="121"/>
  <c r="E228" i="121"/>
  <c r="H229" i="121"/>
  <c r="K229" i="121"/>
  <c r="E229" i="121"/>
  <c r="E37" i="121"/>
  <c r="F37" i="121"/>
  <c r="H37" i="121"/>
  <c r="G211" i="115"/>
  <c r="G147" i="115"/>
  <c r="J147" i="115"/>
  <c r="D147" i="115"/>
  <c r="G132" i="115"/>
  <c r="J132" i="115"/>
  <c r="D132" i="115"/>
  <c r="G196" i="115"/>
  <c r="G179" i="115"/>
  <c r="J179" i="115"/>
  <c r="D179" i="115"/>
  <c r="G129" i="115"/>
  <c r="J129" i="115"/>
  <c r="D129" i="115"/>
  <c r="N200" i="115"/>
  <c r="G200" i="115"/>
  <c r="H32" i="115"/>
  <c r="BC83" i="115"/>
  <c r="G173" i="115"/>
  <c r="J173" i="115"/>
  <c r="O33" i="115"/>
  <c r="O34" i="115"/>
  <c r="E128" i="115"/>
  <c r="G130" i="115"/>
  <c r="J130" i="115"/>
  <c r="D130" i="115"/>
  <c r="G131" i="115"/>
  <c r="J131" i="115"/>
  <c r="D131" i="115"/>
  <c r="G133" i="115"/>
  <c r="J133" i="115"/>
  <c r="D133" i="115"/>
  <c r="G134" i="115"/>
  <c r="J134" i="115"/>
  <c r="D134" i="115"/>
  <c r="G135" i="115"/>
  <c r="J135" i="115"/>
  <c r="D135" i="115"/>
  <c r="G136" i="115"/>
  <c r="J136" i="115"/>
  <c r="D136" i="115"/>
  <c r="G137" i="115"/>
  <c r="J137" i="115"/>
  <c r="D137" i="115"/>
  <c r="G138" i="115"/>
  <c r="J138" i="115"/>
  <c r="D138" i="115"/>
  <c r="G139" i="115"/>
  <c r="J139" i="115"/>
  <c r="D139" i="115"/>
  <c r="G140" i="115"/>
  <c r="J140" i="115"/>
  <c r="D140" i="115"/>
  <c r="G141" i="115"/>
  <c r="J141" i="115"/>
  <c r="D141" i="115"/>
  <c r="G142" i="115"/>
  <c r="J142" i="115"/>
  <c r="G143" i="115"/>
  <c r="J143" i="115"/>
  <c r="D143" i="115"/>
  <c r="G144" i="115"/>
  <c r="J144" i="115"/>
  <c r="D144" i="115"/>
  <c r="G145" i="115"/>
  <c r="J145" i="115"/>
  <c r="D145" i="115"/>
  <c r="G146" i="115"/>
  <c r="J146" i="115"/>
  <c r="D146" i="115"/>
  <c r="G148" i="115"/>
  <c r="J148" i="115"/>
  <c r="D148" i="115"/>
  <c r="G149" i="115"/>
  <c r="J149" i="115"/>
  <c r="D149" i="115"/>
  <c r="G150" i="115"/>
  <c r="J150" i="115"/>
  <c r="D150" i="115"/>
  <c r="G151" i="115"/>
  <c r="J151" i="115"/>
  <c r="D151" i="115"/>
  <c r="G154" i="115"/>
  <c r="J154" i="115"/>
  <c r="D154" i="115"/>
  <c r="G155" i="115"/>
  <c r="J155" i="115"/>
  <c r="D155" i="115"/>
  <c r="G156" i="115"/>
  <c r="J156" i="115"/>
  <c r="D156" i="115"/>
  <c r="G157" i="115"/>
  <c r="J157" i="115"/>
  <c r="D157" i="115"/>
  <c r="G158" i="115"/>
  <c r="J158" i="115"/>
  <c r="D158" i="115"/>
  <c r="G159" i="115"/>
  <c r="J159" i="115"/>
  <c r="D159" i="115"/>
  <c r="G160" i="115"/>
  <c r="J160" i="115"/>
  <c r="D160" i="115"/>
  <c r="G161" i="115"/>
  <c r="J161" i="115"/>
  <c r="D161" i="115"/>
  <c r="G162" i="115"/>
  <c r="J162" i="115"/>
  <c r="D162" i="115"/>
  <c r="G163" i="115"/>
  <c r="J163" i="115"/>
  <c r="D163" i="115"/>
  <c r="G164" i="115"/>
  <c r="J164" i="115"/>
  <c r="D164" i="115"/>
  <c r="G165" i="115"/>
  <c r="J165" i="115"/>
  <c r="D165" i="115"/>
  <c r="G166" i="115"/>
  <c r="J166" i="115"/>
  <c r="D166" i="115"/>
  <c r="G167" i="115"/>
  <c r="J167" i="115"/>
  <c r="D167" i="115"/>
  <c r="G168" i="115"/>
  <c r="J168" i="115"/>
  <c r="D168" i="115"/>
  <c r="G169" i="115"/>
  <c r="J169" i="115"/>
  <c r="D169" i="115"/>
  <c r="G170" i="115"/>
  <c r="J170" i="115"/>
  <c r="D170" i="115"/>
  <c r="G171" i="115"/>
  <c r="J171" i="115"/>
  <c r="D171" i="115"/>
  <c r="G172" i="115"/>
  <c r="J172" i="115"/>
  <c r="D172" i="115"/>
  <c r="G174" i="115"/>
  <c r="J174" i="115"/>
  <c r="G175" i="115"/>
  <c r="J175" i="115"/>
  <c r="D175" i="115"/>
  <c r="G176" i="115"/>
  <c r="J176" i="115"/>
  <c r="D176" i="115"/>
  <c r="G177" i="115"/>
  <c r="J177" i="115"/>
  <c r="D177" i="115"/>
  <c r="G178" i="115"/>
  <c r="J178" i="115"/>
  <c r="D178" i="115"/>
  <c r="G180" i="115"/>
  <c r="J180" i="115"/>
  <c r="D180" i="115"/>
  <c r="G181" i="115"/>
  <c r="J181" i="115"/>
  <c r="D181" i="115"/>
  <c r="G182" i="115"/>
  <c r="J182" i="115"/>
  <c r="D182" i="115"/>
  <c r="G183" i="115"/>
  <c r="J183" i="115"/>
  <c r="D183" i="115"/>
  <c r="G184" i="115"/>
  <c r="J184" i="115"/>
  <c r="D184" i="115"/>
  <c r="G185" i="115"/>
  <c r="J185" i="115"/>
  <c r="D185" i="115"/>
  <c r="G186" i="115"/>
  <c r="J186" i="115"/>
  <c r="D186" i="115"/>
  <c r="G187" i="115"/>
  <c r="J187" i="115"/>
  <c r="D187" i="115"/>
  <c r="G188" i="115"/>
  <c r="J188" i="115"/>
  <c r="D188" i="115"/>
  <c r="G189" i="115"/>
  <c r="J189" i="115"/>
  <c r="D189" i="115"/>
  <c r="G190" i="115"/>
  <c r="J190" i="115"/>
  <c r="D190" i="115"/>
  <c r="G191" i="115"/>
  <c r="J191" i="115"/>
  <c r="D191" i="115"/>
  <c r="G192" i="115"/>
  <c r="J192" i="115"/>
  <c r="D192" i="115"/>
  <c r="G193" i="115"/>
  <c r="J193" i="115"/>
  <c r="D193" i="115"/>
  <c r="G194" i="115"/>
  <c r="J194" i="115"/>
  <c r="D194" i="115"/>
  <c r="G197" i="115"/>
  <c r="J197" i="115"/>
  <c r="D197" i="115"/>
  <c r="G198" i="115"/>
  <c r="J198" i="115"/>
  <c r="D198" i="115"/>
  <c r="G199" i="115"/>
  <c r="J199" i="115"/>
  <c r="D199" i="115"/>
  <c r="G201" i="115"/>
  <c r="J201" i="115"/>
  <c r="D201" i="115"/>
  <c r="G202" i="115"/>
  <c r="J202" i="115"/>
  <c r="D202" i="115"/>
  <c r="G203" i="115"/>
  <c r="J203" i="115"/>
  <c r="D203" i="115"/>
  <c r="G204" i="115"/>
  <c r="J204" i="115"/>
  <c r="D204" i="115"/>
  <c r="G205" i="115"/>
  <c r="J205" i="115"/>
  <c r="D205" i="115"/>
  <c r="G206" i="115"/>
  <c r="J206" i="115"/>
  <c r="D206" i="115"/>
  <c r="G207" i="115"/>
  <c r="J207" i="115"/>
  <c r="D207" i="115"/>
  <c r="G208" i="115"/>
  <c r="J208" i="115"/>
  <c r="D208" i="115"/>
  <c r="G209" i="115"/>
  <c r="J209" i="115"/>
  <c r="D209" i="115"/>
  <c r="G210" i="115"/>
  <c r="J210" i="115"/>
  <c r="D210" i="115"/>
  <c r="G212" i="115"/>
  <c r="J212" i="115"/>
  <c r="D212" i="115"/>
  <c r="G213" i="115"/>
  <c r="J213" i="115"/>
  <c r="D213" i="115"/>
  <c r="G214" i="115"/>
  <c r="J214" i="115"/>
  <c r="D214" i="115"/>
  <c r="G215" i="115"/>
  <c r="J215" i="115"/>
  <c r="D215" i="115"/>
  <c r="G217" i="115"/>
  <c r="J217" i="115"/>
  <c r="D217" i="115"/>
  <c r="G218" i="115"/>
  <c r="J218" i="115"/>
  <c r="D218" i="115"/>
  <c r="G219" i="115"/>
  <c r="J219" i="115"/>
  <c r="D219" i="115"/>
  <c r="G221" i="115"/>
  <c r="J221" i="115"/>
  <c r="D221" i="115"/>
  <c r="G222" i="115"/>
  <c r="J222" i="115"/>
  <c r="D222" i="115"/>
  <c r="G223" i="115"/>
  <c r="J223" i="115"/>
  <c r="D223" i="115"/>
  <c r="G224" i="115"/>
  <c r="J224" i="115"/>
  <c r="D224" i="115"/>
  <c r="G225" i="115"/>
  <c r="J225" i="115"/>
  <c r="D225" i="115"/>
  <c r="O16" i="115"/>
  <c r="O15" i="115"/>
  <c r="O17" i="115"/>
  <c r="O18" i="115"/>
  <c r="O19" i="115"/>
  <c r="H173" i="115"/>
  <c r="K173" i="115"/>
  <c r="H129" i="115"/>
  <c r="K129" i="115"/>
  <c r="E129" i="115"/>
  <c r="H130" i="115"/>
  <c r="K130" i="115"/>
  <c r="E130" i="115"/>
  <c r="H131" i="115"/>
  <c r="K131" i="115"/>
  <c r="E131" i="115"/>
  <c r="H132" i="115"/>
  <c r="K132" i="115"/>
  <c r="E132" i="115"/>
  <c r="H133" i="115"/>
  <c r="K133" i="115"/>
  <c r="E133" i="115"/>
  <c r="H134" i="115"/>
  <c r="K134" i="115"/>
  <c r="E134" i="115"/>
  <c r="H135" i="115"/>
  <c r="K135" i="115"/>
  <c r="E135" i="115"/>
  <c r="H136" i="115"/>
  <c r="K136" i="115"/>
  <c r="E136" i="115"/>
  <c r="H137" i="115"/>
  <c r="K137" i="115"/>
  <c r="E137" i="115"/>
  <c r="H138" i="115"/>
  <c r="K138" i="115"/>
  <c r="E138" i="115"/>
  <c r="H139" i="115"/>
  <c r="K139" i="115"/>
  <c r="E139" i="115"/>
  <c r="H140" i="115"/>
  <c r="K140" i="115"/>
  <c r="E140" i="115"/>
  <c r="H141" i="115"/>
  <c r="K141" i="115"/>
  <c r="E141" i="115"/>
  <c r="H142" i="115"/>
  <c r="K142" i="115"/>
  <c r="H143" i="115"/>
  <c r="K143" i="115"/>
  <c r="E143" i="115"/>
  <c r="H144" i="115"/>
  <c r="K144" i="115"/>
  <c r="E144" i="115"/>
  <c r="H145" i="115"/>
  <c r="K145" i="115"/>
  <c r="E145" i="115"/>
  <c r="H146" i="115"/>
  <c r="K146" i="115"/>
  <c r="E146" i="115"/>
  <c r="H147" i="115"/>
  <c r="K147" i="115"/>
  <c r="E147" i="115"/>
  <c r="H148" i="115"/>
  <c r="K148" i="115"/>
  <c r="E148" i="115"/>
  <c r="H149" i="115"/>
  <c r="K149" i="115"/>
  <c r="E149" i="115"/>
  <c r="H150" i="115"/>
  <c r="K150" i="115"/>
  <c r="E150" i="115"/>
  <c r="H151" i="115"/>
  <c r="K151" i="115"/>
  <c r="E151" i="115"/>
  <c r="H154" i="115"/>
  <c r="K154" i="115"/>
  <c r="E154" i="115"/>
  <c r="H155" i="115"/>
  <c r="K155" i="115"/>
  <c r="E155" i="115"/>
  <c r="H156" i="115"/>
  <c r="K156" i="115"/>
  <c r="E156" i="115"/>
  <c r="H157" i="115"/>
  <c r="K157" i="115"/>
  <c r="E157" i="115"/>
  <c r="H158" i="115"/>
  <c r="K158" i="115"/>
  <c r="E158" i="115"/>
  <c r="H159" i="115"/>
  <c r="K159" i="115"/>
  <c r="E159" i="115"/>
  <c r="H160" i="115"/>
  <c r="K160" i="115"/>
  <c r="E160" i="115"/>
  <c r="H161" i="115"/>
  <c r="K161" i="115"/>
  <c r="E161" i="115"/>
  <c r="H162" i="115"/>
  <c r="K162" i="115"/>
  <c r="E162" i="115"/>
  <c r="H163" i="115"/>
  <c r="K163" i="115"/>
  <c r="E163" i="115"/>
  <c r="H164" i="115"/>
  <c r="K164" i="115"/>
  <c r="E164" i="115"/>
  <c r="H165" i="115"/>
  <c r="K165" i="115"/>
  <c r="E165" i="115"/>
  <c r="H166" i="115"/>
  <c r="K166" i="115"/>
  <c r="E166" i="115"/>
  <c r="H167" i="115"/>
  <c r="K167" i="115"/>
  <c r="E167" i="115"/>
  <c r="H168" i="115"/>
  <c r="K168" i="115"/>
  <c r="E168" i="115"/>
  <c r="H169" i="115"/>
  <c r="K169" i="115"/>
  <c r="E169" i="115"/>
  <c r="H170" i="115"/>
  <c r="K170" i="115"/>
  <c r="E170" i="115"/>
  <c r="H171" i="115"/>
  <c r="K171" i="115"/>
  <c r="E171" i="115"/>
  <c r="H172" i="115"/>
  <c r="K172" i="115"/>
  <c r="E172" i="115"/>
  <c r="H174" i="115"/>
  <c r="K174" i="115"/>
  <c r="H175" i="115"/>
  <c r="K175" i="115"/>
  <c r="E175" i="115"/>
  <c r="H176" i="115"/>
  <c r="K176" i="115"/>
  <c r="E176" i="115"/>
  <c r="H177" i="115"/>
  <c r="K177" i="115"/>
  <c r="E177" i="115"/>
  <c r="H178" i="115"/>
  <c r="K178" i="115"/>
  <c r="E178" i="115"/>
  <c r="H179" i="115"/>
  <c r="K179" i="115"/>
  <c r="E179" i="115"/>
  <c r="H180" i="115"/>
  <c r="K180" i="115"/>
  <c r="E180" i="115"/>
  <c r="H181" i="115"/>
  <c r="K181" i="115"/>
  <c r="E181" i="115"/>
  <c r="H182" i="115"/>
  <c r="K182" i="115"/>
  <c r="E182" i="115"/>
  <c r="H183" i="115"/>
  <c r="K183" i="115"/>
  <c r="E183" i="115"/>
  <c r="H184" i="115"/>
  <c r="K184" i="115"/>
  <c r="E184" i="115"/>
  <c r="H185" i="115"/>
  <c r="K185" i="115"/>
  <c r="E185" i="115"/>
  <c r="H186" i="115"/>
  <c r="K186" i="115"/>
  <c r="E186" i="115"/>
  <c r="H187" i="115"/>
  <c r="K187" i="115"/>
  <c r="E187" i="115"/>
  <c r="H188" i="115"/>
  <c r="K188" i="115"/>
  <c r="E188" i="115"/>
  <c r="H189" i="115"/>
  <c r="K189" i="115"/>
  <c r="E189" i="115"/>
  <c r="H190" i="115"/>
  <c r="K190" i="115"/>
  <c r="E190" i="115"/>
  <c r="H191" i="115"/>
  <c r="K191" i="115"/>
  <c r="E191" i="115"/>
  <c r="H192" i="115"/>
  <c r="K192" i="115"/>
  <c r="E192" i="115"/>
  <c r="H193" i="115"/>
  <c r="K193" i="115"/>
  <c r="E193" i="115"/>
  <c r="H194" i="115"/>
  <c r="K194" i="115"/>
  <c r="E194" i="115"/>
  <c r="H197" i="115"/>
  <c r="K197" i="115"/>
  <c r="E197" i="115"/>
  <c r="H198" i="115"/>
  <c r="K198" i="115"/>
  <c r="E198" i="115"/>
  <c r="H199" i="115"/>
  <c r="K199" i="115"/>
  <c r="E199" i="115"/>
  <c r="H201" i="115"/>
  <c r="K201" i="115"/>
  <c r="E201" i="115"/>
  <c r="H202" i="115"/>
  <c r="K202" i="115"/>
  <c r="E202" i="115"/>
  <c r="H203" i="115"/>
  <c r="K203" i="115"/>
  <c r="E203" i="115"/>
  <c r="H204" i="115"/>
  <c r="K204" i="115"/>
  <c r="E204" i="115"/>
  <c r="H205" i="115"/>
  <c r="K205" i="115"/>
  <c r="E205" i="115"/>
  <c r="H206" i="115"/>
  <c r="K206" i="115"/>
  <c r="E206" i="115"/>
  <c r="H207" i="115"/>
  <c r="K207" i="115"/>
  <c r="E207" i="115"/>
  <c r="H208" i="115"/>
  <c r="K208" i="115"/>
  <c r="E208" i="115"/>
  <c r="H209" i="115"/>
  <c r="K209" i="115"/>
  <c r="E209" i="115"/>
  <c r="H210" i="115"/>
  <c r="K210" i="115"/>
  <c r="E210" i="115"/>
  <c r="H212" i="115"/>
  <c r="K212" i="115"/>
  <c r="E212" i="115"/>
  <c r="H213" i="115"/>
  <c r="K213" i="115"/>
  <c r="E213" i="115"/>
  <c r="H214" i="115"/>
  <c r="K214" i="115"/>
  <c r="E214" i="115"/>
  <c r="H215" i="115"/>
  <c r="K215" i="115"/>
  <c r="E215" i="115"/>
  <c r="H217" i="115"/>
  <c r="K217" i="115"/>
  <c r="E217" i="115"/>
  <c r="H218" i="115"/>
  <c r="K218" i="115"/>
  <c r="E218" i="115"/>
  <c r="H219" i="115"/>
  <c r="K219" i="115"/>
  <c r="E219" i="115"/>
  <c r="H221" i="115"/>
  <c r="K221" i="115"/>
  <c r="E221" i="115"/>
  <c r="H222" i="115"/>
  <c r="K222" i="115"/>
  <c r="E222" i="115"/>
  <c r="H223" i="115"/>
  <c r="K223" i="115"/>
  <c r="E223" i="115"/>
  <c r="H224" i="115"/>
  <c r="K224" i="115"/>
  <c r="E224" i="115"/>
  <c r="H225" i="115"/>
  <c r="K225" i="115"/>
  <c r="E225" i="115"/>
  <c r="E37" i="115"/>
  <c r="F37" i="115"/>
  <c r="H37" i="115"/>
  <c r="G216" i="125"/>
  <c r="E37" i="125"/>
  <c r="H37" i="125"/>
  <c r="F38" i="125"/>
  <c r="F37" i="125"/>
  <c r="O33" i="125"/>
  <c r="O34" i="125"/>
  <c r="E133" i="125"/>
  <c r="H137" i="125"/>
  <c r="K137" i="125"/>
  <c r="E137" i="125"/>
  <c r="G137" i="125"/>
  <c r="J137" i="125"/>
  <c r="D137" i="125"/>
  <c r="G134" i="125"/>
  <c r="J134" i="125"/>
  <c r="D134" i="125"/>
  <c r="N205" i="125"/>
  <c r="G205" i="125"/>
  <c r="H32" i="125"/>
  <c r="BC88" i="125"/>
  <c r="G178" i="125"/>
  <c r="J178" i="125"/>
  <c r="H178" i="125"/>
  <c r="K178" i="125"/>
  <c r="H134" i="125"/>
  <c r="K134" i="125"/>
  <c r="E134" i="125"/>
  <c r="G135" i="125"/>
  <c r="J135" i="125"/>
  <c r="D135" i="125"/>
  <c r="H135" i="125"/>
  <c r="K135" i="125"/>
  <c r="E135" i="125"/>
  <c r="G136" i="125"/>
  <c r="J136" i="125"/>
  <c r="D136" i="125"/>
  <c r="H136" i="125"/>
  <c r="K136" i="125"/>
  <c r="E136" i="125"/>
  <c r="G138" i="125"/>
  <c r="J138" i="125"/>
  <c r="D138" i="125"/>
  <c r="H138" i="125"/>
  <c r="K138" i="125"/>
  <c r="E138" i="125"/>
  <c r="G139" i="125"/>
  <c r="J139" i="125"/>
  <c r="D139" i="125"/>
  <c r="H139" i="125"/>
  <c r="K139" i="125"/>
  <c r="E139" i="125"/>
  <c r="G140" i="125"/>
  <c r="J140" i="125"/>
  <c r="D140" i="125"/>
  <c r="H140" i="125"/>
  <c r="K140" i="125"/>
  <c r="E140" i="125"/>
  <c r="G141" i="125"/>
  <c r="J141" i="125"/>
  <c r="D141" i="125"/>
  <c r="H141" i="125"/>
  <c r="K141" i="125"/>
  <c r="E141" i="125"/>
  <c r="G142" i="125"/>
  <c r="J142" i="125"/>
  <c r="D142" i="125"/>
  <c r="H142" i="125"/>
  <c r="K142" i="125"/>
  <c r="E142" i="125"/>
  <c r="G143" i="125"/>
  <c r="J143" i="125"/>
  <c r="D143" i="125"/>
  <c r="H143" i="125"/>
  <c r="K143" i="125"/>
  <c r="E143" i="125"/>
  <c r="G144" i="125"/>
  <c r="J144" i="125"/>
  <c r="D144" i="125"/>
  <c r="H144" i="125"/>
  <c r="K144" i="125"/>
  <c r="E144" i="125"/>
  <c r="G145" i="125"/>
  <c r="J145" i="125"/>
  <c r="D145" i="125"/>
  <c r="H145" i="125"/>
  <c r="K145" i="125"/>
  <c r="E145" i="125"/>
  <c r="G146" i="125"/>
  <c r="J146" i="125"/>
  <c r="D146" i="125"/>
  <c r="H146" i="125"/>
  <c r="K146" i="125"/>
  <c r="E146" i="125"/>
  <c r="G147" i="125"/>
  <c r="J147" i="125"/>
  <c r="H147" i="125"/>
  <c r="K147" i="125"/>
  <c r="G148" i="125"/>
  <c r="J148" i="125"/>
  <c r="D148" i="125"/>
  <c r="H148" i="125"/>
  <c r="K148" i="125"/>
  <c r="E148" i="125"/>
  <c r="G149" i="125"/>
  <c r="J149" i="125"/>
  <c r="D149" i="125"/>
  <c r="H149" i="125"/>
  <c r="K149" i="125"/>
  <c r="E149" i="125"/>
  <c r="G150" i="125"/>
  <c r="J150" i="125"/>
  <c r="D150" i="125"/>
  <c r="H150" i="125"/>
  <c r="K150" i="125"/>
  <c r="E150" i="125"/>
  <c r="G151" i="125"/>
  <c r="J151" i="125"/>
  <c r="D151" i="125"/>
  <c r="H151" i="125"/>
  <c r="K151" i="125"/>
  <c r="E151" i="125"/>
  <c r="G152" i="125"/>
  <c r="J152" i="125"/>
  <c r="D152" i="125"/>
  <c r="H152" i="125"/>
  <c r="K152" i="125"/>
  <c r="E152" i="125"/>
  <c r="G153" i="125"/>
  <c r="J153" i="125"/>
  <c r="D153" i="125"/>
  <c r="H153" i="125"/>
  <c r="K153" i="125"/>
  <c r="E153" i="125"/>
  <c r="G154" i="125"/>
  <c r="J154" i="125"/>
  <c r="D154" i="125"/>
  <c r="H154" i="125"/>
  <c r="K154" i="125"/>
  <c r="E154" i="125"/>
  <c r="G155" i="125"/>
  <c r="J155" i="125"/>
  <c r="D155" i="125"/>
  <c r="H155" i="125"/>
  <c r="K155" i="125"/>
  <c r="E155" i="125"/>
  <c r="G156" i="125"/>
  <c r="J156" i="125"/>
  <c r="D156" i="125"/>
  <c r="H156" i="125"/>
  <c r="K156" i="125"/>
  <c r="E156" i="125"/>
  <c r="G159" i="125"/>
  <c r="J159" i="125"/>
  <c r="D159" i="125"/>
  <c r="H159" i="125"/>
  <c r="K159" i="125"/>
  <c r="E159" i="125"/>
  <c r="G160" i="125"/>
  <c r="J160" i="125"/>
  <c r="D160" i="125"/>
  <c r="H160" i="125"/>
  <c r="K160" i="125"/>
  <c r="E160" i="125"/>
  <c r="G161" i="125"/>
  <c r="J161" i="125"/>
  <c r="D161" i="125"/>
  <c r="H161" i="125"/>
  <c r="K161" i="125"/>
  <c r="E161" i="125"/>
  <c r="G162" i="125"/>
  <c r="J162" i="125"/>
  <c r="D162" i="125"/>
  <c r="H162" i="125"/>
  <c r="K162" i="125"/>
  <c r="E162" i="125"/>
  <c r="G163" i="125"/>
  <c r="J163" i="125"/>
  <c r="D163" i="125"/>
  <c r="H163" i="125"/>
  <c r="K163" i="125"/>
  <c r="E163" i="125"/>
  <c r="G164" i="125"/>
  <c r="J164" i="125"/>
  <c r="D164" i="125"/>
  <c r="H164" i="125"/>
  <c r="K164" i="125"/>
  <c r="E164" i="125"/>
  <c r="G165" i="125"/>
  <c r="J165" i="125"/>
  <c r="D165" i="125"/>
  <c r="H165" i="125"/>
  <c r="K165" i="125"/>
  <c r="E165" i="125"/>
  <c r="G166" i="125"/>
  <c r="J166" i="125"/>
  <c r="D166" i="125"/>
  <c r="H166" i="125"/>
  <c r="K166" i="125"/>
  <c r="E166" i="125"/>
  <c r="G167" i="125"/>
  <c r="J167" i="125"/>
  <c r="D167" i="125"/>
  <c r="H167" i="125"/>
  <c r="K167" i="125"/>
  <c r="E167" i="125"/>
  <c r="G168" i="125"/>
  <c r="J168" i="125"/>
  <c r="D168" i="125"/>
  <c r="H168" i="125"/>
  <c r="K168" i="125"/>
  <c r="E168" i="125"/>
  <c r="G169" i="125"/>
  <c r="J169" i="125"/>
  <c r="D169" i="125"/>
  <c r="H169" i="125"/>
  <c r="K169" i="125"/>
  <c r="E169" i="125"/>
  <c r="G170" i="125"/>
  <c r="J170" i="125"/>
  <c r="D170" i="125"/>
  <c r="H170" i="125"/>
  <c r="K170" i="125"/>
  <c r="E170" i="125"/>
  <c r="G171" i="125"/>
  <c r="J171" i="125"/>
  <c r="D171" i="125"/>
  <c r="H171" i="125"/>
  <c r="K171" i="125"/>
  <c r="E171" i="125"/>
  <c r="G172" i="125"/>
  <c r="J172" i="125"/>
  <c r="D172" i="125"/>
  <c r="H172" i="125"/>
  <c r="K172" i="125"/>
  <c r="E172" i="125"/>
  <c r="G173" i="125"/>
  <c r="J173" i="125"/>
  <c r="D173" i="125"/>
  <c r="H173" i="125"/>
  <c r="K173" i="125"/>
  <c r="E173" i="125"/>
  <c r="G174" i="125"/>
  <c r="J174" i="125"/>
  <c r="D174" i="125"/>
  <c r="H174" i="125"/>
  <c r="K174" i="125"/>
  <c r="E174" i="125"/>
  <c r="G175" i="125"/>
  <c r="J175" i="125"/>
  <c r="D175" i="125"/>
  <c r="H175" i="125"/>
  <c r="K175" i="125"/>
  <c r="E175" i="125"/>
  <c r="G176" i="125"/>
  <c r="J176" i="125"/>
  <c r="D176" i="125"/>
  <c r="H176" i="125"/>
  <c r="K176" i="125"/>
  <c r="E176" i="125"/>
  <c r="G177" i="125"/>
  <c r="J177" i="125"/>
  <c r="D177" i="125"/>
  <c r="H177" i="125"/>
  <c r="K177" i="125"/>
  <c r="E177" i="125"/>
  <c r="G179" i="125"/>
  <c r="J179" i="125"/>
  <c r="H179" i="125"/>
  <c r="K179" i="125"/>
  <c r="G180" i="125"/>
  <c r="J180" i="125"/>
  <c r="D180" i="125"/>
  <c r="H180" i="125"/>
  <c r="K180" i="125"/>
  <c r="E180" i="125"/>
  <c r="G181" i="125"/>
  <c r="J181" i="125"/>
  <c r="D181" i="125"/>
  <c r="H181" i="125"/>
  <c r="K181" i="125"/>
  <c r="E181" i="125"/>
  <c r="G182" i="125"/>
  <c r="J182" i="125"/>
  <c r="D182" i="125"/>
  <c r="H182" i="125"/>
  <c r="K182" i="125"/>
  <c r="E182" i="125"/>
  <c r="G183" i="125"/>
  <c r="J183" i="125"/>
  <c r="D183" i="125"/>
  <c r="H183" i="125"/>
  <c r="K183" i="125"/>
  <c r="E183" i="125"/>
  <c r="G184" i="125"/>
  <c r="J184" i="125"/>
  <c r="D184" i="125"/>
  <c r="H184" i="125"/>
  <c r="K184" i="125"/>
  <c r="E184" i="125"/>
  <c r="G185" i="125"/>
  <c r="J185" i="125"/>
  <c r="D185" i="125"/>
  <c r="H185" i="125"/>
  <c r="K185" i="125"/>
  <c r="E185" i="125"/>
  <c r="G186" i="125"/>
  <c r="J186" i="125"/>
  <c r="D186" i="125"/>
  <c r="H186" i="125"/>
  <c r="K186" i="125"/>
  <c r="E186" i="125"/>
  <c r="G187" i="125"/>
  <c r="J187" i="125"/>
  <c r="D187" i="125"/>
  <c r="H187" i="125"/>
  <c r="K187" i="125"/>
  <c r="E187" i="125"/>
  <c r="G188" i="125"/>
  <c r="J188" i="125"/>
  <c r="D188" i="125"/>
  <c r="H188" i="125"/>
  <c r="K188" i="125"/>
  <c r="E188" i="125"/>
  <c r="G189" i="125"/>
  <c r="J189" i="125"/>
  <c r="D189" i="125"/>
  <c r="H189" i="125"/>
  <c r="K189" i="125"/>
  <c r="E189" i="125"/>
  <c r="G190" i="125"/>
  <c r="J190" i="125"/>
  <c r="D190" i="125"/>
  <c r="H190" i="125"/>
  <c r="K190" i="125"/>
  <c r="E190" i="125"/>
  <c r="G191" i="125"/>
  <c r="J191" i="125"/>
  <c r="D191" i="125"/>
  <c r="H191" i="125"/>
  <c r="K191" i="125"/>
  <c r="E191" i="125"/>
  <c r="G192" i="125"/>
  <c r="J192" i="125"/>
  <c r="D192" i="125"/>
  <c r="H192" i="125"/>
  <c r="K192" i="125"/>
  <c r="E192" i="125"/>
  <c r="G193" i="125"/>
  <c r="J193" i="125"/>
  <c r="D193" i="125"/>
  <c r="H193" i="125"/>
  <c r="K193" i="125"/>
  <c r="E193" i="125"/>
  <c r="G194" i="125"/>
  <c r="J194" i="125"/>
  <c r="D194" i="125"/>
  <c r="H194" i="125"/>
  <c r="K194" i="125"/>
  <c r="E194" i="125"/>
  <c r="G195" i="125"/>
  <c r="J195" i="125"/>
  <c r="D195" i="125"/>
  <c r="H195" i="125"/>
  <c r="K195" i="125"/>
  <c r="E195" i="125"/>
  <c r="G196" i="125"/>
  <c r="J196" i="125"/>
  <c r="D196" i="125"/>
  <c r="H196" i="125"/>
  <c r="K196" i="125"/>
  <c r="E196" i="125"/>
  <c r="G197" i="125"/>
  <c r="J197" i="125"/>
  <c r="D197" i="125"/>
  <c r="H197" i="125"/>
  <c r="K197" i="125"/>
  <c r="E197" i="125"/>
  <c r="G198" i="125"/>
  <c r="J198" i="125"/>
  <c r="D198" i="125"/>
  <c r="H198" i="125"/>
  <c r="K198" i="125"/>
  <c r="E198" i="125"/>
  <c r="G199" i="125"/>
  <c r="J199" i="125"/>
  <c r="D199" i="125"/>
  <c r="H199" i="125"/>
  <c r="K199" i="125"/>
  <c r="E199" i="125"/>
  <c r="G201" i="125"/>
  <c r="G202" i="125"/>
  <c r="J202" i="125"/>
  <c r="D202" i="125"/>
  <c r="H202" i="125"/>
  <c r="K202" i="125"/>
  <c r="E202" i="125"/>
  <c r="G203" i="125"/>
  <c r="J203" i="125"/>
  <c r="D203" i="125"/>
  <c r="H203" i="125"/>
  <c r="K203" i="125"/>
  <c r="E203" i="125"/>
  <c r="G204" i="125"/>
  <c r="J204" i="125"/>
  <c r="D204" i="125"/>
  <c r="H204" i="125"/>
  <c r="K204" i="125"/>
  <c r="E204" i="125"/>
  <c r="G206" i="125"/>
  <c r="J206" i="125"/>
  <c r="D206" i="125"/>
  <c r="H206" i="125"/>
  <c r="K206" i="125"/>
  <c r="E206" i="125"/>
  <c r="G207" i="125"/>
  <c r="J207" i="125"/>
  <c r="D207" i="125"/>
  <c r="H207" i="125"/>
  <c r="K207" i="125"/>
  <c r="E207" i="125"/>
  <c r="G208" i="125"/>
  <c r="J208" i="125"/>
  <c r="D208" i="125"/>
  <c r="H208" i="125"/>
  <c r="K208" i="125"/>
  <c r="E208" i="125"/>
  <c r="G209" i="125"/>
  <c r="J209" i="125"/>
  <c r="D209" i="125"/>
  <c r="H209" i="125"/>
  <c r="K209" i="125"/>
  <c r="E209" i="125"/>
  <c r="G210" i="125"/>
  <c r="J210" i="125"/>
  <c r="D210" i="125"/>
  <c r="H210" i="125"/>
  <c r="K210" i="125"/>
  <c r="E210" i="125"/>
  <c r="G211" i="125"/>
  <c r="J211" i="125"/>
  <c r="D211" i="125"/>
  <c r="H211" i="125"/>
  <c r="K211" i="125"/>
  <c r="E211" i="125"/>
  <c r="G212" i="125"/>
  <c r="J212" i="125"/>
  <c r="D212" i="125"/>
  <c r="H212" i="125"/>
  <c r="K212" i="125"/>
  <c r="E212" i="125"/>
  <c r="G213" i="125"/>
  <c r="J213" i="125"/>
  <c r="D213" i="125"/>
  <c r="H213" i="125"/>
  <c r="K213" i="125"/>
  <c r="E213" i="125"/>
  <c r="G214" i="125"/>
  <c r="J214" i="125"/>
  <c r="D214" i="125"/>
  <c r="H214" i="125"/>
  <c r="K214" i="125"/>
  <c r="E214" i="125"/>
  <c r="G215" i="125"/>
  <c r="J215" i="125"/>
  <c r="D215" i="125"/>
  <c r="H215" i="125"/>
  <c r="K215" i="125"/>
  <c r="E215" i="125"/>
  <c r="G217" i="125"/>
  <c r="J217" i="125"/>
  <c r="D217" i="125"/>
  <c r="H217" i="125"/>
  <c r="K217" i="125"/>
  <c r="E217" i="125"/>
  <c r="G218" i="125"/>
  <c r="J218" i="125"/>
  <c r="D218" i="125"/>
  <c r="H218" i="125"/>
  <c r="K218" i="125"/>
  <c r="E218" i="125"/>
  <c r="G219" i="125"/>
  <c r="J219" i="125"/>
  <c r="D219" i="125"/>
  <c r="H219" i="125"/>
  <c r="K219" i="125"/>
  <c r="E219" i="125"/>
  <c r="G220" i="125"/>
  <c r="J220" i="125"/>
  <c r="D220" i="125"/>
  <c r="H220" i="125"/>
  <c r="K220" i="125"/>
  <c r="E220" i="125"/>
  <c r="G222" i="125"/>
  <c r="J222" i="125"/>
  <c r="D222" i="125"/>
  <c r="H222" i="125"/>
  <c r="K222" i="125"/>
  <c r="E222" i="125"/>
  <c r="G223" i="125"/>
  <c r="J223" i="125"/>
  <c r="D223" i="125"/>
  <c r="H223" i="125"/>
  <c r="K223" i="125"/>
  <c r="E223" i="125"/>
  <c r="G224" i="125"/>
  <c r="J224" i="125"/>
  <c r="D224" i="125"/>
  <c r="H224" i="125"/>
  <c r="K224" i="125"/>
  <c r="E224" i="125"/>
  <c r="G226" i="125"/>
  <c r="J226" i="125"/>
  <c r="D226" i="125"/>
  <c r="H226" i="125"/>
  <c r="K226" i="125"/>
  <c r="E226" i="125"/>
  <c r="G227" i="125"/>
  <c r="J227" i="125"/>
  <c r="D227" i="125"/>
  <c r="H227" i="125"/>
  <c r="K227" i="125"/>
  <c r="E227" i="125"/>
  <c r="G228" i="125"/>
  <c r="J228" i="125"/>
  <c r="D228" i="125"/>
  <c r="H228" i="125"/>
  <c r="K228" i="125"/>
  <c r="E228" i="125"/>
  <c r="G229" i="125"/>
  <c r="J229" i="125"/>
  <c r="D229" i="125"/>
  <c r="H229" i="125"/>
  <c r="K229" i="125"/>
  <c r="E229" i="125"/>
  <c r="G230" i="125"/>
  <c r="J230" i="125"/>
  <c r="D230" i="125"/>
  <c r="H230" i="125"/>
  <c r="K230" i="125"/>
  <c r="E230" i="125"/>
  <c r="G24" i="133"/>
  <c r="G220" i="129"/>
  <c r="H37" i="129"/>
  <c r="O16" i="129"/>
  <c r="O15" i="129"/>
  <c r="O33" i="129"/>
  <c r="O34" i="129"/>
  <c r="E137" i="129"/>
  <c r="H141" i="129"/>
  <c r="K141" i="129"/>
  <c r="E141" i="129"/>
  <c r="G141" i="129"/>
  <c r="J141" i="129"/>
  <c r="D141" i="129"/>
  <c r="G138" i="129"/>
  <c r="J138" i="129"/>
  <c r="D138" i="129"/>
  <c r="N209" i="129"/>
  <c r="G209" i="129"/>
  <c r="H32" i="129"/>
  <c r="BC92" i="129"/>
  <c r="G182" i="129"/>
  <c r="J182" i="129"/>
  <c r="G139" i="129"/>
  <c r="J139" i="129"/>
  <c r="D139" i="129"/>
  <c r="G140" i="129"/>
  <c r="J140" i="129"/>
  <c r="D140" i="129"/>
  <c r="G142" i="129"/>
  <c r="J142" i="129"/>
  <c r="D142" i="129"/>
  <c r="G143" i="129"/>
  <c r="J143" i="129"/>
  <c r="D143" i="129"/>
  <c r="G144" i="129"/>
  <c r="J144" i="129"/>
  <c r="D144" i="129"/>
  <c r="G145" i="129"/>
  <c r="J145" i="129"/>
  <c r="D145" i="129"/>
  <c r="G146" i="129"/>
  <c r="J146" i="129"/>
  <c r="D146" i="129"/>
  <c r="G147" i="129"/>
  <c r="J147" i="129"/>
  <c r="D147" i="129"/>
  <c r="G148" i="129"/>
  <c r="J148" i="129"/>
  <c r="D148" i="129"/>
  <c r="G149" i="129"/>
  <c r="J149" i="129"/>
  <c r="D149" i="129"/>
  <c r="G150" i="129"/>
  <c r="J150" i="129"/>
  <c r="D150" i="129"/>
  <c r="G151" i="129"/>
  <c r="J151" i="129"/>
  <c r="G152" i="129"/>
  <c r="J152" i="129"/>
  <c r="D152" i="129"/>
  <c r="G153" i="129"/>
  <c r="J153" i="129"/>
  <c r="D153" i="129"/>
  <c r="G154" i="129"/>
  <c r="J154" i="129"/>
  <c r="D154" i="129"/>
  <c r="G155" i="129"/>
  <c r="J155" i="129"/>
  <c r="D155" i="129"/>
  <c r="G156" i="129"/>
  <c r="J156" i="129"/>
  <c r="D156" i="129"/>
  <c r="G157" i="129"/>
  <c r="J157" i="129"/>
  <c r="D157" i="129"/>
  <c r="G158" i="129"/>
  <c r="J158" i="129"/>
  <c r="D158" i="129"/>
  <c r="G159" i="129"/>
  <c r="J159" i="129"/>
  <c r="D159" i="129"/>
  <c r="G160" i="129"/>
  <c r="J160" i="129"/>
  <c r="D160" i="129"/>
  <c r="G163" i="129"/>
  <c r="J163" i="129"/>
  <c r="D163" i="129"/>
  <c r="G164" i="129"/>
  <c r="J164" i="129"/>
  <c r="D164" i="129"/>
  <c r="G165" i="129"/>
  <c r="J165" i="129"/>
  <c r="D165" i="129"/>
  <c r="G166" i="129"/>
  <c r="J166" i="129"/>
  <c r="D166" i="129"/>
  <c r="G167" i="129"/>
  <c r="J167" i="129"/>
  <c r="D167" i="129"/>
  <c r="G168" i="129"/>
  <c r="J168" i="129"/>
  <c r="D168" i="129"/>
  <c r="G169" i="129"/>
  <c r="J169" i="129"/>
  <c r="D169" i="129"/>
  <c r="G170" i="129"/>
  <c r="J170" i="129"/>
  <c r="D170" i="129"/>
  <c r="G171" i="129"/>
  <c r="J171" i="129"/>
  <c r="D171" i="129"/>
  <c r="G172" i="129"/>
  <c r="J172" i="129"/>
  <c r="D172" i="129"/>
  <c r="G173" i="129"/>
  <c r="J173" i="129"/>
  <c r="D173" i="129"/>
  <c r="G174" i="129"/>
  <c r="J174" i="129"/>
  <c r="D174" i="129"/>
  <c r="G175" i="129"/>
  <c r="J175" i="129"/>
  <c r="D175" i="129"/>
  <c r="G176" i="129"/>
  <c r="J176" i="129"/>
  <c r="D176" i="129"/>
  <c r="G177" i="129"/>
  <c r="J177" i="129"/>
  <c r="D177" i="129"/>
  <c r="G178" i="129"/>
  <c r="J178" i="129"/>
  <c r="D178" i="129"/>
  <c r="G179" i="129"/>
  <c r="J179" i="129"/>
  <c r="D179" i="129"/>
  <c r="G180" i="129"/>
  <c r="J180" i="129"/>
  <c r="D180" i="129"/>
  <c r="G181" i="129"/>
  <c r="J181" i="129"/>
  <c r="D181" i="129"/>
  <c r="G183" i="129"/>
  <c r="J183" i="129"/>
  <c r="G184" i="129"/>
  <c r="J184" i="129"/>
  <c r="D184" i="129"/>
  <c r="G185" i="129"/>
  <c r="J185" i="129"/>
  <c r="D185" i="129"/>
  <c r="G186" i="129"/>
  <c r="J186" i="129"/>
  <c r="D186" i="129"/>
  <c r="G187" i="129"/>
  <c r="J187" i="129"/>
  <c r="D187" i="129"/>
  <c r="G188" i="129"/>
  <c r="J188" i="129"/>
  <c r="D188" i="129"/>
  <c r="G189" i="129"/>
  <c r="J189" i="129"/>
  <c r="D189" i="129"/>
  <c r="G190" i="129"/>
  <c r="J190" i="129"/>
  <c r="D190" i="129"/>
  <c r="G191" i="129"/>
  <c r="J191" i="129"/>
  <c r="D191" i="129"/>
  <c r="G192" i="129"/>
  <c r="J192" i="129"/>
  <c r="D192" i="129"/>
  <c r="G193" i="129"/>
  <c r="J193" i="129"/>
  <c r="D193" i="129"/>
  <c r="G194" i="129"/>
  <c r="J194" i="129"/>
  <c r="D194" i="129"/>
  <c r="G195" i="129"/>
  <c r="J195" i="129"/>
  <c r="D195" i="129"/>
  <c r="G196" i="129"/>
  <c r="J196" i="129"/>
  <c r="D196" i="129"/>
  <c r="G197" i="129"/>
  <c r="J197" i="129"/>
  <c r="D197" i="129"/>
  <c r="G198" i="129"/>
  <c r="J198" i="129"/>
  <c r="D198" i="129"/>
  <c r="G199" i="129"/>
  <c r="J199" i="129"/>
  <c r="D199" i="129"/>
  <c r="G200" i="129"/>
  <c r="J200" i="129"/>
  <c r="D200" i="129"/>
  <c r="G201" i="129"/>
  <c r="J201" i="129"/>
  <c r="D201" i="129"/>
  <c r="G202" i="129"/>
  <c r="J202" i="129"/>
  <c r="D202" i="129"/>
  <c r="G203" i="129"/>
  <c r="J203" i="129"/>
  <c r="D203" i="129"/>
  <c r="G205" i="129"/>
  <c r="G206" i="129"/>
  <c r="J206" i="129"/>
  <c r="D206" i="129"/>
  <c r="G207" i="129"/>
  <c r="J207" i="129"/>
  <c r="D207" i="129"/>
  <c r="G208" i="129"/>
  <c r="J208" i="129"/>
  <c r="D208" i="129"/>
  <c r="G210" i="129"/>
  <c r="J210" i="129"/>
  <c r="D210" i="129"/>
  <c r="G211" i="129"/>
  <c r="J211" i="129"/>
  <c r="D211" i="129"/>
  <c r="G212" i="129"/>
  <c r="J212" i="129"/>
  <c r="D212" i="129"/>
  <c r="G213" i="129"/>
  <c r="J213" i="129"/>
  <c r="D213" i="129"/>
  <c r="G214" i="129"/>
  <c r="J214" i="129"/>
  <c r="D214" i="129"/>
  <c r="G215" i="129"/>
  <c r="J215" i="129"/>
  <c r="D215" i="129"/>
  <c r="G216" i="129"/>
  <c r="J216" i="129"/>
  <c r="D216" i="129"/>
  <c r="G217" i="129"/>
  <c r="J217" i="129"/>
  <c r="D217" i="129"/>
  <c r="G218" i="129"/>
  <c r="J218" i="129"/>
  <c r="D218" i="129"/>
  <c r="G219" i="129"/>
  <c r="J219" i="129"/>
  <c r="D219" i="129"/>
  <c r="G221" i="129"/>
  <c r="J221" i="129"/>
  <c r="D221" i="129"/>
  <c r="G222" i="129"/>
  <c r="J222" i="129"/>
  <c r="D222" i="129"/>
  <c r="G223" i="129"/>
  <c r="J223" i="129"/>
  <c r="D223" i="129"/>
  <c r="G224" i="129"/>
  <c r="J224" i="129"/>
  <c r="D224" i="129"/>
  <c r="G226" i="129"/>
  <c r="J226" i="129"/>
  <c r="D226" i="129"/>
  <c r="G227" i="129"/>
  <c r="J227" i="129"/>
  <c r="D227" i="129"/>
  <c r="G228" i="129"/>
  <c r="J228" i="129"/>
  <c r="D228" i="129"/>
  <c r="G230" i="129"/>
  <c r="J230" i="129"/>
  <c r="D230" i="129"/>
  <c r="G231" i="129"/>
  <c r="J231" i="129"/>
  <c r="D231" i="129"/>
  <c r="G232" i="129"/>
  <c r="J232" i="129"/>
  <c r="D232" i="129"/>
  <c r="G233" i="129"/>
  <c r="J233" i="129"/>
  <c r="D233" i="129"/>
  <c r="G234" i="129"/>
  <c r="J234" i="129"/>
  <c r="D234" i="129"/>
  <c r="O17" i="129"/>
  <c r="O18" i="129"/>
  <c r="O19" i="129"/>
  <c r="H182" i="129"/>
  <c r="K182" i="129"/>
  <c r="H138" i="129"/>
  <c r="K138" i="129"/>
  <c r="E138" i="129"/>
  <c r="H139" i="129"/>
  <c r="K139" i="129"/>
  <c r="E139" i="129"/>
  <c r="H140" i="129"/>
  <c r="K140" i="129"/>
  <c r="E140" i="129"/>
  <c r="H142" i="129"/>
  <c r="K142" i="129"/>
  <c r="E142" i="129"/>
  <c r="H143" i="129"/>
  <c r="K143" i="129"/>
  <c r="E143" i="129"/>
  <c r="H144" i="129"/>
  <c r="K144" i="129"/>
  <c r="E144" i="129"/>
  <c r="H145" i="129"/>
  <c r="K145" i="129"/>
  <c r="E145" i="129"/>
  <c r="H146" i="129"/>
  <c r="K146" i="129"/>
  <c r="E146" i="129"/>
  <c r="H147" i="129"/>
  <c r="K147" i="129"/>
  <c r="E147" i="129"/>
  <c r="H148" i="129"/>
  <c r="K148" i="129"/>
  <c r="E148" i="129"/>
  <c r="H149" i="129"/>
  <c r="K149" i="129"/>
  <c r="E149" i="129"/>
  <c r="H150" i="129"/>
  <c r="K150" i="129"/>
  <c r="E150" i="129"/>
  <c r="H151" i="129"/>
  <c r="K151" i="129"/>
  <c r="H152" i="129"/>
  <c r="K152" i="129"/>
  <c r="E152" i="129"/>
  <c r="H153" i="129"/>
  <c r="K153" i="129"/>
  <c r="E153" i="129"/>
  <c r="H154" i="129"/>
  <c r="K154" i="129"/>
  <c r="E154" i="129"/>
  <c r="H155" i="129"/>
  <c r="K155" i="129"/>
  <c r="E155" i="129"/>
  <c r="H156" i="129"/>
  <c r="K156" i="129"/>
  <c r="E156" i="129"/>
  <c r="H157" i="129"/>
  <c r="K157" i="129"/>
  <c r="E157" i="129"/>
  <c r="H158" i="129"/>
  <c r="K158" i="129"/>
  <c r="E158" i="129"/>
  <c r="H159" i="129"/>
  <c r="K159" i="129"/>
  <c r="E159" i="129"/>
  <c r="H160" i="129"/>
  <c r="K160" i="129"/>
  <c r="E160" i="129"/>
  <c r="H163" i="129"/>
  <c r="K163" i="129"/>
  <c r="E163" i="129"/>
  <c r="H164" i="129"/>
  <c r="K164" i="129"/>
  <c r="E164" i="129"/>
  <c r="H165" i="129"/>
  <c r="K165" i="129"/>
  <c r="E165" i="129"/>
  <c r="H166" i="129"/>
  <c r="K166" i="129"/>
  <c r="E166" i="129"/>
  <c r="H167" i="129"/>
  <c r="K167" i="129"/>
  <c r="E167" i="129"/>
  <c r="H168" i="129"/>
  <c r="K168" i="129"/>
  <c r="E168" i="129"/>
  <c r="H169" i="129"/>
  <c r="K169" i="129"/>
  <c r="E169" i="129"/>
  <c r="H170" i="129"/>
  <c r="K170" i="129"/>
  <c r="E170" i="129"/>
  <c r="H171" i="129"/>
  <c r="K171" i="129"/>
  <c r="E171" i="129"/>
  <c r="H172" i="129"/>
  <c r="K172" i="129"/>
  <c r="E172" i="129"/>
  <c r="H173" i="129"/>
  <c r="K173" i="129"/>
  <c r="E173" i="129"/>
  <c r="H174" i="129"/>
  <c r="K174" i="129"/>
  <c r="E174" i="129"/>
  <c r="H175" i="129"/>
  <c r="K175" i="129"/>
  <c r="E175" i="129"/>
  <c r="H176" i="129"/>
  <c r="K176" i="129"/>
  <c r="E176" i="129"/>
  <c r="H177" i="129"/>
  <c r="K177" i="129"/>
  <c r="E177" i="129"/>
  <c r="H178" i="129"/>
  <c r="K178" i="129"/>
  <c r="E178" i="129"/>
  <c r="H179" i="129"/>
  <c r="K179" i="129"/>
  <c r="E179" i="129"/>
  <c r="H180" i="129"/>
  <c r="K180" i="129"/>
  <c r="E180" i="129"/>
  <c r="H181" i="129"/>
  <c r="K181" i="129"/>
  <c r="E181" i="129"/>
  <c r="H183" i="129"/>
  <c r="K183" i="129"/>
  <c r="H184" i="129"/>
  <c r="K184" i="129"/>
  <c r="E184" i="129"/>
  <c r="H185" i="129"/>
  <c r="K185" i="129"/>
  <c r="E185" i="129"/>
  <c r="H186" i="129"/>
  <c r="K186" i="129"/>
  <c r="E186" i="129"/>
  <c r="H187" i="129"/>
  <c r="K187" i="129"/>
  <c r="E187" i="129"/>
  <c r="H188" i="129"/>
  <c r="K188" i="129"/>
  <c r="E188" i="129"/>
  <c r="H189" i="129"/>
  <c r="K189" i="129"/>
  <c r="E189" i="129"/>
  <c r="H190" i="129"/>
  <c r="K190" i="129"/>
  <c r="E190" i="129"/>
  <c r="H191" i="129"/>
  <c r="K191" i="129"/>
  <c r="E191" i="129"/>
  <c r="H192" i="129"/>
  <c r="K192" i="129"/>
  <c r="E192" i="129"/>
  <c r="H193" i="129"/>
  <c r="K193" i="129"/>
  <c r="E193" i="129"/>
  <c r="H194" i="129"/>
  <c r="K194" i="129"/>
  <c r="E194" i="129"/>
  <c r="H195" i="129"/>
  <c r="K195" i="129"/>
  <c r="E195" i="129"/>
  <c r="H196" i="129"/>
  <c r="K196" i="129"/>
  <c r="E196" i="129"/>
  <c r="H197" i="129"/>
  <c r="K197" i="129"/>
  <c r="E197" i="129"/>
  <c r="H198" i="129"/>
  <c r="K198" i="129"/>
  <c r="E198" i="129"/>
  <c r="H199" i="129"/>
  <c r="K199" i="129"/>
  <c r="E199" i="129"/>
  <c r="H200" i="129"/>
  <c r="K200" i="129"/>
  <c r="E200" i="129"/>
  <c r="H201" i="129"/>
  <c r="K201" i="129"/>
  <c r="E201" i="129"/>
  <c r="H202" i="129"/>
  <c r="K202" i="129"/>
  <c r="E202" i="129"/>
  <c r="H203" i="129"/>
  <c r="K203" i="129"/>
  <c r="E203" i="129"/>
  <c r="H206" i="129"/>
  <c r="K206" i="129"/>
  <c r="E206" i="129"/>
  <c r="H207" i="129"/>
  <c r="K207" i="129"/>
  <c r="E207" i="129"/>
  <c r="H208" i="129"/>
  <c r="K208" i="129"/>
  <c r="E208" i="129"/>
  <c r="H210" i="129"/>
  <c r="K210" i="129"/>
  <c r="E210" i="129"/>
  <c r="H211" i="129"/>
  <c r="K211" i="129"/>
  <c r="E211" i="129"/>
  <c r="H212" i="129"/>
  <c r="K212" i="129"/>
  <c r="E212" i="129"/>
  <c r="H213" i="129"/>
  <c r="K213" i="129"/>
  <c r="E213" i="129"/>
  <c r="H214" i="129"/>
  <c r="K214" i="129"/>
  <c r="E214" i="129"/>
  <c r="H215" i="129"/>
  <c r="K215" i="129"/>
  <c r="E215" i="129"/>
  <c r="H216" i="129"/>
  <c r="K216" i="129"/>
  <c r="E216" i="129"/>
  <c r="H217" i="129"/>
  <c r="K217" i="129"/>
  <c r="E217" i="129"/>
  <c r="H218" i="129"/>
  <c r="K218" i="129"/>
  <c r="E218" i="129"/>
  <c r="H219" i="129"/>
  <c r="K219" i="129"/>
  <c r="E219" i="129"/>
  <c r="H221" i="129"/>
  <c r="K221" i="129"/>
  <c r="E221" i="129"/>
  <c r="H222" i="129"/>
  <c r="K222" i="129"/>
  <c r="E222" i="129"/>
  <c r="H223" i="129"/>
  <c r="K223" i="129"/>
  <c r="E223" i="129"/>
  <c r="H224" i="129"/>
  <c r="K224" i="129"/>
  <c r="E224" i="129"/>
  <c r="H226" i="129"/>
  <c r="K226" i="129"/>
  <c r="E226" i="129"/>
  <c r="H227" i="129"/>
  <c r="K227" i="129"/>
  <c r="E227" i="129"/>
  <c r="H228" i="129"/>
  <c r="K228" i="129"/>
  <c r="E228" i="129"/>
  <c r="H230" i="129"/>
  <c r="K230" i="129"/>
  <c r="E230" i="129"/>
  <c r="H231" i="129"/>
  <c r="K231" i="129"/>
  <c r="E231" i="129"/>
  <c r="H232" i="129"/>
  <c r="K232" i="129"/>
  <c r="E232" i="129"/>
  <c r="H233" i="129"/>
  <c r="K233" i="129"/>
  <c r="E233" i="129"/>
  <c r="H234" i="129"/>
  <c r="K234" i="129"/>
  <c r="E234" i="129"/>
  <c r="G211" i="116"/>
  <c r="E37" i="116"/>
  <c r="H37" i="116"/>
  <c r="O16" i="116"/>
  <c r="O15" i="116"/>
  <c r="F38" i="116"/>
  <c r="H32" i="116"/>
  <c r="G173" i="116"/>
  <c r="J173" i="116"/>
  <c r="G129" i="116"/>
  <c r="J129" i="116"/>
  <c r="D129" i="116"/>
  <c r="G130" i="116"/>
  <c r="J130" i="116"/>
  <c r="D130" i="116"/>
  <c r="G131" i="116"/>
  <c r="J131" i="116"/>
  <c r="D131" i="116"/>
  <c r="G132" i="116"/>
  <c r="J132" i="116"/>
  <c r="D132" i="116"/>
  <c r="G133" i="116"/>
  <c r="J133" i="116"/>
  <c r="D133" i="116"/>
  <c r="G134" i="116"/>
  <c r="J134" i="116"/>
  <c r="D134" i="116"/>
  <c r="G135" i="116"/>
  <c r="J135" i="116"/>
  <c r="D135" i="116"/>
  <c r="G136" i="116"/>
  <c r="J136" i="116"/>
  <c r="D136" i="116"/>
  <c r="G137" i="116"/>
  <c r="J137" i="116"/>
  <c r="D137" i="116"/>
  <c r="G138" i="116"/>
  <c r="J138" i="116"/>
  <c r="D138" i="116"/>
  <c r="G139" i="116"/>
  <c r="J139" i="116"/>
  <c r="D139" i="116"/>
  <c r="G140" i="116"/>
  <c r="J140" i="116"/>
  <c r="D140" i="116"/>
  <c r="G141" i="116"/>
  <c r="J141" i="116"/>
  <c r="D141" i="116"/>
  <c r="G142" i="116"/>
  <c r="J142" i="116"/>
  <c r="G143" i="116"/>
  <c r="J143" i="116"/>
  <c r="D143" i="116"/>
  <c r="G144" i="116"/>
  <c r="J144" i="116"/>
  <c r="D144" i="116"/>
  <c r="G145" i="116"/>
  <c r="J145" i="116"/>
  <c r="D145" i="116"/>
  <c r="G146" i="116"/>
  <c r="J146" i="116"/>
  <c r="D146" i="116"/>
  <c r="G147" i="116"/>
  <c r="J147" i="116"/>
  <c r="D147" i="116"/>
  <c r="G148" i="116"/>
  <c r="J148" i="116"/>
  <c r="D148" i="116"/>
  <c r="G149" i="116"/>
  <c r="J149" i="116"/>
  <c r="D149" i="116"/>
  <c r="G150" i="116"/>
  <c r="J150" i="116"/>
  <c r="D150" i="116"/>
  <c r="G151" i="116"/>
  <c r="J151" i="116"/>
  <c r="D151" i="116"/>
  <c r="G154" i="116"/>
  <c r="J154" i="116"/>
  <c r="D154" i="116"/>
  <c r="G155" i="116"/>
  <c r="J155" i="116"/>
  <c r="D155" i="116"/>
  <c r="G156" i="116"/>
  <c r="J156" i="116"/>
  <c r="D156" i="116"/>
  <c r="G157" i="116"/>
  <c r="J157" i="116"/>
  <c r="D157" i="116"/>
  <c r="G158" i="116"/>
  <c r="J158" i="116"/>
  <c r="D158" i="116"/>
  <c r="G159" i="116"/>
  <c r="J159" i="116"/>
  <c r="D159" i="116"/>
  <c r="G160" i="116"/>
  <c r="J160" i="116"/>
  <c r="D160" i="116"/>
  <c r="G161" i="116"/>
  <c r="J161" i="116"/>
  <c r="D161" i="116"/>
  <c r="G162" i="116"/>
  <c r="J162" i="116"/>
  <c r="D162" i="116"/>
  <c r="G163" i="116"/>
  <c r="J163" i="116"/>
  <c r="D163" i="116"/>
  <c r="G164" i="116"/>
  <c r="J164" i="116"/>
  <c r="D164" i="116"/>
  <c r="G165" i="116"/>
  <c r="J165" i="116"/>
  <c r="D165" i="116"/>
  <c r="G166" i="116"/>
  <c r="J166" i="116"/>
  <c r="D166" i="116"/>
  <c r="G167" i="116"/>
  <c r="J167" i="116"/>
  <c r="D167" i="116"/>
  <c r="G168" i="116"/>
  <c r="J168" i="116"/>
  <c r="D168" i="116"/>
  <c r="G169" i="116"/>
  <c r="J169" i="116"/>
  <c r="D169" i="116"/>
  <c r="G170" i="116"/>
  <c r="J170" i="116"/>
  <c r="D170" i="116"/>
  <c r="G171" i="116"/>
  <c r="J171" i="116"/>
  <c r="D171" i="116"/>
  <c r="G172" i="116"/>
  <c r="J172" i="116"/>
  <c r="D172" i="116"/>
  <c r="G174" i="116"/>
  <c r="J174" i="116"/>
  <c r="G175" i="116"/>
  <c r="J175" i="116"/>
  <c r="D175" i="116"/>
  <c r="G176" i="116"/>
  <c r="J176" i="116"/>
  <c r="D176" i="116"/>
  <c r="G177" i="116"/>
  <c r="J177" i="116"/>
  <c r="D177" i="116"/>
  <c r="G178" i="116"/>
  <c r="J178" i="116"/>
  <c r="D178" i="116"/>
  <c r="G179" i="116"/>
  <c r="J179" i="116"/>
  <c r="D179" i="116"/>
  <c r="G180" i="116"/>
  <c r="J180" i="116"/>
  <c r="D180" i="116"/>
  <c r="G181" i="116"/>
  <c r="J181" i="116"/>
  <c r="D181" i="116"/>
  <c r="G182" i="116"/>
  <c r="J182" i="116"/>
  <c r="D182" i="116"/>
  <c r="G183" i="116"/>
  <c r="J183" i="116"/>
  <c r="D183" i="116"/>
  <c r="G184" i="116"/>
  <c r="J184" i="116"/>
  <c r="D184" i="116"/>
  <c r="G185" i="116"/>
  <c r="J185" i="116"/>
  <c r="D185" i="116"/>
  <c r="G186" i="116"/>
  <c r="J186" i="116"/>
  <c r="D186" i="116"/>
  <c r="G187" i="116"/>
  <c r="J187" i="116"/>
  <c r="D187" i="116"/>
  <c r="G188" i="116"/>
  <c r="J188" i="116"/>
  <c r="D188" i="116"/>
  <c r="G189" i="116"/>
  <c r="J189" i="116"/>
  <c r="D189" i="116"/>
  <c r="G190" i="116"/>
  <c r="J190" i="116"/>
  <c r="D190" i="116"/>
  <c r="G191" i="116"/>
  <c r="J191" i="116"/>
  <c r="D191" i="116"/>
  <c r="G192" i="116"/>
  <c r="J192" i="116"/>
  <c r="D192" i="116"/>
  <c r="G193" i="116"/>
  <c r="J193" i="116"/>
  <c r="D193" i="116"/>
  <c r="G194" i="116"/>
  <c r="J194" i="116"/>
  <c r="D194" i="116"/>
  <c r="G196" i="116"/>
  <c r="G197" i="116"/>
  <c r="J197" i="116"/>
  <c r="D197" i="116"/>
  <c r="G198" i="116"/>
  <c r="J198" i="116"/>
  <c r="D198" i="116"/>
  <c r="G199" i="116"/>
  <c r="J199" i="116"/>
  <c r="D199" i="116"/>
  <c r="N200" i="116"/>
  <c r="G200" i="116"/>
  <c r="G201" i="116"/>
  <c r="J201" i="116"/>
  <c r="D201" i="116"/>
  <c r="G202" i="116"/>
  <c r="J202" i="116"/>
  <c r="D202" i="116"/>
  <c r="G203" i="116"/>
  <c r="J203" i="116"/>
  <c r="D203" i="116"/>
  <c r="G204" i="116"/>
  <c r="J204" i="116"/>
  <c r="D204" i="116"/>
  <c r="G205" i="116"/>
  <c r="J205" i="116"/>
  <c r="D205" i="116"/>
  <c r="G206" i="116"/>
  <c r="J206" i="116"/>
  <c r="D206" i="116"/>
  <c r="G207" i="116"/>
  <c r="J207" i="116"/>
  <c r="D207" i="116"/>
  <c r="G208" i="116"/>
  <c r="J208" i="116"/>
  <c r="D208" i="116"/>
  <c r="G209" i="116"/>
  <c r="J209" i="116"/>
  <c r="D209" i="116"/>
  <c r="G210" i="116"/>
  <c r="J210" i="116"/>
  <c r="D210" i="116"/>
  <c r="G212" i="116"/>
  <c r="J212" i="116"/>
  <c r="D212" i="116"/>
  <c r="G213" i="116"/>
  <c r="J213" i="116"/>
  <c r="D213" i="116"/>
  <c r="G214" i="116"/>
  <c r="J214" i="116"/>
  <c r="D214" i="116"/>
  <c r="G215" i="116"/>
  <c r="J215" i="116"/>
  <c r="D215" i="116"/>
  <c r="G217" i="116"/>
  <c r="J217" i="116"/>
  <c r="D217" i="116"/>
  <c r="G218" i="116"/>
  <c r="J218" i="116"/>
  <c r="D218" i="116"/>
  <c r="G219" i="116"/>
  <c r="J219" i="116"/>
  <c r="D219" i="116"/>
  <c r="G221" i="116"/>
  <c r="J221" i="116"/>
  <c r="D221" i="116"/>
  <c r="G222" i="116"/>
  <c r="J222" i="116"/>
  <c r="D222" i="116"/>
  <c r="G223" i="116"/>
  <c r="J223" i="116"/>
  <c r="D223" i="116"/>
  <c r="G224" i="116"/>
  <c r="J224" i="116"/>
  <c r="D224" i="116"/>
  <c r="G225" i="116"/>
  <c r="J225" i="116"/>
  <c r="D225" i="116"/>
  <c r="O17" i="116"/>
  <c r="O18" i="116"/>
  <c r="O19" i="116"/>
  <c r="G215" i="124"/>
  <c r="E37" i="124"/>
  <c r="H37" i="124"/>
  <c r="F38" i="124"/>
  <c r="G136" i="124"/>
  <c r="J136" i="124"/>
  <c r="D136" i="124"/>
  <c r="G133" i="124"/>
  <c r="J133" i="124"/>
  <c r="D133" i="124"/>
  <c r="N204" i="124"/>
  <c r="G204" i="124"/>
  <c r="H32" i="124"/>
  <c r="BC87" i="124"/>
  <c r="G177" i="124"/>
  <c r="J177" i="124"/>
  <c r="G134" i="124"/>
  <c r="J134" i="124"/>
  <c r="D134" i="124"/>
  <c r="G135" i="124"/>
  <c r="J135" i="124"/>
  <c r="D135" i="124"/>
  <c r="G137" i="124"/>
  <c r="J137" i="124"/>
  <c r="D137" i="124"/>
  <c r="G138" i="124"/>
  <c r="J138" i="124"/>
  <c r="D138" i="124"/>
  <c r="G139" i="124"/>
  <c r="J139" i="124"/>
  <c r="D139" i="124"/>
  <c r="G140" i="124"/>
  <c r="J140" i="124"/>
  <c r="D140" i="124"/>
  <c r="G141" i="124"/>
  <c r="J141" i="124"/>
  <c r="D141" i="124"/>
  <c r="G142" i="124"/>
  <c r="J142" i="124"/>
  <c r="D142" i="124"/>
  <c r="G143" i="124"/>
  <c r="J143" i="124"/>
  <c r="D143" i="124"/>
  <c r="G144" i="124"/>
  <c r="J144" i="124"/>
  <c r="D144" i="124"/>
  <c r="G145" i="124"/>
  <c r="J145" i="124"/>
  <c r="D145" i="124"/>
  <c r="G146" i="124"/>
  <c r="J146" i="124"/>
  <c r="G147" i="124"/>
  <c r="J147" i="124"/>
  <c r="D147" i="124"/>
  <c r="G148" i="124"/>
  <c r="J148" i="124"/>
  <c r="D148" i="124"/>
  <c r="G149" i="124"/>
  <c r="J149" i="124"/>
  <c r="D149" i="124"/>
  <c r="G150" i="124"/>
  <c r="J150" i="124"/>
  <c r="D150" i="124"/>
  <c r="G151" i="124"/>
  <c r="J151" i="124"/>
  <c r="D151" i="124"/>
  <c r="G152" i="124"/>
  <c r="J152" i="124"/>
  <c r="D152" i="124"/>
  <c r="G153" i="124"/>
  <c r="J153" i="124"/>
  <c r="D153" i="124"/>
  <c r="G154" i="124"/>
  <c r="J154" i="124"/>
  <c r="D154" i="124"/>
  <c r="G155" i="124"/>
  <c r="J155" i="124"/>
  <c r="D155" i="124"/>
  <c r="G158" i="124"/>
  <c r="J158" i="124"/>
  <c r="D158" i="124"/>
  <c r="G159" i="124"/>
  <c r="J159" i="124"/>
  <c r="D159" i="124"/>
  <c r="G160" i="124"/>
  <c r="J160" i="124"/>
  <c r="D160" i="124"/>
  <c r="G161" i="124"/>
  <c r="J161" i="124"/>
  <c r="D161" i="124"/>
  <c r="G162" i="124"/>
  <c r="J162" i="124"/>
  <c r="D162" i="124"/>
  <c r="G163" i="124"/>
  <c r="J163" i="124"/>
  <c r="D163" i="124"/>
  <c r="G164" i="124"/>
  <c r="J164" i="124"/>
  <c r="D164" i="124"/>
  <c r="G165" i="124"/>
  <c r="J165" i="124"/>
  <c r="D165" i="124"/>
  <c r="G166" i="124"/>
  <c r="J166" i="124"/>
  <c r="D166" i="124"/>
  <c r="G167" i="124"/>
  <c r="J167" i="124"/>
  <c r="D167" i="124"/>
  <c r="G168" i="124"/>
  <c r="J168" i="124"/>
  <c r="D168" i="124"/>
  <c r="G169" i="124"/>
  <c r="J169" i="124"/>
  <c r="D169" i="124"/>
  <c r="G170" i="124"/>
  <c r="J170" i="124"/>
  <c r="D170" i="124"/>
  <c r="G171" i="124"/>
  <c r="J171" i="124"/>
  <c r="D171" i="124"/>
  <c r="G172" i="124"/>
  <c r="J172" i="124"/>
  <c r="D172" i="124"/>
  <c r="G173" i="124"/>
  <c r="J173" i="124"/>
  <c r="D173" i="124"/>
  <c r="G174" i="124"/>
  <c r="J174" i="124"/>
  <c r="D174" i="124"/>
  <c r="G175" i="124"/>
  <c r="J175" i="124"/>
  <c r="D175" i="124"/>
  <c r="G176" i="124"/>
  <c r="J176" i="124"/>
  <c r="D176" i="124"/>
  <c r="G178" i="124"/>
  <c r="J178" i="124"/>
  <c r="G179" i="124"/>
  <c r="J179" i="124"/>
  <c r="D179" i="124"/>
  <c r="G180" i="124"/>
  <c r="J180" i="124"/>
  <c r="D180" i="124"/>
  <c r="G181" i="124"/>
  <c r="J181" i="124"/>
  <c r="D181" i="124"/>
  <c r="G182" i="124"/>
  <c r="J182" i="124"/>
  <c r="D182" i="124"/>
  <c r="G183" i="124"/>
  <c r="J183" i="124"/>
  <c r="D183" i="124"/>
  <c r="G184" i="124"/>
  <c r="J184" i="124"/>
  <c r="D184" i="124"/>
  <c r="G185" i="124"/>
  <c r="J185" i="124"/>
  <c r="D185" i="124"/>
  <c r="G186" i="124"/>
  <c r="J186" i="124"/>
  <c r="D186" i="124"/>
  <c r="G187" i="124"/>
  <c r="J187" i="124"/>
  <c r="D187" i="124"/>
  <c r="G188" i="124"/>
  <c r="J188" i="124"/>
  <c r="D188" i="124"/>
  <c r="G189" i="124"/>
  <c r="J189" i="124"/>
  <c r="D189" i="124"/>
  <c r="G190" i="124"/>
  <c r="J190" i="124"/>
  <c r="D190" i="124"/>
  <c r="G191" i="124"/>
  <c r="J191" i="124"/>
  <c r="D191" i="124"/>
  <c r="G192" i="124"/>
  <c r="J192" i="124"/>
  <c r="D192" i="124"/>
  <c r="G193" i="124"/>
  <c r="J193" i="124"/>
  <c r="D193" i="124"/>
  <c r="G194" i="124"/>
  <c r="J194" i="124"/>
  <c r="D194" i="124"/>
  <c r="G195" i="124"/>
  <c r="J195" i="124"/>
  <c r="D195" i="124"/>
  <c r="G196" i="124"/>
  <c r="J196" i="124"/>
  <c r="D196" i="124"/>
  <c r="G197" i="124"/>
  <c r="J197" i="124"/>
  <c r="D197" i="124"/>
  <c r="G198" i="124"/>
  <c r="J198" i="124"/>
  <c r="D198" i="124"/>
  <c r="G200" i="124"/>
  <c r="G201" i="124"/>
  <c r="J201" i="124"/>
  <c r="D201" i="124"/>
  <c r="G202" i="124"/>
  <c r="J202" i="124"/>
  <c r="D202" i="124"/>
  <c r="G203" i="124"/>
  <c r="J203" i="124"/>
  <c r="D203" i="124"/>
  <c r="G205" i="124"/>
  <c r="J205" i="124"/>
  <c r="D205" i="124"/>
  <c r="G206" i="124"/>
  <c r="J206" i="124"/>
  <c r="D206" i="124"/>
  <c r="G207" i="124"/>
  <c r="J207" i="124"/>
  <c r="D207" i="124"/>
  <c r="G208" i="124"/>
  <c r="J208" i="124"/>
  <c r="D208" i="124"/>
  <c r="G209" i="124"/>
  <c r="J209" i="124"/>
  <c r="D209" i="124"/>
  <c r="G210" i="124"/>
  <c r="J210" i="124"/>
  <c r="D210" i="124"/>
  <c r="G211" i="124"/>
  <c r="J211" i="124"/>
  <c r="D211" i="124"/>
  <c r="G212" i="124"/>
  <c r="J212" i="124"/>
  <c r="D212" i="124"/>
  <c r="G213" i="124"/>
  <c r="J213" i="124"/>
  <c r="D213" i="124"/>
  <c r="G214" i="124"/>
  <c r="J214" i="124"/>
  <c r="D214" i="124"/>
  <c r="G216" i="124"/>
  <c r="J216" i="124"/>
  <c r="D216" i="124"/>
  <c r="G217" i="124"/>
  <c r="J217" i="124"/>
  <c r="D217" i="124"/>
  <c r="G218" i="124"/>
  <c r="J218" i="124"/>
  <c r="D218" i="124"/>
  <c r="G219" i="124"/>
  <c r="J219" i="124"/>
  <c r="D219" i="124"/>
  <c r="G221" i="124"/>
  <c r="J221" i="124"/>
  <c r="D221" i="124"/>
  <c r="G222" i="124"/>
  <c r="J222" i="124"/>
  <c r="D222" i="124"/>
  <c r="G223" i="124"/>
  <c r="J223" i="124"/>
  <c r="D223" i="124"/>
  <c r="G225" i="124"/>
  <c r="J225" i="124"/>
  <c r="D225" i="124"/>
  <c r="G226" i="124"/>
  <c r="J226" i="124"/>
  <c r="D226" i="124"/>
  <c r="G227" i="124"/>
  <c r="J227" i="124"/>
  <c r="D227" i="124"/>
  <c r="G228" i="124"/>
  <c r="J228" i="124"/>
  <c r="D228" i="124"/>
  <c r="G229" i="124"/>
  <c r="J229" i="124"/>
  <c r="D229" i="124"/>
  <c r="G220" i="130"/>
  <c r="H37" i="130"/>
  <c r="G141" i="130"/>
  <c r="J141" i="130"/>
  <c r="D141" i="130"/>
  <c r="G138" i="130"/>
  <c r="J138" i="130"/>
  <c r="D138" i="130"/>
  <c r="N209" i="130"/>
  <c r="G209" i="130"/>
  <c r="H32" i="130"/>
  <c r="G182" i="130"/>
  <c r="J182" i="130"/>
  <c r="G139" i="130"/>
  <c r="J139" i="130"/>
  <c r="D139" i="130"/>
  <c r="G140" i="130"/>
  <c r="J140" i="130"/>
  <c r="D140" i="130"/>
  <c r="G142" i="130"/>
  <c r="J142" i="130"/>
  <c r="D142" i="130"/>
  <c r="G143" i="130"/>
  <c r="J143" i="130"/>
  <c r="D143" i="130"/>
  <c r="G144" i="130"/>
  <c r="J144" i="130"/>
  <c r="D144" i="130"/>
  <c r="G145" i="130"/>
  <c r="J145" i="130"/>
  <c r="D145" i="130"/>
  <c r="G146" i="130"/>
  <c r="J146" i="130"/>
  <c r="D146" i="130"/>
  <c r="G147" i="130"/>
  <c r="J147" i="130"/>
  <c r="D147" i="130"/>
  <c r="G148" i="130"/>
  <c r="J148" i="130"/>
  <c r="D148" i="130"/>
  <c r="G149" i="130"/>
  <c r="J149" i="130"/>
  <c r="D149" i="130"/>
  <c r="G150" i="130"/>
  <c r="J150" i="130"/>
  <c r="D150" i="130"/>
  <c r="G151" i="130"/>
  <c r="J151" i="130"/>
  <c r="G152" i="130"/>
  <c r="J152" i="130"/>
  <c r="D152" i="130"/>
  <c r="G153" i="130"/>
  <c r="J153" i="130"/>
  <c r="D153" i="130"/>
  <c r="G154" i="130"/>
  <c r="J154" i="130"/>
  <c r="D154" i="130"/>
  <c r="G155" i="130"/>
  <c r="J155" i="130"/>
  <c r="D155" i="130"/>
  <c r="G156" i="130"/>
  <c r="J156" i="130"/>
  <c r="D156" i="130"/>
  <c r="G157" i="130"/>
  <c r="J157" i="130"/>
  <c r="D157" i="130"/>
  <c r="G158" i="130"/>
  <c r="J158" i="130"/>
  <c r="D158" i="130"/>
  <c r="G159" i="130"/>
  <c r="J159" i="130"/>
  <c r="D159" i="130"/>
  <c r="G160" i="130"/>
  <c r="J160" i="130"/>
  <c r="D160" i="130"/>
  <c r="G163" i="130"/>
  <c r="J163" i="130"/>
  <c r="D163" i="130"/>
  <c r="G164" i="130"/>
  <c r="J164" i="130"/>
  <c r="D164" i="130"/>
  <c r="G165" i="130"/>
  <c r="J165" i="130"/>
  <c r="D165" i="130"/>
  <c r="G166" i="130"/>
  <c r="J166" i="130"/>
  <c r="D166" i="130"/>
  <c r="G167" i="130"/>
  <c r="J167" i="130"/>
  <c r="D167" i="130"/>
  <c r="G168" i="130"/>
  <c r="J168" i="130"/>
  <c r="D168" i="130"/>
  <c r="G169" i="130"/>
  <c r="J169" i="130"/>
  <c r="D169" i="130"/>
  <c r="G170" i="130"/>
  <c r="J170" i="130"/>
  <c r="D170" i="130"/>
  <c r="G171" i="130"/>
  <c r="J171" i="130"/>
  <c r="D171" i="130"/>
  <c r="G172" i="130"/>
  <c r="J172" i="130"/>
  <c r="D172" i="130"/>
  <c r="G173" i="130"/>
  <c r="J173" i="130"/>
  <c r="D173" i="130"/>
  <c r="G174" i="130"/>
  <c r="J174" i="130"/>
  <c r="D174" i="130"/>
  <c r="G175" i="130"/>
  <c r="J175" i="130"/>
  <c r="D175" i="130"/>
  <c r="G176" i="130"/>
  <c r="J176" i="130"/>
  <c r="D176" i="130"/>
  <c r="G177" i="130"/>
  <c r="J177" i="130"/>
  <c r="D177" i="130"/>
  <c r="G178" i="130"/>
  <c r="J178" i="130"/>
  <c r="D178" i="130"/>
  <c r="G179" i="130"/>
  <c r="J179" i="130"/>
  <c r="D179" i="130"/>
  <c r="G180" i="130"/>
  <c r="J180" i="130"/>
  <c r="D180" i="130"/>
  <c r="G181" i="130"/>
  <c r="J181" i="130"/>
  <c r="D181" i="130"/>
  <c r="G183" i="130"/>
  <c r="J183" i="130"/>
  <c r="G184" i="130"/>
  <c r="J184" i="130"/>
  <c r="D184" i="130"/>
  <c r="G185" i="130"/>
  <c r="J185" i="130"/>
  <c r="D185" i="130"/>
  <c r="G186" i="130"/>
  <c r="J186" i="130"/>
  <c r="D186" i="130"/>
  <c r="G187" i="130"/>
  <c r="J187" i="130"/>
  <c r="D187" i="130"/>
  <c r="G188" i="130"/>
  <c r="J188" i="130"/>
  <c r="D188" i="130"/>
  <c r="G189" i="130"/>
  <c r="J189" i="130"/>
  <c r="D189" i="130"/>
  <c r="G190" i="130"/>
  <c r="J190" i="130"/>
  <c r="D190" i="130"/>
  <c r="G191" i="130"/>
  <c r="J191" i="130"/>
  <c r="D191" i="130"/>
  <c r="G192" i="130"/>
  <c r="J192" i="130"/>
  <c r="D192" i="130"/>
  <c r="G193" i="130"/>
  <c r="J193" i="130"/>
  <c r="D193" i="130"/>
  <c r="G194" i="130"/>
  <c r="J194" i="130"/>
  <c r="D194" i="130"/>
  <c r="G195" i="130"/>
  <c r="J195" i="130"/>
  <c r="D195" i="130"/>
  <c r="G196" i="130"/>
  <c r="J196" i="130"/>
  <c r="D196" i="130"/>
  <c r="G197" i="130"/>
  <c r="J197" i="130"/>
  <c r="D197" i="130"/>
  <c r="G198" i="130"/>
  <c r="J198" i="130"/>
  <c r="D198" i="130"/>
  <c r="G199" i="130"/>
  <c r="J199" i="130"/>
  <c r="D199" i="130"/>
  <c r="G200" i="130"/>
  <c r="J200" i="130"/>
  <c r="D200" i="130"/>
  <c r="G201" i="130"/>
  <c r="J201" i="130"/>
  <c r="D201" i="130"/>
  <c r="G202" i="130"/>
  <c r="J202" i="130"/>
  <c r="D202" i="130"/>
  <c r="G203" i="130"/>
  <c r="J203" i="130"/>
  <c r="D203" i="130"/>
  <c r="G205" i="130"/>
  <c r="G206" i="130"/>
  <c r="J206" i="130"/>
  <c r="D206" i="130"/>
  <c r="G207" i="130"/>
  <c r="J207" i="130"/>
  <c r="D207" i="130"/>
  <c r="G208" i="130"/>
  <c r="J208" i="130"/>
  <c r="D208" i="130"/>
  <c r="G210" i="130"/>
  <c r="J210" i="130"/>
  <c r="D210" i="130"/>
  <c r="G211" i="130"/>
  <c r="J211" i="130"/>
  <c r="D211" i="130"/>
  <c r="G212" i="130"/>
  <c r="J212" i="130"/>
  <c r="D212" i="130"/>
  <c r="G213" i="130"/>
  <c r="J213" i="130"/>
  <c r="D213" i="130"/>
  <c r="G214" i="130"/>
  <c r="J214" i="130"/>
  <c r="D214" i="130"/>
  <c r="G215" i="130"/>
  <c r="J215" i="130"/>
  <c r="D215" i="130"/>
  <c r="G216" i="130"/>
  <c r="J216" i="130"/>
  <c r="D216" i="130"/>
  <c r="G217" i="130"/>
  <c r="J217" i="130"/>
  <c r="D217" i="130"/>
  <c r="G218" i="130"/>
  <c r="J218" i="130"/>
  <c r="D218" i="130"/>
  <c r="G219" i="130"/>
  <c r="J219" i="130"/>
  <c r="D219" i="130"/>
  <c r="G221" i="130"/>
  <c r="J221" i="130"/>
  <c r="D221" i="130"/>
  <c r="G222" i="130"/>
  <c r="J222" i="130"/>
  <c r="D222" i="130"/>
  <c r="G223" i="130"/>
  <c r="J223" i="130"/>
  <c r="D223" i="130"/>
  <c r="G224" i="130"/>
  <c r="J224" i="130"/>
  <c r="D224" i="130"/>
  <c r="G226" i="130"/>
  <c r="J226" i="130"/>
  <c r="D226" i="130"/>
  <c r="G227" i="130"/>
  <c r="J227" i="130"/>
  <c r="D227" i="130"/>
  <c r="G228" i="130"/>
  <c r="J228" i="130"/>
  <c r="D228" i="130"/>
  <c r="G230" i="130"/>
  <c r="J230" i="130"/>
  <c r="D230" i="130"/>
  <c r="G231" i="130"/>
  <c r="J231" i="130"/>
  <c r="D231" i="130"/>
  <c r="G232" i="130"/>
  <c r="J232" i="130"/>
  <c r="D232" i="130"/>
  <c r="G233" i="130"/>
  <c r="J233" i="130"/>
  <c r="D233" i="130"/>
  <c r="G234" i="130"/>
  <c r="J234" i="130"/>
  <c r="D234" i="130"/>
  <c r="G215" i="123"/>
  <c r="E37" i="123"/>
  <c r="F37" i="123"/>
  <c r="H37" i="123"/>
  <c r="G136" i="123"/>
  <c r="J136" i="123"/>
  <c r="D136" i="123"/>
  <c r="G133" i="123"/>
  <c r="J133" i="123"/>
  <c r="D133" i="123"/>
  <c r="N204" i="123"/>
  <c r="G204" i="123"/>
  <c r="H60" i="123"/>
  <c r="O19" i="123"/>
  <c r="O18" i="123"/>
  <c r="O17" i="123"/>
  <c r="G151" i="123"/>
  <c r="J151" i="123"/>
  <c r="D151" i="123"/>
  <c r="G200" i="123"/>
  <c r="G183" i="123"/>
  <c r="J183" i="123"/>
  <c r="D183" i="123"/>
  <c r="O33" i="123"/>
  <c r="O34" i="123"/>
  <c r="E132" i="123"/>
  <c r="O16" i="123"/>
  <c r="O15" i="123"/>
  <c r="H32" i="123"/>
  <c r="BC87" i="123"/>
  <c r="G177" i="123"/>
  <c r="J177" i="123"/>
  <c r="G134" i="123"/>
  <c r="J134" i="123"/>
  <c r="D134" i="123"/>
  <c r="G135" i="123"/>
  <c r="J135" i="123"/>
  <c r="D135" i="123"/>
  <c r="G137" i="123"/>
  <c r="J137" i="123"/>
  <c r="D137" i="123"/>
  <c r="G138" i="123"/>
  <c r="J138" i="123"/>
  <c r="D138" i="123"/>
  <c r="G139" i="123"/>
  <c r="J139" i="123"/>
  <c r="D139" i="123"/>
  <c r="G140" i="123"/>
  <c r="J140" i="123"/>
  <c r="D140" i="123"/>
  <c r="G141" i="123"/>
  <c r="J141" i="123"/>
  <c r="D141" i="123"/>
  <c r="G142" i="123"/>
  <c r="J142" i="123"/>
  <c r="D142" i="123"/>
  <c r="G143" i="123"/>
  <c r="J143" i="123"/>
  <c r="D143" i="123"/>
  <c r="G144" i="123"/>
  <c r="J144" i="123"/>
  <c r="D144" i="123"/>
  <c r="G145" i="123"/>
  <c r="J145" i="123"/>
  <c r="D145" i="123"/>
  <c r="G146" i="123"/>
  <c r="J146" i="123"/>
  <c r="G147" i="123"/>
  <c r="J147" i="123"/>
  <c r="D147" i="123"/>
  <c r="G148" i="123"/>
  <c r="J148" i="123"/>
  <c r="D148" i="123"/>
  <c r="G149" i="123"/>
  <c r="J149" i="123"/>
  <c r="D149" i="123"/>
  <c r="G150" i="123"/>
  <c r="J150" i="123"/>
  <c r="D150" i="123"/>
  <c r="G152" i="123"/>
  <c r="J152" i="123"/>
  <c r="D152" i="123"/>
  <c r="G153" i="123"/>
  <c r="J153" i="123"/>
  <c r="D153" i="123"/>
  <c r="G154" i="123"/>
  <c r="J154" i="123"/>
  <c r="D154" i="123"/>
  <c r="G155" i="123"/>
  <c r="J155" i="123"/>
  <c r="D155" i="123"/>
  <c r="G158" i="123"/>
  <c r="J158" i="123"/>
  <c r="D158" i="123"/>
  <c r="G159" i="123"/>
  <c r="J159" i="123"/>
  <c r="D159" i="123"/>
  <c r="G160" i="123"/>
  <c r="J160" i="123"/>
  <c r="D160" i="123"/>
  <c r="G161" i="123"/>
  <c r="J161" i="123"/>
  <c r="D161" i="123"/>
  <c r="G162" i="123"/>
  <c r="J162" i="123"/>
  <c r="D162" i="123"/>
  <c r="G163" i="123"/>
  <c r="J163" i="123"/>
  <c r="D163" i="123"/>
  <c r="G164" i="123"/>
  <c r="J164" i="123"/>
  <c r="D164" i="123"/>
  <c r="G165" i="123"/>
  <c r="J165" i="123"/>
  <c r="D165" i="123"/>
  <c r="G166" i="123"/>
  <c r="J166" i="123"/>
  <c r="D166" i="123"/>
  <c r="G167" i="123"/>
  <c r="J167" i="123"/>
  <c r="D167" i="123"/>
  <c r="G168" i="123"/>
  <c r="J168" i="123"/>
  <c r="D168" i="123"/>
  <c r="G169" i="123"/>
  <c r="J169" i="123"/>
  <c r="D169" i="123"/>
  <c r="G170" i="123"/>
  <c r="J170" i="123"/>
  <c r="D170" i="123"/>
  <c r="G171" i="123"/>
  <c r="J171" i="123"/>
  <c r="D171" i="123"/>
  <c r="G172" i="123"/>
  <c r="J172" i="123"/>
  <c r="D172" i="123"/>
  <c r="G173" i="123"/>
  <c r="J173" i="123"/>
  <c r="D173" i="123"/>
  <c r="G174" i="123"/>
  <c r="J174" i="123"/>
  <c r="D174" i="123"/>
  <c r="G175" i="123"/>
  <c r="J175" i="123"/>
  <c r="D175" i="123"/>
  <c r="G176" i="123"/>
  <c r="J176" i="123"/>
  <c r="D176" i="123"/>
  <c r="G178" i="123"/>
  <c r="J178" i="123"/>
  <c r="G179" i="123"/>
  <c r="J179" i="123"/>
  <c r="D179" i="123"/>
  <c r="G180" i="123"/>
  <c r="J180" i="123"/>
  <c r="D180" i="123"/>
  <c r="G181" i="123"/>
  <c r="J181" i="123"/>
  <c r="D181" i="123"/>
  <c r="G182" i="123"/>
  <c r="J182" i="123"/>
  <c r="D182" i="123"/>
  <c r="G184" i="123"/>
  <c r="J184" i="123"/>
  <c r="D184" i="123"/>
  <c r="G185" i="123"/>
  <c r="J185" i="123"/>
  <c r="D185" i="123"/>
  <c r="G186" i="123"/>
  <c r="J186" i="123"/>
  <c r="D186" i="123"/>
  <c r="G187" i="123"/>
  <c r="J187" i="123"/>
  <c r="D187" i="123"/>
  <c r="G188" i="123"/>
  <c r="J188" i="123"/>
  <c r="D188" i="123"/>
  <c r="G189" i="123"/>
  <c r="J189" i="123"/>
  <c r="D189" i="123"/>
  <c r="G190" i="123"/>
  <c r="J190" i="123"/>
  <c r="D190" i="123"/>
  <c r="G191" i="123"/>
  <c r="J191" i="123"/>
  <c r="D191" i="123"/>
  <c r="G192" i="123"/>
  <c r="J192" i="123"/>
  <c r="D192" i="123"/>
  <c r="G193" i="123"/>
  <c r="J193" i="123"/>
  <c r="D193" i="123"/>
  <c r="G194" i="123"/>
  <c r="J194" i="123"/>
  <c r="D194" i="123"/>
  <c r="G195" i="123"/>
  <c r="J195" i="123"/>
  <c r="D195" i="123"/>
  <c r="G196" i="123"/>
  <c r="J196" i="123"/>
  <c r="D196" i="123"/>
  <c r="G197" i="123"/>
  <c r="J197" i="123"/>
  <c r="D197" i="123"/>
  <c r="G198" i="123"/>
  <c r="J198" i="123"/>
  <c r="D198" i="123"/>
  <c r="G201" i="123"/>
  <c r="J201" i="123"/>
  <c r="D201" i="123"/>
  <c r="G202" i="123"/>
  <c r="J202" i="123"/>
  <c r="D202" i="123"/>
  <c r="G203" i="123"/>
  <c r="J203" i="123"/>
  <c r="D203" i="123"/>
  <c r="G205" i="123"/>
  <c r="J205" i="123"/>
  <c r="D205" i="123"/>
  <c r="G206" i="123"/>
  <c r="J206" i="123"/>
  <c r="D206" i="123"/>
  <c r="G207" i="123"/>
  <c r="J207" i="123"/>
  <c r="D207" i="123"/>
  <c r="G208" i="123"/>
  <c r="J208" i="123"/>
  <c r="D208" i="123"/>
  <c r="G209" i="123"/>
  <c r="J209" i="123"/>
  <c r="D209" i="123"/>
  <c r="G210" i="123"/>
  <c r="J210" i="123"/>
  <c r="D210" i="123"/>
  <c r="G211" i="123"/>
  <c r="J211" i="123"/>
  <c r="D211" i="123"/>
  <c r="G212" i="123"/>
  <c r="J212" i="123"/>
  <c r="D212" i="123"/>
  <c r="G213" i="123"/>
  <c r="J213" i="123"/>
  <c r="D213" i="123"/>
  <c r="G214" i="123"/>
  <c r="J214" i="123"/>
  <c r="D214" i="123"/>
  <c r="G216" i="123"/>
  <c r="J216" i="123"/>
  <c r="D216" i="123"/>
  <c r="G217" i="123"/>
  <c r="J217" i="123"/>
  <c r="D217" i="123"/>
  <c r="G218" i="123"/>
  <c r="J218" i="123"/>
  <c r="D218" i="123"/>
  <c r="G219" i="123"/>
  <c r="J219" i="123"/>
  <c r="D219" i="123"/>
  <c r="G221" i="123"/>
  <c r="J221" i="123"/>
  <c r="D221" i="123"/>
  <c r="G222" i="123"/>
  <c r="J222" i="123"/>
  <c r="D222" i="123"/>
  <c r="G223" i="123"/>
  <c r="J223" i="123"/>
  <c r="D223" i="123"/>
  <c r="G225" i="123"/>
  <c r="J225" i="123"/>
  <c r="D225" i="123"/>
  <c r="G226" i="123"/>
  <c r="J226" i="123"/>
  <c r="D226" i="123"/>
  <c r="G227" i="123"/>
  <c r="J227" i="123"/>
  <c r="D227" i="123"/>
  <c r="G228" i="123"/>
  <c r="J228" i="123"/>
  <c r="D228" i="123"/>
  <c r="G229" i="123"/>
  <c r="J229" i="123"/>
  <c r="D229" i="123"/>
  <c r="H177" i="123"/>
  <c r="K177" i="123"/>
  <c r="H133" i="123"/>
  <c r="K133" i="123"/>
  <c r="E133" i="123"/>
  <c r="H134" i="123"/>
  <c r="K134" i="123"/>
  <c r="E134" i="123"/>
  <c r="H135" i="123"/>
  <c r="K135" i="123"/>
  <c r="E135" i="123"/>
  <c r="H136" i="123"/>
  <c r="K136" i="123"/>
  <c r="E136" i="123"/>
  <c r="H137" i="123"/>
  <c r="K137" i="123"/>
  <c r="E137" i="123"/>
  <c r="H138" i="123"/>
  <c r="K138" i="123"/>
  <c r="E138" i="123"/>
  <c r="H139" i="123"/>
  <c r="K139" i="123"/>
  <c r="E139" i="123"/>
  <c r="H140" i="123"/>
  <c r="K140" i="123"/>
  <c r="E140" i="123"/>
  <c r="H141" i="123"/>
  <c r="K141" i="123"/>
  <c r="E141" i="123"/>
  <c r="H142" i="123"/>
  <c r="K142" i="123"/>
  <c r="E142" i="123"/>
  <c r="H143" i="123"/>
  <c r="K143" i="123"/>
  <c r="E143" i="123"/>
  <c r="H144" i="123"/>
  <c r="K144" i="123"/>
  <c r="E144" i="123"/>
  <c r="H145" i="123"/>
  <c r="K145" i="123"/>
  <c r="E145" i="123"/>
  <c r="H146" i="123"/>
  <c r="K146" i="123"/>
  <c r="H147" i="123"/>
  <c r="K147" i="123"/>
  <c r="E147" i="123"/>
  <c r="H148" i="123"/>
  <c r="K148" i="123"/>
  <c r="E148" i="123"/>
  <c r="H149" i="123"/>
  <c r="K149" i="123"/>
  <c r="E149" i="123"/>
  <c r="H150" i="123"/>
  <c r="K150" i="123"/>
  <c r="E150" i="123"/>
  <c r="H151" i="123"/>
  <c r="K151" i="123"/>
  <c r="E151" i="123"/>
  <c r="H152" i="123"/>
  <c r="K152" i="123"/>
  <c r="E152" i="123"/>
  <c r="H153" i="123"/>
  <c r="K153" i="123"/>
  <c r="E153" i="123"/>
  <c r="H154" i="123"/>
  <c r="K154" i="123"/>
  <c r="E154" i="123"/>
  <c r="H155" i="123"/>
  <c r="K155" i="123"/>
  <c r="E155" i="123"/>
  <c r="H158" i="123"/>
  <c r="K158" i="123"/>
  <c r="E158" i="123"/>
  <c r="H159" i="123"/>
  <c r="K159" i="123"/>
  <c r="E159" i="123"/>
  <c r="H160" i="123"/>
  <c r="K160" i="123"/>
  <c r="E160" i="123"/>
  <c r="H161" i="123"/>
  <c r="K161" i="123"/>
  <c r="E161" i="123"/>
  <c r="H162" i="123"/>
  <c r="K162" i="123"/>
  <c r="E162" i="123"/>
  <c r="H163" i="123"/>
  <c r="K163" i="123"/>
  <c r="E163" i="123"/>
  <c r="H164" i="123"/>
  <c r="K164" i="123"/>
  <c r="E164" i="123"/>
  <c r="H165" i="123"/>
  <c r="K165" i="123"/>
  <c r="E165" i="123"/>
  <c r="H166" i="123"/>
  <c r="K166" i="123"/>
  <c r="E166" i="123"/>
  <c r="H167" i="123"/>
  <c r="K167" i="123"/>
  <c r="E167" i="123"/>
  <c r="H168" i="123"/>
  <c r="K168" i="123"/>
  <c r="E168" i="123"/>
  <c r="H169" i="123"/>
  <c r="K169" i="123"/>
  <c r="E169" i="123"/>
  <c r="H170" i="123"/>
  <c r="K170" i="123"/>
  <c r="E170" i="123"/>
  <c r="H171" i="123"/>
  <c r="K171" i="123"/>
  <c r="E171" i="123"/>
  <c r="H172" i="123"/>
  <c r="K172" i="123"/>
  <c r="E172" i="123"/>
  <c r="H173" i="123"/>
  <c r="K173" i="123"/>
  <c r="E173" i="123"/>
  <c r="H174" i="123"/>
  <c r="K174" i="123"/>
  <c r="E174" i="123"/>
  <c r="H175" i="123"/>
  <c r="K175" i="123"/>
  <c r="E175" i="123"/>
  <c r="H176" i="123"/>
  <c r="K176" i="123"/>
  <c r="E176" i="123"/>
  <c r="H178" i="123"/>
  <c r="K178" i="123"/>
  <c r="H179" i="123"/>
  <c r="K179" i="123"/>
  <c r="E179" i="123"/>
  <c r="H180" i="123"/>
  <c r="K180" i="123"/>
  <c r="E180" i="123"/>
  <c r="H181" i="123"/>
  <c r="K181" i="123"/>
  <c r="E181" i="123"/>
  <c r="H182" i="123"/>
  <c r="K182" i="123"/>
  <c r="E182" i="123"/>
  <c r="H183" i="123"/>
  <c r="K183" i="123"/>
  <c r="E183" i="123"/>
  <c r="H184" i="123"/>
  <c r="K184" i="123"/>
  <c r="E184" i="123"/>
  <c r="H185" i="123"/>
  <c r="K185" i="123"/>
  <c r="E185" i="123"/>
  <c r="H186" i="123"/>
  <c r="K186" i="123"/>
  <c r="E186" i="123"/>
  <c r="H187" i="123"/>
  <c r="K187" i="123"/>
  <c r="E187" i="123"/>
  <c r="H188" i="123"/>
  <c r="K188" i="123"/>
  <c r="E188" i="123"/>
  <c r="H189" i="123"/>
  <c r="K189" i="123"/>
  <c r="E189" i="123"/>
  <c r="H190" i="123"/>
  <c r="K190" i="123"/>
  <c r="E190" i="123"/>
  <c r="H191" i="123"/>
  <c r="K191" i="123"/>
  <c r="E191" i="123"/>
  <c r="H192" i="123"/>
  <c r="K192" i="123"/>
  <c r="E192" i="123"/>
  <c r="H193" i="123"/>
  <c r="K193" i="123"/>
  <c r="E193" i="123"/>
  <c r="H194" i="123"/>
  <c r="K194" i="123"/>
  <c r="E194" i="123"/>
  <c r="H195" i="123"/>
  <c r="K195" i="123"/>
  <c r="E195" i="123"/>
  <c r="H196" i="123"/>
  <c r="K196" i="123"/>
  <c r="E196" i="123"/>
  <c r="H197" i="123"/>
  <c r="K197" i="123"/>
  <c r="E197" i="123"/>
  <c r="H198" i="123"/>
  <c r="K198" i="123"/>
  <c r="E198" i="123"/>
  <c r="H201" i="123"/>
  <c r="K201" i="123"/>
  <c r="E201" i="123"/>
  <c r="H202" i="123"/>
  <c r="K202" i="123"/>
  <c r="E202" i="123"/>
  <c r="H203" i="123"/>
  <c r="K203" i="123"/>
  <c r="E203" i="123"/>
  <c r="H205" i="123"/>
  <c r="K205" i="123"/>
  <c r="E205" i="123"/>
  <c r="H206" i="123"/>
  <c r="K206" i="123"/>
  <c r="E206" i="123"/>
  <c r="H207" i="123"/>
  <c r="K207" i="123"/>
  <c r="E207" i="123"/>
  <c r="H208" i="123"/>
  <c r="K208" i="123"/>
  <c r="E208" i="123"/>
  <c r="H209" i="123"/>
  <c r="K209" i="123"/>
  <c r="E209" i="123"/>
  <c r="H210" i="123"/>
  <c r="K210" i="123"/>
  <c r="E210" i="123"/>
  <c r="H211" i="123"/>
  <c r="K211" i="123"/>
  <c r="E211" i="123"/>
  <c r="H212" i="123"/>
  <c r="K212" i="123"/>
  <c r="E212" i="123"/>
  <c r="H213" i="123"/>
  <c r="K213" i="123"/>
  <c r="E213" i="123"/>
  <c r="H214" i="123"/>
  <c r="K214" i="123"/>
  <c r="E214" i="123"/>
  <c r="H216" i="123"/>
  <c r="K216" i="123"/>
  <c r="E216" i="123"/>
  <c r="H217" i="123"/>
  <c r="K217" i="123"/>
  <c r="E217" i="123"/>
  <c r="H218" i="123"/>
  <c r="K218" i="123"/>
  <c r="E218" i="123"/>
  <c r="H219" i="123"/>
  <c r="K219" i="123"/>
  <c r="E219" i="123"/>
  <c r="H221" i="123"/>
  <c r="K221" i="123"/>
  <c r="E221" i="123"/>
  <c r="H222" i="123"/>
  <c r="K222" i="123"/>
  <c r="E222" i="123"/>
  <c r="H223" i="123"/>
  <c r="K223" i="123"/>
  <c r="E223" i="123"/>
  <c r="H225" i="123"/>
  <c r="K225" i="123"/>
  <c r="E225" i="123"/>
  <c r="H226" i="123"/>
  <c r="K226" i="123"/>
  <c r="E226" i="123"/>
  <c r="H227" i="123"/>
  <c r="K227" i="123"/>
  <c r="E227" i="123"/>
  <c r="H228" i="123"/>
  <c r="K228" i="123"/>
  <c r="E228" i="123"/>
  <c r="H229" i="123"/>
  <c r="K229" i="123"/>
  <c r="E229" i="123"/>
  <c r="G212" i="119"/>
  <c r="E37" i="119"/>
  <c r="H37" i="119"/>
  <c r="G133" i="119"/>
  <c r="J133" i="119"/>
  <c r="D133" i="119"/>
  <c r="G130" i="119"/>
  <c r="J130" i="119"/>
  <c r="D130" i="119"/>
  <c r="N201" i="119"/>
  <c r="G201" i="119"/>
  <c r="H32" i="119"/>
  <c r="BC84" i="119"/>
  <c r="G174" i="119"/>
  <c r="J174" i="119"/>
  <c r="G131" i="119"/>
  <c r="J131" i="119"/>
  <c r="D131" i="119"/>
  <c r="G132" i="119"/>
  <c r="J132" i="119"/>
  <c r="D132" i="119"/>
  <c r="G134" i="119"/>
  <c r="J134" i="119"/>
  <c r="D134" i="119"/>
  <c r="G135" i="119"/>
  <c r="J135" i="119"/>
  <c r="D135" i="119"/>
  <c r="G136" i="119"/>
  <c r="J136" i="119"/>
  <c r="D136" i="119"/>
  <c r="G137" i="119"/>
  <c r="J137" i="119"/>
  <c r="D137" i="119"/>
  <c r="G138" i="119"/>
  <c r="J138" i="119"/>
  <c r="D138" i="119"/>
  <c r="G139" i="119"/>
  <c r="J139" i="119"/>
  <c r="D139" i="119"/>
  <c r="G140" i="119"/>
  <c r="J140" i="119"/>
  <c r="D140" i="119"/>
  <c r="G141" i="119"/>
  <c r="J141" i="119"/>
  <c r="D141" i="119"/>
  <c r="G142" i="119"/>
  <c r="J142" i="119"/>
  <c r="D142" i="119"/>
  <c r="G143" i="119"/>
  <c r="J143" i="119"/>
  <c r="G144" i="119"/>
  <c r="J144" i="119"/>
  <c r="D144" i="119"/>
  <c r="G145" i="119"/>
  <c r="J145" i="119"/>
  <c r="D145" i="119"/>
  <c r="G146" i="119"/>
  <c r="J146" i="119"/>
  <c r="D146" i="119"/>
  <c r="G147" i="119"/>
  <c r="J147" i="119"/>
  <c r="D147" i="119"/>
  <c r="G148" i="119"/>
  <c r="J148" i="119"/>
  <c r="D148" i="119"/>
  <c r="G149" i="119"/>
  <c r="J149" i="119"/>
  <c r="D149" i="119"/>
  <c r="G150" i="119"/>
  <c r="J150" i="119"/>
  <c r="D150" i="119"/>
  <c r="G151" i="119"/>
  <c r="J151" i="119"/>
  <c r="D151" i="119"/>
  <c r="G152" i="119"/>
  <c r="J152" i="119"/>
  <c r="D152" i="119"/>
  <c r="G155" i="119"/>
  <c r="J155" i="119"/>
  <c r="D155" i="119"/>
  <c r="G156" i="119"/>
  <c r="J156" i="119"/>
  <c r="D156" i="119"/>
  <c r="G157" i="119"/>
  <c r="J157" i="119"/>
  <c r="D157" i="119"/>
  <c r="G158" i="119"/>
  <c r="J158" i="119"/>
  <c r="D158" i="119"/>
  <c r="G159" i="119"/>
  <c r="J159" i="119"/>
  <c r="D159" i="119"/>
  <c r="G160" i="119"/>
  <c r="J160" i="119"/>
  <c r="D160" i="119"/>
  <c r="G161" i="119"/>
  <c r="J161" i="119"/>
  <c r="D161" i="119"/>
  <c r="G162" i="119"/>
  <c r="J162" i="119"/>
  <c r="D162" i="119"/>
  <c r="G163" i="119"/>
  <c r="J163" i="119"/>
  <c r="D163" i="119"/>
  <c r="G164" i="119"/>
  <c r="J164" i="119"/>
  <c r="D164" i="119"/>
  <c r="G165" i="119"/>
  <c r="J165" i="119"/>
  <c r="D165" i="119"/>
  <c r="G166" i="119"/>
  <c r="J166" i="119"/>
  <c r="D166" i="119"/>
  <c r="G167" i="119"/>
  <c r="J167" i="119"/>
  <c r="D167" i="119"/>
  <c r="G168" i="119"/>
  <c r="J168" i="119"/>
  <c r="D168" i="119"/>
  <c r="G169" i="119"/>
  <c r="J169" i="119"/>
  <c r="D169" i="119"/>
  <c r="G170" i="119"/>
  <c r="J170" i="119"/>
  <c r="D170" i="119"/>
  <c r="G171" i="119"/>
  <c r="J171" i="119"/>
  <c r="D171" i="119"/>
  <c r="G172" i="119"/>
  <c r="J172" i="119"/>
  <c r="D172" i="119"/>
  <c r="G173" i="119"/>
  <c r="J173" i="119"/>
  <c r="D173" i="119"/>
  <c r="G175" i="119"/>
  <c r="J175" i="119"/>
  <c r="G176" i="119"/>
  <c r="J176" i="119"/>
  <c r="D176" i="119"/>
  <c r="G177" i="119"/>
  <c r="J177" i="119"/>
  <c r="D177" i="119"/>
  <c r="G178" i="119"/>
  <c r="J178" i="119"/>
  <c r="D178" i="119"/>
  <c r="G179" i="119"/>
  <c r="J179" i="119"/>
  <c r="D179" i="119"/>
  <c r="G180" i="119"/>
  <c r="J180" i="119"/>
  <c r="D180" i="119"/>
  <c r="G181" i="119"/>
  <c r="J181" i="119"/>
  <c r="D181" i="119"/>
  <c r="G182" i="119"/>
  <c r="J182" i="119"/>
  <c r="D182" i="119"/>
  <c r="G183" i="119"/>
  <c r="J183" i="119"/>
  <c r="D183" i="119"/>
  <c r="G184" i="119"/>
  <c r="J184" i="119"/>
  <c r="D184" i="119"/>
  <c r="G185" i="119"/>
  <c r="J185" i="119"/>
  <c r="D185" i="119"/>
  <c r="G186" i="119"/>
  <c r="J186" i="119"/>
  <c r="D186" i="119"/>
  <c r="G187" i="119"/>
  <c r="J187" i="119"/>
  <c r="D187" i="119"/>
  <c r="G188" i="119"/>
  <c r="J188" i="119"/>
  <c r="D188" i="119"/>
  <c r="G189" i="119"/>
  <c r="J189" i="119"/>
  <c r="D189" i="119"/>
  <c r="G190" i="119"/>
  <c r="J190" i="119"/>
  <c r="D190" i="119"/>
  <c r="G191" i="119"/>
  <c r="J191" i="119"/>
  <c r="D191" i="119"/>
  <c r="G192" i="119"/>
  <c r="J192" i="119"/>
  <c r="D192" i="119"/>
  <c r="G193" i="119"/>
  <c r="J193" i="119"/>
  <c r="D193" i="119"/>
  <c r="G194" i="119"/>
  <c r="J194" i="119"/>
  <c r="D194" i="119"/>
  <c r="G195" i="119"/>
  <c r="J195" i="119"/>
  <c r="D195" i="119"/>
  <c r="G197" i="119"/>
  <c r="G198" i="119"/>
  <c r="J198" i="119"/>
  <c r="D198" i="119"/>
  <c r="G199" i="119"/>
  <c r="J199" i="119"/>
  <c r="D199" i="119"/>
  <c r="G200" i="119"/>
  <c r="J200" i="119"/>
  <c r="D200" i="119"/>
  <c r="G202" i="119"/>
  <c r="J202" i="119"/>
  <c r="D202" i="119"/>
  <c r="G203" i="119"/>
  <c r="J203" i="119"/>
  <c r="D203" i="119"/>
  <c r="G204" i="119"/>
  <c r="J204" i="119"/>
  <c r="D204" i="119"/>
  <c r="G205" i="119"/>
  <c r="J205" i="119"/>
  <c r="D205" i="119"/>
  <c r="G206" i="119"/>
  <c r="J206" i="119"/>
  <c r="D206" i="119"/>
  <c r="G207" i="119"/>
  <c r="J207" i="119"/>
  <c r="D207" i="119"/>
  <c r="G208" i="119"/>
  <c r="J208" i="119"/>
  <c r="D208" i="119"/>
  <c r="G209" i="119"/>
  <c r="J209" i="119"/>
  <c r="D209" i="119"/>
  <c r="G210" i="119"/>
  <c r="J210" i="119"/>
  <c r="D210" i="119"/>
  <c r="G211" i="119"/>
  <c r="J211" i="119"/>
  <c r="D211" i="119"/>
  <c r="G213" i="119"/>
  <c r="J213" i="119"/>
  <c r="D213" i="119"/>
  <c r="G214" i="119"/>
  <c r="J214" i="119"/>
  <c r="D214" i="119"/>
  <c r="G215" i="119"/>
  <c r="J215" i="119"/>
  <c r="D215" i="119"/>
  <c r="G216" i="119"/>
  <c r="J216" i="119"/>
  <c r="D216" i="119"/>
  <c r="G218" i="119"/>
  <c r="J218" i="119"/>
  <c r="D218" i="119"/>
  <c r="G219" i="119"/>
  <c r="J219" i="119"/>
  <c r="D219" i="119"/>
  <c r="G220" i="119"/>
  <c r="J220" i="119"/>
  <c r="D220" i="119"/>
  <c r="G222" i="119"/>
  <c r="J222" i="119"/>
  <c r="D222" i="119"/>
  <c r="G223" i="119"/>
  <c r="J223" i="119"/>
  <c r="D223" i="119"/>
  <c r="G224" i="119"/>
  <c r="J224" i="119"/>
  <c r="D224" i="119"/>
  <c r="G225" i="119"/>
  <c r="J225" i="119"/>
  <c r="D225" i="119"/>
  <c r="G226" i="119"/>
  <c r="J226" i="119"/>
  <c r="D226" i="119"/>
  <c r="G220" i="127"/>
  <c r="E37" i="127"/>
  <c r="H37" i="127"/>
  <c r="G141" i="127"/>
  <c r="J141" i="127"/>
  <c r="D141" i="127"/>
  <c r="G138" i="127"/>
  <c r="J138" i="127"/>
  <c r="D138" i="127"/>
  <c r="N209" i="127"/>
  <c r="G209" i="127"/>
  <c r="H32" i="127"/>
  <c r="BC92" i="127"/>
  <c r="G182" i="127"/>
  <c r="J182" i="127"/>
  <c r="G139" i="127"/>
  <c r="J139" i="127"/>
  <c r="D139" i="127"/>
  <c r="G140" i="127"/>
  <c r="J140" i="127"/>
  <c r="D140" i="127"/>
  <c r="G142" i="127"/>
  <c r="J142" i="127"/>
  <c r="D142" i="127"/>
  <c r="G143" i="127"/>
  <c r="J143" i="127"/>
  <c r="D143" i="127"/>
  <c r="G144" i="127"/>
  <c r="J144" i="127"/>
  <c r="D144" i="127"/>
  <c r="G145" i="127"/>
  <c r="J145" i="127"/>
  <c r="D145" i="127"/>
  <c r="G146" i="127"/>
  <c r="J146" i="127"/>
  <c r="D146" i="127"/>
  <c r="G147" i="127"/>
  <c r="J147" i="127"/>
  <c r="D147" i="127"/>
  <c r="G148" i="127"/>
  <c r="J148" i="127"/>
  <c r="D148" i="127"/>
  <c r="G149" i="127"/>
  <c r="J149" i="127"/>
  <c r="D149" i="127"/>
  <c r="G150" i="127"/>
  <c r="J150" i="127"/>
  <c r="D150" i="127"/>
  <c r="G151" i="127"/>
  <c r="J151" i="127"/>
  <c r="G152" i="127"/>
  <c r="J152" i="127"/>
  <c r="D152" i="127"/>
  <c r="G153" i="127"/>
  <c r="J153" i="127"/>
  <c r="D153" i="127"/>
  <c r="G154" i="127"/>
  <c r="J154" i="127"/>
  <c r="D154" i="127"/>
  <c r="G155" i="127"/>
  <c r="J155" i="127"/>
  <c r="D155" i="127"/>
  <c r="G156" i="127"/>
  <c r="J156" i="127"/>
  <c r="D156" i="127"/>
  <c r="G157" i="127"/>
  <c r="J157" i="127"/>
  <c r="D157" i="127"/>
  <c r="G158" i="127"/>
  <c r="J158" i="127"/>
  <c r="D158" i="127"/>
  <c r="G159" i="127"/>
  <c r="J159" i="127"/>
  <c r="D159" i="127"/>
  <c r="G160" i="127"/>
  <c r="J160" i="127"/>
  <c r="D160" i="127"/>
  <c r="G163" i="127"/>
  <c r="J163" i="127"/>
  <c r="D163" i="127"/>
  <c r="G164" i="127"/>
  <c r="J164" i="127"/>
  <c r="D164" i="127"/>
  <c r="G165" i="127"/>
  <c r="J165" i="127"/>
  <c r="D165" i="127"/>
  <c r="G166" i="127"/>
  <c r="J166" i="127"/>
  <c r="D166" i="127"/>
  <c r="G167" i="127"/>
  <c r="J167" i="127"/>
  <c r="D167" i="127"/>
  <c r="G168" i="127"/>
  <c r="J168" i="127"/>
  <c r="D168" i="127"/>
  <c r="G169" i="127"/>
  <c r="J169" i="127"/>
  <c r="D169" i="127"/>
  <c r="G170" i="127"/>
  <c r="J170" i="127"/>
  <c r="D170" i="127"/>
  <c r="G171" i="127"/>
  <c r="J171" i="127"/>
  <c r="D171" i="127"/>
  <c r="G172" i="127"/>
  <c r="J172" i="127"/>
  <c r="D172" i="127"/>
  <c r="G173" i="127"/>
  <c r="J173" i="127"/>
  <c r="D173" i="127"/>
  <c r="G174" i="127"/>
  <c r="J174" i="127"/>
  <c r="D174" i="127"/>
  <c r="G175" i="127"/>
  <c r="J175" i="127"/>
  <c r="D175" i="127"/>
  <c r="G176" i="127"/>
  <c r="J176" i="127"/>
  <c r="D176" i="127"/>
  <c r="G177" i="127"/>
  <c r="J177" i="127"/>
  <c r="D177" i="127"/>
  <c r="G178" i="127"/>
  <c r="J178" i="127"/>
  <c r="D178" i="127"/>
  <c r="G179" i="127"/>
  <c r="J179" i="127"/>
  <c r="D179" i="127"/>
  <c r="G180" i="127"/>
  <c r="J180" i="127"/>
  <c r="D180" i="127"/>
  <c r="G181" i="127"/>
  <c r="J181" i="127"/>
  <c r="D181" i="127"/>
  <c r="G183" i="127"/>
  <c r="J183" i="127"/>
  <c r="G184" i="127"/>
  <c r="J184" i="127"/>
  <c r="D184" i="127"/>
  <c r="G185" i="127"/>
  <c r="J185" i="127"/>
  <c r="D185" i="127"/>
  <c r="G186" i="127"/>
  <c r="J186" i="127"/>
  <c r="D186" i="127"/>
  <c r="G187" i="127"/>
  <c r="J187" i="127"/>
  <c r="D187" i="127"/>
  <c r="G188" i="127"/>
  <c r="J188" i="127"/>
  <c r="D188" i="127"/>
  <c r="G189" i="127"/>
  <c r="J189" i="127"/>
  <c r="D189" i="127"/>
  <c r="G190" i="127"/>
  <c r="J190" i="127"/>
  <c r="D190" i="127"/>
  <c r="G191" i="127"/>
  <c r="J191" i="127"/>
  <c r="D191" i="127"/>
  <c r="G192" i="127"/>
  <c r="J192" i="127"/>
  <c r="D192" i="127"/>
  <c r="G193" i="127"/>
  <c r="J193" i="127"/>
  <c r="D193" i="127"/>
  <c r="G194" i="127"/>
  <c r="J194" i="127"/>
  <c r="D194" i="127"/>
  <c r="G195" i="127"/>
  <c r="J195" i="127"/>
  <c r="D195" i="127"/>
  <c r="G196" i="127"/>
  <c r="J196" i="127"/>
  <c r="D196" i="127"/>
  <c r="G197" i="127"/>
  <c r="J197" i="127"/>
  <c r="D197" i="127"/>
  <c r="G198" i="127"/>
  <c r="J198" i="127"/>
  <c r="D198" i="127"/>
  <c r="G199" i="127"/>
  <c r="J199" i="127"/>
  <c r="D199" i="127"/>
  <c r="G200" i="127"/>
  <c r="J200" i="127"/>
  <c r="D200" i="127"/>
  <c r="G201" i="127"/>
  <c r="J201" i="127"/>
  <c r="D201" i="127"/>
  <c r="G202" i="127"/>
  <c r="J202" i="127"/>
  <c r="D202" i="127"/>
  <c r="G203" i="127"/>
  <c r="J203" i="127"/>
  <c r="D203" i="127"/>
  <c r="G205" i="127"/>
  <c r="G206" i="127"/>
  <c r="J206" i="127"/>
  <c r="D206" i="127"/>
  <c r="G207" i="127"/>
  <c r="J207" i="127"/>
  <c r="D207" i="127"/>
  <c r="G208" i="127"/>
  <c r="J208" i="127"/>
  <c r="D208" i="127"/>
  <c r="G210" i="127"/>
  <c r="J210" i="127"/>
  <c r="D210" i="127"/>
  <c r="G211" i="127"/>
  <c r="J211" i="127"/>
  <c r="D211" i="127"/>
  <c r="G212" i="127"/>
  <c r="J212" i="127"/>
  <c r="D212" i="127"/>
  <c r="G213" i="127"/>
  <c r="J213" i="127"/>
  <c r="D213" i="127"/>
  <c r="G214" i="127"/>
  <c r="J214" i="127"/>
  <c r="D214" i="127"/>
  <c r="G215" i="127"/>
  <c r="J215" i="127"/>
  <c r="D215" i="127"/>
  <c r="G216" i="127"/>
  <c r="J216" i="127"/>
  <c r="D216" i="127"/>
  <c r="G217" i="127"/>
  <c r="J217" i="127"/>
  <c r="D217" i="127"/>
  <c r="G218" i="127"/>
  <c r="J218" i="127"/>
  <c r="D218" i="127"/>
  <c r="G219" i="127"/>
  <c r="J219" i="127"/>
  <c r="D219" i="127"/>
  <c r="G221" i="127"/>
  <c r="J221" i="127"/>
  <c r="D221" i="127"/>
  <c r="G222" i="127"/>
  <c r="J222" i="127"/>
  <c r="D222" i="127"/>
  <c r="G223" i="127"/>
  <c r="J223" i="127"/>
  <c r="D223" i="127"/>
  <c r="G224" i="127"/>
  <c r="J224" i="127"/>
  <c r="D224" i="127"/>
  <c r="G226" i="127"/>
  <c r="J226" i="127"/>
  <c r="D226" i="127"/>
  <c r="G227" i="127"/>
  <c r="J227" i="127"/>
  <c r="D227" i="127"/>
  <c r="G228" i="127"/>
  <c r="J228" i="127"/>
  <c r="D228" i="127"/>
  <c r="G230" i="127"/>
  <c r="J230" i="127"/>
  <c r="D230" i="127"/>
  <c r="G231" i="127"/>
  <c r="J231" i="127"/>
  <c r="D231" i="127"/>
  <c r="G232" i="127"/>
  <c r="J232" i="127"/>
  <c r="D232" i="127"/>
  <c r="G233" i="127"/>
  <c r="J233" i="127"/>
  <c r="D233" i="127"/>
  <c r="G234" i="127"/>
  <c r="J234" i="127"/>
  <c r="D234" i="127"/>
  <c r="G211" i="117"/>
  <c r="E37" i="117"/>
  <c r="H37" i="117"/>
  <c r="F38" i="117"/>
  <c r="G132" i="117"/>
  <c r="J132" i="117"/>
  <c r="D132" i="117"/>
  <c r="G129" i="117"/>
  <c r="J129" i="117"/>
  <c r="D129" i="117"/>
  <c r="N200" i="117"/>
  <c r="G200" i="117"/>
  <c r="H32" i="117"/>
  <c r="BC83" i="117"/>
  <c r="G173" i="117"/>
  <c r="J173" i="117"/>
  <c r="G130" i="117"/>
  <c r="J130" i="117"/>
  <c r="D130" i="117"/>
  <c r="G131" i="117"/>
  <c r="J131" i="117"/>
  <c r="D131" i="117"/>
  <c r="G133" i="117"/>
  <c r="J133" i="117"/>
  <c r="D133" i="117"/>
  <c r="G134" i="117"/>
  <c r="J134" i="117"/>
  <c r="D134" i="117"/>
  <c r="G135" i="117"/>
  <c r="J135" i="117"/>
  <c r="D135" i="117"/>
  <c r="G136" i="117"/>
  <c r="J136" i="117"/>
  <c r="D136" i="117"/>
  <c r="G137" i="117"/>
  <c r="J137" i="117"/>
  <c r="D137" i="117"/>
  <c r="G138" i="117"/>
  <c r="J138" i="117"/>
  <c r="D138" i="117"/>
  <c r="G139" i="117"/>
  <c r="J139" i="117"/>
  <c r="D139" i="117"/>
  <c r="G140" i="117"/>
  <c r="J140" i="117"/>
  <c r="D140" i="117"/>
  <c r="G141" i="117"/>
  <c r="J141" i="117"/>
  <c r="D141" i="117"/>
  <c r="G142" i="117"/>
  <c r="J142" i="117"/>
  <c r="G143" i="117"/>
  <c r="J143" i="117"/>
  <c r="D143" i="117"/>
  <c r="G144" i="117"/>
  <c r="J144" i="117"/>
  <c r="D144" i="117"/>
  <c r="G145" i="117"/>
  <c r="J145" i="117"/>
  <c r="D145" i="117"/>
  <c r="G146" i="117"/>
  <c r="J146" i="117"/>
  <c r="D146" i="117"/>
  <c r="G147" i="117"/>
  <c r="J147" i="117"/>
  <c r="D147" i="117"/>
  <c r="G148" i="117"/>
  <c r="J148" i="117"/>
  <c r="D148" i="117"/>
  <c r="G149" i="117"/>
  <c r="J149" i="117"/>
  <c r="D149" i="117"/>
  <c r="G150" i="117"/>
  <c r="J150" i="117"/>
  <c r="D150" i="117"/>
  <c r="G151" i="117"/>
  <c r="J151" i="117"/>
  <c r="D151" i="117"/>
  <c r="G154" i="117"/>
  <c r="J154" i="117"/>
  <c r="D154" i="117"/>
  <c r="G155" i="117"/>
  <c r="J155" i="117"/>
  <c r="D155" i="117"/>
  <c r="G156" i="117"/>
  <c r="J156" i="117"/>
  <c r="D156" i="117"/>
  <c r="G157" i="117"/>
  <c r="J157" i="117"/>
  <c r="D157" i="117"/>
  <c r="G158" i="117"/>
  <c r="J158" i="117"/>
  <c r="D158" i="117"/>
  <c r="G159" i="117"/>
  <c r="J159" i="117"/>
  <c r="D159" i="117"/>
  <c r="G160" i="117"/>
  <c r="J160" i="117"/>
  <c r="D160" i="117"/>
  <c r="G161" i="117"/>
  <c r="J161" i="117"/>
  <c r="D161" i="117"/>
  <c r="G162" i="117"/>
  <c r="J162" i="117"/>
  <c r="D162" i="117"/>
  <c r="G163" i="117"/>
  <c r="J163" i="117"/>
  <c r="D163" i="117"/>
  <c r="G164" i="117"/>
  <c r="J164" i="117"/>
  <c r="D164" i="117"/>
  <c r="G165" i="117"/>
  <c r="J165" i="117"/>
  <c r="D165" i="117"/>
  <c r="G166" i="117"/>
  <c r="J166" i="117"/>
  <c r="D166" i="117"/>
  <c r="G167" i="117"/>
  <c r="J167" i="117"/>
  <c r="D167" i="117"/>
  <c r="G168" i="117"/>
  <c r="J168" i="117"/>
  <c r="D168" i="117"/>
  <c r="G169" i="117"/>
  <c r="J169" i="117"/>
  <c r="D169" i="117"/>
  <c r="G170" i="117"/>
  <c r="J170" i="117"/>
  <c r="D170" i="117"/>
  <c r="G171" i="117"/>
  <c r="J171" i="117"/>
  <c r="D171" i="117"/>
  <c r="G172" i="117"/>
  <c r="J172" i="117"/>
  <c r="D172" i="117"/>
  <c r="G174" i="117"/>
  <c r="J174" i="117"/>
  <c r="G175" i="117"/>
  <c r="J175" i="117"/>
  <c r="D175" i="117"/>
  <c r="G176" i="117"/>
  <c r="J176" i="117"/>
  <c r="D176" i="117"/>
  <c r="G177" i="117"/>
  <c r="J177" i="117"/>
  <c r="D177" i="117"/>
  <c r="G178" i="117"/>
  <c r="J178" i="117"/>
  <c r="D178" i="117"/>
  <c r="G179" i="117"/>
  <c r="J179" i="117"/>
  <c r="D179" i="117"/>
  <c r="G180" i="117"/>
  <c r="J180" i="117"/>
  <c r="D180" i="117"/>
  <c r="G181" i="117"/>
  <c r="J181" i="117"/>
  <c r="D181" i="117"/>
  <c r="G182" i="117"/>
  <c r="J182" i="117"/>
  <c r="D182" i="117"/>
  <c r="G183" i="117"/>
  <c r="J183" i="117"/>
  <c r="D183" i="117"/>
  <c r="G184" i="117"/>
  <c r="J184" i="117"/>
  <c r="D184" i="117"/>
  <c r="G185" i="117"/>
  <c r="J185" i="117"/>
  <c r="D185" i="117"/>
  <c r="G186" i="117"/>
  <c r="J186" i="117"/>
  <c r="D186" i="117"/>
  <c r="G187" i="117"/>
  <c r="J187" i="117"/>
  <c r="D187" i="117"/>
  <c r="G188" i="117"/>
  <c r="J188" i="117"/>
  <c r="D188" i="117"/>
  <c r="G189" i="117"/>
  <c r="J189" i="117"/>
  <c r="D189" i="117"/>
  <c r="G190" i="117"/>
  <c r="J190" i="117"/>
  <c r="D190" i="117"/>
  <c r="G191" i="117"/>
  <c r="J191" i="117"/>
  <c r="D191" i="117"/>
  <c r="G192" i="117"/>
  <c r="J192" i="117"/>
  <c r="D192" i="117"/>
  <c r="G193" i="117"/>
  <c r="J193" i="117"/>
  <c r="D193" i="117"/>
  <c r="G194" i="117"/>
  <c r="J194" i="117"/>
  <c r="D194" i="117"/>
  <c r="G196" i="117"/>
  <c r="G197" i="117"/>
  <c r="J197" i="117"/>
  <c r="D197" i="117"/>
  <c r="G198" i="117"/>
  <c r="J198" i="117"/>
  <c r="D198" i="117"/>
  <c r="G199" i="117"/>
  <c r="J199" i="117"/>
  <c r="D199" i="117"/>
  <c r="G201" i="117"/>
  <c r="J201" i="117"/>
  <c r="D201" i="117"/>
  <c r="G202" i="117"/>
  <c r="J202" i="117"/>
  <c r="D202" i="117"/>
  <c r="G203" i="117"/>
  <c r="J203" i="117"/>
  <c r="D203" i="117"/>
  <c r="G204" i="117"/>
  <c r="J204" i="117"/>
  <c r="D204" i="117"/>
  <c r="G205" i="117"/>
  <c r="J205" i="117"/>
  <c r="D205" i="117"/>
  <c r="G206" i="117"/>
  <c r="J206" i="117"/>
  <c r="D206" i="117"/>
  <c r="G207" i="117"/>
  <c r="J207" i="117"/>
  <c r="D207" i="117"/>
  <c r="G208" i="117"/>
  <c r="J208" i="117"/>
  <c r="D208" i="117"/>
  <c r="G209" i="117"/>
  <c r="J209" i="117"/>
  <c r="D209" i="117"/>
  <c r="G210" i="117"/>
  <c r="J210" i="117"/>
  <c r="D210" i="117"/>
  <c r="G212" i="117"/>
  <c r="J212" i="117"/>
  <c r="D212" i="117"/>
  <c r="G213" i="117"/>
  <c r="J213" i="117"/>
  <c r="D213" i="117"/>
  <c r="G214" i="117"/>
  <c r="J214" i="117"/>
  <c r="D214" i="117"/>
  <c r="G215" i="117"/>
  <c r="J215" i="117"/>
  <c r="D215" i="117"/>
  <c r="G217" i="117"/>
  <c r="J217" i="117"/>
  <c r="D217" i="117"/>
  <c r="G218" i="117"/>
  <c r="J218" i="117"/>
  <c r="D218" i="117"/>
  <c r="G219" i="117"/>
  <c r="J219" i="117"/>
  <c r="D219" i="117"/>
  <c r="G221" i="117"/>
  <c r="J221" i="117"/>
  <c r="D221" i="117"/>
  <c r="G222" i="117"/>
  <c r="J222" i="117"/>
  <c r="D222" i="117"/>
  <c r="G223" i="117"/>
  <c r="J223" i="117"/>
  <c r="D223" i="117"/>
  <c r="G224" i="117"/>
  <c r="J224" i="117"/>
  <c r="D224" i="117"/>
  <c r="G225" i="117"/>
  <c r="J225" i="117"/>
  <c r="D225" i="117"/>
  <c r="G211" i="118"/>
  <c r="E37" i="118"/>
  <c r="H37" i="118"/>
  <c r="G132" i="118"/>
  <c r="J132" i="118"/>
  <c r="D132" i="118"/>
  <c r="G129" i="118"/>
  <c r="J129" i="118"/>
  <c r="D129" i="118"/>
  <c r="N200" i="118"/>
  <c r="G200" i="118"/>
  <c r="F38" i="118"/>
  <c r="F37" i="118"/>
  <c r="H32" i="118"/>
  <c r="BC81" i="118"/>
  <c r="G173" i="118"/>
  <c r="J173" i="118"/>
  <c r="G130" i="118"/>
  <c r="J130" i="118"/>
  <c r="D130" i="118"/>
  <c r="G131" i="118"/>
  <c r="J131" i="118"/>
  <c r="D131" i="118"/>
  <c r="G133" i="118"/>
  <c r="J133" i="118"/>
  <c r="D133" i="118"/>
  <c r="G134" i="118"/>
  <c r="J134" i="118"/>
  <c r="D134" i="118"/>
  <c r="G135" i="118"/>
  <c r="J135" i="118"/>
  <c r="D135" i="118"/>
  <c r="G136" i="118"/>
  <c r="J136" i="118"/>
  <c r="D136" i="118"/>
  <c r="G137" i="118"/>
  <c r="J137" i="118"/>
  <c r="D137" i="118"/>
  <c r="G138" i="118"/>
  <c r="J138" i="118"/>
  <c r="D138" i="118"/>
  <c r="G139" i="118"/>
  <c r="J139" i="118"/>
  <c r="D139" i="118"/>
  <c r="G140" i="118"/>
  <c r="J140" i="118"/>
  <c r="D140" i="118"/>
  <c r="G141" i="118"/>
  <c r="J141" i="118"/>
  <c r="D141" i="118"/>
  <c r="G142" i="118"/>
  <c r="J142" i="118"/>
  <c r="G143" i="118"/>
  <c r="J143" i="118"/>
  <c r="D143" i="118"/>
  <c r="G144" i="118"/>
  <c r="J144" i="118"/>
  <c r="D144" i="118"/>
  <c r="G145" i="118"/>
  <c r="J145" i="118"/>
  <c r="D145" i="118"/>
  <c r="G146" i="118"/>
  <c r="J146" i="118"/>
  <c r="D146" i="118"/>
  <c r="G147" i="118"/>
  <c r="J147" i="118"/>
  <c r="D147" i="118"/>
  <c r="G148" i="118"/>
  <c r="J148" i="118"/>
  <c r="D148" i="118"/>
  <c r="G149" i="118"/>
  <c r="J149" i="118"/>
  <c r="D149" i="118"/>
  <c r="G150" i="118"/>
  <c r="J150" i="118"/>
  <c r="D150" i="118"/>
  <c r="G151" i="118"/>
  <c r="J151" i="118"/>
  <c r="D151" i="118"/>
  <c r="G154" i="118"/>
  <c r="J154" i="118"/>
  <c r="D154" i="118"/>
  <c r="G155" i="118"/>
  <c r="J155" i="118"/>
  <c r="D155" i="118"/>
  <c r="G156" i="118"/>
  <c r="J156" i="118"/>
  <c r="D156" i="118"/>
  <c r="G157" i="118"/>
  <c r="J157" i="118"/>
  <c r="D157" i="118"/>
  <c r="G158" i="118"/>
  <c r="J158" i="118"/>
  <c r="D158" i="118"/>
  <c r="G159" i="118"/>
  <c r="J159" i="118"/>
  <c r="D159" i="118"/>
  <c r="G160" i="118"/>
  <c r="J160" i="118"/>
  <c r="D160" i="118"/>
  <c r="G161" i="118"/>
  <c r="J161" i="118"/>
  <c r="D161" i="118"/>
  <c r="G162" i="118"/>
  <c r="J162" i="118"/>
  <c r="D162" i="118"/>
  <c r="G163" i="118"/>
  <c r="J163" i="118"/>
  <c r="D163" i="118"/>
  <c r="G164" i="118"/>
  <c r="J164" i="118"/>
  <c r="D164" i="118"/>
  <c r="G165" i="118"/>
  <c r="J165" i="118"/>
  <c r="D165" i="118"/>
  <c r="G166" i="118"/>
  <c r="J166" i="118"/>
  <c r="D166" i="118"/>
  <c r="G167" i="118"/>
  <c r="J167" i="118"/>
  <c r="D167" i="118"/>
  <c r="G168" i="118"/>
  <c r="J168" i="118"/>
  <c r="D168" i="118"/>
  <c r="G169" i="118"/>
  <c r="J169" i="118"/>
  <c r="D169" i="118"/>
  <c r="G170" i="118"/>
  <c r="J170" i="118"/>
  <c r="D170" i="118"/>
  <c r="G171" i="118"/>
  <c r="J171" i="118"/>
  <c r="D171" i="118"/>
  <c r="G172" i="118"/>
  <c r="J172" i="118"/>
  <c r="D172" i="118"/>
  <c r="G174" i="118"/>
  <c r="J174" i="118"/>
  <c r="G175" i="118"/>
  <c r="J175" i="118"/>
  <c r="D175" i="118"/>
  <c r="G176" i="118"/>
  <c r="J176" i="118"/>
  <c r="D176" i="118"/>
  <c r="G177" i="118"/>
  <c r="J177" i="118"/>
  <c r="D177" i="118"/>
  <c r="G178" i="118"/>
  <c r="J178" i="118"/>
  <c r="D178" i="118"/>
  <c r="G179" i="118"/>
  <c r="J179" i="118"/>
  <c r="D179" i="118"/>
  <c r="G180" i="118"/>
  <c r="J180" i="118"/>
  <c r="D180" i="118"/>
  <c r="G181" i="118"/>
  <c r="J181" i="118"/>
  <c r="D181" i="118"/>
  <c r="G182" i="118"/>
  <c r="J182" i="118"/>
  <c r="D182" i="118"/>
  <c r="G183" i="118"/>
  <c r="J183" i="118"/>
  <c r="D183" i="118"/>
  <c r="G184" i="118"/>
  <c r="J184" i="118"/>
  <c r="D184" i="118"/>
  <c r="G185" i="118"/>
  <c r="J185" i="118"/>
  <c r="D185" i="118"/>
  <c r="G186" i="118"/>
  <c r="J186" i="118"/>
  <c r="D186" i="118"/>
  <c r="G187" i="118"/>
  <c r="J187" i="118"/>
  <c r="D187" i="118"/>
  <c r="G188" i="118"/>
  <c r="J188" i="118"/>
  <c r="D188" i="118"/>
  <c r="G189" i="118"/>
  <c r="J189" i="118"/>
  <c r="D189" i="118"/>
  <c r="G190" i="118"/>
  <c r="J190" i="118"/>
  <c r="D190" i="118"/>
  <c r="G191" i="118"/>
  <c r="J191" i="118"/>
  <c r="D191" i="118"/>
  <c r="G192" i="118"/>
  <c r="J192" i="118"/>
  <c r="D192" i="118"/>
  <c r="G193" i="118"/>
  <c r="J193" i="118"/>
  <c r="D193" i="118"/>
  <c r="G194" i="118"/>
  <c r="J194" i="118"/>
  <c r="D194" i="118"/>
  <c r="G196" i="118"/>
  <c r="G197" i="118"/>
  <c r="J197" i="118"/>
  <c r="D197" i="118"/>
  <c r="G198" i="118"/>
  <c r="J198" i="118"/>
  <c r="D198" i="118"/>
  <c r="G199" i="118"/>
  <c r="J199" i="118"/>
  <c r="D199" i="118"/>
  <c r="G201" i="118"/>
  <c r="J201" i="118"/>
  <c r="D201" i="118"/>
  <c r="G202" i="118"/>
  <c r="J202" i="118"/>
  <c r="D202" i="118"/>
  <c r="G203" i="118"/>
  <c r="J203" i="118"/>
  <c r="D203" i="118"/>
  <c r="G204" i="118"/>
  <c r="J204" i="118"/>
  <c r="D204" i="118"/>
  <c r="G205" i="118"/>
  <c r="J205" i="118"/>
  <c r="D205" i="118"/>
  <c r="G206" i="118"/>
  <c r="J206" i="118"/>
  <c r="D206" i="118"/>
  <c r="G207" i="118"/>
  <c r="J207" i="118"/>
  <c r="D207" i="118"/>
  <c r="G208" i="118"/>
  <c r="J208" i="118"/>
  <c r="D208" i="118"/>
  <c r="G209" i="118"/>
  <c r="J209" i="118"/>
  <c r="D209" i="118"/>
  <c r="G210" i="118"/>
  <c r="J210" i="118"/>
  <c r="D210" i="118"/>
  <c r="G212" i="118"/>
  <c r="J212" i="118"/>
  <c r="D212" i="118"/>
  <c r="G213" i="118"/>
  <c r="J213" i="118"/>
  <c r="D213" i="118"/>
  <c r="G214" i="118"/>
  <c r="J214" i="118"/>
  <c r="D214" i="118"/>
  <c r="G215" i="118"/>
  <c r="J215" i="118"/>
  <c r="D215" i="118"/>
  <c r="G217" i="118"/>
  <c r="J217" i="118"/>
  <c r="D217" i="118"/>
  <c r="G218" i="118"/>
  <c r="J218" i="118"/>
  <c r="D218" i="118"/>
  <c r="G219" i="118"/>
  <c r="J219" i="118"/>
  <c r="D219" i="118"/>
  <c r="G221" i="118"/>
  <c r="J221" i="118"/>
  <c r="D221" i="118"/>
  <c r="G222" i="118"/>
  <c r="J222" i="118"/>
  <c r="D222" i="118"/>
  <c r="G223" i="118"/>
  <c r="J223" i="118"/>
  <c r="D223" i="118"/>
  <c r="G224" i="118"/>
  <c r="J224" i="118"/>
  <c r="D224" i="118"/>
  <c r="G225" i="118"/>
  <c r="J225" i="118"/>
  <c r="D225" i="118"/>
  <c r="G220" i="126"/>
  <c r="G141" i="126"/>
  <c r="J141" i="126"/>
  <c r="D141" i="126"/>
  <c r="G138" i="126"/>
  <c r="J138" i="126"/>
  <c r="D138" i="126"/>
  <c r="N209" i="126"/>
  <c r="G209" i="126"/>
  <c r="H60" i="126"/>
  <c r="O19" i="126"/>
  <c r="O18" i="126"/>
  <c r="O17" i="126"/>
  <c r="G156" i="126"/>
  <c r="J156" i="126"/>
  <c r="D156" i="126"/>
  <c r="G205" i="126"/>
  <c r="G188" i="126"/>
  <c r="J188" i="126"/>
  <c r="D188" i="126"/>
  <c r="O33" i="126"/>
  <c r="O34" i="126"/>
  <c r="E137" i="126"/>
  <c r="O16" i="126"/>
  <c r="O15" i="126"/>
  <c r="H32" i="126"/>
  <c r="BC91" i="126"/>
  <c r="G182" i="126"/>
  <c r="J182" i="126"/>
  <c r="G139" i="126"/>
  <c r="J139" i="126"/>
  <c r="D139" i="126"/>
  <c r="G140" i="126"/>
  <c r="J140" i="126"/>
  <c r="D140" i="126"/>
  <c r="G142" i="126"/>
  <c r="J142" i="126"/>
  <c r="D142" i="126"/>
  <c r="G143" i="126"/>
  <c r="J143" i="126"/>
  <c r="D143" i="126"/>
  <c r="G144" i="126"/>
  <c r="J144" i="126"/>
  <c r="D144" i="126"/>
  <c r="G145" i="126"/>
  <c r="J145" i="126"/>
  <c r="D145" i="126"/>
  <c r="G146" i="126"/>
  <c r="J146" i="126"/>
  <c r="D146" i="126"/>
  <c r="G147" i="126"/>
  <c r="J147" i="126"/>
  <c r="D147" i="126"/>
  <c r="G148" i="126"/>
  <c r="J148" i="126"/>
  <c r="D148" i="126"/>
  <c r="G149" i="126"/>
  <c r="J149" i="126"/>
  <c r="D149" i="126"/>
  <c r="G150" i="126"/>
  <c r="J150" i="126"/>
  <c r="D150" i="126"/>
  <c r="G151" i="126"/>
  <c r="J151" i="126"/>
  <c r="G152" i="126"/>
  <c r="J152" i="126"/>
  <c r="D152" i="126"/>
  <c r="G153" i="126"/>
  <c r="J153" i="126"/>
  <c r="D153" i="126"/>
  <c r="G154" i="126"/>
  <c r="J154" i="126"/>
  <c r="D154" i="126"/>
  <c r="G155" i="126"/>
  <c r="J155" i="126"/>
  <c r="D155" i="126"/>
  <c r="G157" i="126"/>
  <c r="J157" i="126"/>
  <c r="D157" i="126"/>
  <c r="G158" i="126"/>
  <c r="J158" i="126"/>
  <c r="D158" i="126"/>
  <c r="G159" i="126"/>
  <c r="J159" i="126"/>
  <c r="D159" i="126"/>
  <c r="G160" i="126"/>
  <c r="J160" i="126"/>
  <c r="D160" i="126"/>
  <c r="G163" i="126"/>
  <c r="J163" i="126"/>
  <c r="D163" i="126"/>
  <c r="G164" i="126"/>
  <c r="J164" i="126"/>
  <c r="D164" i="126"/>
  <c r="G165" i="126"/>
  <c r="J165" i="126"/>
  <c r="D165" i="126"/>
  <c r="G166" i="126"/>
  <c r="J166" i="126"/>
  <c r="D166" i="126"/>
  <c r="G167" i="126"/>
  <c r="J167" i="126"/>
  <c r="D167" i="126"/>
  <c r="G168" i="126"/>
  <c r="J168" i="126"/>
  <c r="D168" i="126"/>
  <c r="G169" i="126"/>
  <c r="J169" i="126"/>
  <c r="D169" i="126"/>
  <c r="G170" i="126"/>
  <c r="J170" i="126"/>
  <c r="D170" i="126"/>
  <c r="G171" i="126"/>
  <c r="J171" i="126"/>
  <c r="D171" i="126"/>
  <c r="G172" i="126"/>
  <c r="J172" i="126"/>
  <c r="D172" i="126"/>
  <c r="G173" i="126"/>
  <c r="J173" i="126"/>
  <c r="D173" i="126"/>
  <c r="G174" i="126"/>
  <c r="J174" i="126"/>
  <c r="D174" i="126"/>
  <c r="G175" i="126"/>
  <c r="J175" i="126"/>
  <c r="D175" i="126"/>
  <c r="G176" i="126"/>
  <c r="J176" i="126"/>
  <c r="D176" i="126"/>
  <c r="G177" i="126"/>
  <c r="J177" i="126"/>
  <c r="D177" i="126"/>
  <c r="G178" i="126"/>
  <c r="J178" i="126"/>
  <c r="D178" i="126"/>
  <c r="G179" i="126"/>
  <c r="J179" i="126"/>
  <c r="D179" i="126"/>
  <c r="G180" i="126"/>
  <c r="J180" i="126"/>
  <c r="D180" i="126"/>
  <c r="G181" i="126"/>
  <c r="J181" i="126"/>
  <c r="D181" i="126"/>
  <c r="G183" i="126"/>
  <c r="J183" i="126"/>
  <c r="G184" i="126"/>
  <c r="J184" i="126"/>
  <c r="D184" i="126"/>
  <c r="G185" i="126"/>
  <c r="J185" i="126"/>
  <c r="D185" i="126"/>
  <c r="G186" i="126"/>
  <c r="J186" i="126"/>
  <c r="D186" i="126"/>
  <c r="G187" i="126"/>
  <c r="J187" i="126"/>
  <c r="D187" i="126"/>
  <c r="G189" i="126"/>
  <c r="J189" i="126"/>
  <c r="D189" i="126"/>
  <c r="G190" i="126"/>
  <c r="J190" i="126"/>
  <c r="D190" i="126"/>
  <c r="G191" i="126"/>
  <c r="J191" i="126"/>
  <c r="D191" i="126"/>
  <c r="G192" i="126"/>
  <c r="J192" i="126"/>
  <c r="D192" i="126"/>
  <c r="G193" i="126"/>
  <c r="J193" i="126"/>
  <c r="D193" i="126"/>
  <c r="G194" i="126"/>
  <c r="J194" i="126"/>
  <c r="D194" i="126"/>
  <c r="G195" i="126"/>
  <c r="J195" i="126"/>
  <c r="D195" i="126"/>
  <c r="G196" i="126"/>
  <c r="J196" i="126"/>
  <c r="D196" i="126"/>
  <c r="G197" i="126"/>
  <c r="J197" i="126"/>
  <c r="D197" i="126"/>
  <c r="G198" i="126"/>
  <c r="J198" i="126"/>
  <c r="D198" i="126"/>
  <c r="G199" i="126"/>
  <c r="J199" i="126"/>
  <c r="D199" i="126"/>
  <c r="G200" i="126"/>
  <c r="J200" i="126"/>
  <c r="D200" i="126"/>
  <c r="G201" i="126"/>
  <c r="J201" i="126"/>
  <c r="D201" i="126"/>
  <c r="G202" i="126"/>
  <c r="J202" i="126"/>
  <c r="D202" i="126"/>
  <c r="G203" i="126"/>
  <c r="J203" i="126"/>
  <c r="D203" i="126"/>
  <c r="G206" i="126"/>
  <c r="J206" i="126"/>
  <c r="D206" i="126"/>
  <c r="G207" i="126"/>
  <c r="J207" i="126"/>
  <c r="D207" i="126"/>
  <c r="G208" i="126"/>
  <c r="J208" i="126"/>
  <c r="D208" i="126"/>
  <c r="G210" i="126"/>
  <c r="J210" i="126"/>
  <c r="D210" i="126"/>
  <c r="G211" i="126"/>
  <c r="J211" i="126"/>
  <c r="D211" i="126"/>
  <c r="G212" i="126"/>
  <c r="J212" i="126"/>
  <c r="D212" i="126"/>
  <c r="G213" i="126"/>
  <c r="J213" i="126"/>
  <c r="D213" i="126"/>
  <c r="G214" i="126"/>
  <c r="J214" i="126"/>
  <c r="D214" i="126"/>
  <c r="G215" i="126"/>
  <c r="J215" i="126"/>
  <c r="D215" i="126"/>
  <c r="G216" i="126"/>
  <c r="J216" i="126"/>
  <c r="D216" i="126"/>
  <c r="G217" i="126"/>
  <c r="J217" i="126"/>
  <c r="D217" i="126"/>
  <c r="G218" i="126"/>
  <c r="J218" i="126"/>
  <c r="D218" i="126"/>
  <c r="G219" i="126"/>
  <c r="J219" i="126"/>
  <c r="D219" i="126"/>
  <c r="G221" i="126"/>
  <c r="J221" i="126"/>
  <c r="D221" i="126"/>
  <c r="G222" i="126"/>
  <c r="J222" i="126"/>
  <c r="D222" i="126"/>
  <c r="G223" i="126"/>
  <c r="J223" i="126"/>
  <c r="D223" i="126"/>
  <c r="G224" i="126"/>
  <c r="J224" i="126"/>
  <c r="D224" i="126"/>
  <c r="G226" i="126"/>
  <c r="J226" i="126"/>
  <c r="D226" i="126"/>
  <c r="G227" i="126"/>
  <c r="J227" i="126"/>
  <c r="D227" i="126"/>
  <c r="G228" i="126"/>
  <c r="J228" i="126"/>
  <c r="D228" i="126"/>
  <c r="G230" i="126"/>
  <c r="J230" i="126"/>
  <c r="D230" i="126"/>
  <c r="G231" i="126"/>
  <c r="J231" i="126"/>
  <c r="D231" i="126"/>
  <c r="G232" i="126"/>
  <c r="J232" i="126"/>
  <c r="D232" i="126"/>
  <c r="G233" i="126"/>
  <c r="J233" i="126"/>
  <c r="D233" i="126"/>
  <c r="G234" i="126"/>
  <c r="J234" i="126"/>
  <c r="D234" i="126"/>
  <c r="H182" i="126"/>
  <c r="K182" i="126"/>
  <c r="H138" i="126"/>
  <c r="K138" i="126"/>
  <c r="E138" i="126"/>
  <c r="H139" i="126"/>
  <c r="K139" i="126"/>
  <c r="E139" i="126"/>
  <c r="H140" i="126"/>
  <c r="K140" i="126"/>
  <c r="E140" i="126"/>
  <c r="H141" i="126"/>
  <c r="K141" i="126"/>
  <c r="E141" i="126"/>
  <c r="H142" i="126"/>
  <c r="K142" i="126"/>
  <c r="E142" i="126"/>
  <c r="H143" i="126"/>
  <c r="K143" i="126"/>
  <c r="E143" i="126"/>
  <c r="H144" i="126"/>
  <c r="K144" i="126"/>
  <c r="E144" i="126"/>
  <c r="H145" i="126"/>
  <c r="K145" i="126"/>
  <c r="E145" i="126"/>
  <c r="H146" i="126"/>
  <c r="K146" i="126"/>
  <c r="E146" i="126"/>
  <c r="H147" i="126"/>
  <c r="K147" i="126"/>
  <c r="E147" i="126"/>
  <c r="H148" i="126"/>
  <c r="K148" i="126"/>
  <c r="E148" i="126"/>
  <c r="H149" i="126"/>
  <c r="K149" i="126"/>
  <c r="E149" i="126"/>
  <c r="H150" i="126"/>
  <c r="K150" i="126"/>
  <c r="E150" i="126"/>
  <c r="H151" i="126"/>
  <c r="K151" i="126"/>
  <c r="H152" i="126"/>
  <c r="K152" i="126"/>
  <c r="E152" i="126"/>
  <c r="H153" i="126"/>
  <c r="K153" i="126"/>
  <c r="E153" i="126"/>
  <c r="H154" i="126"/>
  <c r="K154" i="126"/>
  <c r="E154" i="126"/>
  <c r="H155" i="126"/>
  <c r="K155" i="126"/>
  <c r="E155" i="126"/>
  <c r="H156" i="126"/>
  <c r="K156" i="126"/>
  <c r="E156" i="126"/>
  <c r="H157" i="126"/>
  <c r="K157" i="126"/>
  <c r="E157" i="126"/>
  <c r="H158" i="126"/>
  <c r="K158" i="126"/>
  <c r="E158" i="126"/>
  <c r="H159" i="126"/>
  <c r="K159" i="126"/>
  <c r="E159" i="126"/>
  <c r="H160" i="126"/>
  <c r="K160" i="126"/>
  <c r="E160" i="126"/>
  <c r="H163" i="126"/>
  <c r="K163" i="126"/>
  <c r="E163" i="126"/>
  <c r="H164" i="126"/>
  <c r="K164" i="126"/>
  <c r="E164" i="126"/>
  <c r="H165" i="126"/>
  <c r="K165" i="126"/>
  <c r="E165" i="126"/>
  <c r="H166" i="126"/>
  <c r="K166" i="126"/>
  <c r="E166" i="126"/>
  <c r="H167" i="126"/>
  <c r="K167" i="126"/>
  <c r="E167" i="126"/>
  <c r="H168" i="126"/>
  <c r="K168" i="126"/>
  <c r="E168" i="126"/>
  <c r="H169" i="126"/>
  <c r="K169" i="126"/>
  <c r="E169" i="126"/>
  <c r="H170" i="126"/>
  <c r="K170" i="126"/>
  <c r="E170" i="126"/>
  <c r="H171" i="126"/>
  <c r="K171" i="126"/>
  <c r="E171" i="126"/>
  <c r="H172" i="126"/>
  <c r="K172" i="126"/>
  <c r="E172" i="126"/>
  <c r="H173" i="126"/>
  <c r="K173" i="126"/>
  <c r="E173" i="126"/>
  <c r="H174" i="126"/>
  <c r="K174" i="126"/>
  <c r="E174" i="126"/>
  <c r="H175" i="126"/>
  <c r="K175" i="126"/>
  <c r="E175" i="126"/>
  <c r="H176" i="126"/>
  <c r="K176" i="126"/>
  <c r="E176" i="126"/>
  <c r="H177" i="126"/>
  <c r="K177" i="126"/>
  <c r="E177" i="126"/>
  <c r="H178" i="126"/>
  <c r="K178" i="126"/>
  <c r="E178" i="126"/>
  <c r="H179" i="126"/>
  <c r="K179" i="126"/>
  <c r="E179" i="126"/>
  <c r="H180" i="126"/>
  <c r="K180" i="126"/>
  <c r="E180" i="126"/>
  <c r="H181" i="126"/>
  <c r="K181" i="126"/>
  <c r="E181" i="126"/>
  <c r="H183" i="126"/>
  <c r="K183" i="126"/>
  <c r="H184" i="126"/>
  <c r="K184" i="126"/>
  <c r="E184" i="126"/>
  <c r="H185" i="126"/>
  <c r="K185" i="126"/>
  <c r="E185" i="126"/>
  <c r="H186" i="126"/>
  <c r="K186" i="126"/>
  <c r="E186" i="126"/>
  <c r="H187" i="126"/>
  <c r="K187" i="126"/>
  <c r="E187" i="126"/>
  <c r="H188" i="126"/>
  <c r="K188" i="126"/>
  <c r="E188" i="126"/>
  <c r="H189" i="126"/>
  <c r="K189" i="126"/>
  <c r="E189" i="126"/>
  <c r="H190" i="126"/>
  <c r="K190" i="126"/>
  <c r="E190" i="126"/>
  <c r="H191" i="126"/>
  <c r="K191" i="126"/>
  <c r="E191" i="126"/>
  <c r="H192" i="126"/>
  <c r="K192" i="126"/>
  <c r="E192" i="126"/>
  <c r="H193" i="126"/>
  <c r="K193" i="126"/>
  <c r="E193" i="126"/>
  <c r="H194" i="126"/>
  <c r="K194" i="126"/>
  <c r="E194" i="126"/>
  <c r="H195" i="126"/>
  <c r="K195" i="126"/>
  <c r="E195" i="126"/>
  <c r="H196" i="126"/>
  <c r="K196" i="126"/>
  <c r="E196" i="126"/>
  <c r="H197" i="126"/>
  <c r="K197" i="126"/>
  <c r="E197" i="126"/>
  <c r="H198" i="126"/>
  <c r="K198" i="126"/>
  <c r="E198" i="126"/>
  <c r="H199" i="126"/>
  <c r="K199" i="126"/>
  <c r="E199" i="126"/>
  <c r="H200" i="126"/>
  <c r="K200" i="126"/>
  <c r="E200" i="126"/>
  <c r="H201" i="126"/>
  <c r="K201" i="126"/>
  <c r="E201" i="126"/>
  <c r="H202" i="126"/>
  <c r="K202" i="126"/>
  <c r="E202" i="126"/>
  <c r="H203" i="126"/>
  <c r="K203" i="126"/>
  <c r="E203" i="126"/>
  <c r="H206" i="126"/>
  <c r="K206" i="126"/>
  <c r="E206" i="126"/>
  <c r="H207" i="126"/>
  <c r="K207" i="126"/>
  <c r="E207" i="126"/>
  <c r="H208" i="126"/>
  <c r="K208" i="126"/>
  <c r="E208" i="126"/>
  <c r="H210" i="126"/>
  <c r="K210" i="126"/>
  <c r="E210" i="126"/>
  <c r="H211" i="126"/>
  <c r="K211" i="126"/>
  <c r="E211" i="126"/>
  <c r="H212" i="126"/>
  <c r="K212" i="126"/>
  <c r="E212" i="126"/>
  <c r="H213" i="126"/>
  <c r="K213" i="126"/>
  <c r="E213" i="126"/>
  <c r="H214" i="126"/>
  <c r="K214" i="126"/>
  <c r="E214" i="126"/>
  <c r="H215" i="126"/>
  <c r="K215" i="126"/>
  <c r="E215" i="126"/>
  <c r="H216" i="126"/>
  <c r="K216" i="126"/>
  <c r="E216" i="126"/>
  <c r="H217" i="126"/>
  <c r="K217" i="126"/>
  <c r="E217" i="126"/>
  <c r="H218" i="126"/>
  <c r="K218" i="126"/>
  <c r="E218" i="126"/>
  <c r="H219" i="126"/>
  <c r="K219" i="126"/>
  <c r="E219" i="126"/>
  <c r="H221" i="126"/>
  <c r="K221" i="126"/>
  <c r="E221" i="126"/>
  <c r="H222" i="126"/>
  <c r="K222" i="126"/>
  <c r="E222" i="126"/>
  <c r="H223" i="126"/>
  <c r="K223" i="126"/>
  <c r="E223" i="126"/>
  <c r="H224" i="126"/>
  <c r="K224" i="126"/>
  <c r="E224" i="126"/>
  <c r="H226" i="126"/>
  <c r="K226" i="126"/>
  <c r="E226" i="126"/>
  <c r="H227" i="126"/>
  <c r="K227" i="126"/>
  <c r="E227" i="126"/>
  <c r="H228" i="126"/>
  <c r="K228" i="126"/>
  <c r="E228" i="126"/>
  <c r="H230" i="126"/>
  <c r="K230" i="126"/>
  <c r="E230" i="126"/>
  <c r="H231" i="126"/>
  <c r="K231" i="126"/>
  <c r="E231" i="126"/>
  <c r="H232" i="126"/>
  <c r="K232" i="126"/>
  <c r="E232" i="126"/>
  <c r="H233" i="126"/>
  <c r="K233" i="126"/>
  <c r="E233" i="126"/>
  <c r="H234" i="126"/>
  <c r="K234" i="126"/>
  <c r="E234" i="126"/>
  <c r="H37" i="126"/>
  <c r="J240" i="114"/>
  <c r="D240" i="114"/>
  <c r="H240" i="114"/>
  <c r="K240" i="114"/>
  <c r="E240" i="114"/>
  <c r="K45" i="122"/>
  <c r="M45" i="122"/>
  <c r="K45" i="120"/>
  <c r="M45" i="120"/>
  <c r="J60" i="125"/>
  <c r="A59" i="125"/>
  <c r="A52" i="125"/>
  <c r="F59" i="125"/>
  <c r="D61" i="125"/>
  <c r="K59" i="114"/>
  <c r="M59" i="114"/>
  <c r="H62" i="133"/>
  <c r="A59" i="129"/>
  <c r="D61" i="129"/>
  <c r="J60" i="129"/>
  <c r="A59" i="116"/>
  <c r="D61" i="116"/>
  <c r="J60" i="116"/>
  <c r="I211" i="116"/>
  <c r="L211" i="116"/>
  <c r="F211" i="116"/>
  <c r="A59" i="124"/>
  <c r="A52" i="124"/>
  <c r="F59" i="124"/>
  <c r="D61" i="124"/>
  <c r="O16" i="124"/>
  <c r="O15" i="124"/>
  <c r="J60" i="124"/>
  <c r="I215" i="124"/>
  <c r="L215" i="124"/>
  <c r="F215" i="124"/>
  <c r="O16" i="119"/>
  <c r="O15" i="119"/>
  <c r="J60" i="119"/>
  <c r="I212" i="119"/>
  <c r="L212" i="119"/>
  <c r="F212" i="119"/>
  <c r="D61" i="119"/>
  <c r="O16" i="127"/>
  <c r="O15" i="127"/>
  <c r="J60" i="127"/>
  <c r="I220" i="127"/>
  <c r="L220" i="127"/>
  <c r="F220" i="127"/>
  <c r="D61" i="127"/>
  <c r="O16" i="118"/>
  <c r="O15" i="118"/>
  <c r="J60" i="118"/>
  <c r="I211" i="118"/>
  <c r="L211" i="118"/>
  <c r="F211" i="118"/>
  <c r="A59" i="118"/>
  <c r="A52" i="118"/>
  <c r="F58" i="118"/>
  <c r="D61" i="118"/>
  <c r="A59" i="122"/>
  <c r="D61" i="122"/>
  <c r="J60" i="122"/>
  <c r="I215" i="122"/>
  <c r="L215" i="122"/>
  <c r="F215" i="122"/>
  <c r="O59" i="122"/>
  <c r="O60" i="122"/>
  <c r="F132" i="122"/>
  <c r="O16" i="130"/>
  <c r="O15" i="130"/>
  <c r="J60" i="130"/>
  <c r="I220" i="130"/>
  <c r="L220" i="130"/>
  <c r="F220" i="130"/>
  <c r="D61" i="130"/>
  <c r="A59" i="117"/>
  <c r="A52" i="117"/>
  <c r="F59" i="117"/>
  <c r="D61" i="117"/>
  <c r="O16" i="117"/>
  <c r="O15" i="117"/>
  <c r="J60" i="117"/>
  <c r="I211" i="117"/>
  <c r="L211" i="117"/>
  <c r="F211" i="117"/>
  <c r="O59" i="126"/>
  <c r="O60" i="126"/>
  <c r="F137" i="126"/>
  <c r="J60" i="126"/>
  <c r="A59" i="126"/>
  <c r="D61" i="126"/>
  <c r="J60" i="128"/>
  <c r="I220" i="128"/>
  <c r="L220" i="128"/>
  <c r="F220" i="128"/>
  <c r="O59" i="128"/>
  <c r="O60" i="128"/>
  <c r="F137" i="128"/>
  <c r="A59" i="128"/>
  <c r="D61" i="128"/>
  <c r="H60" i="115"/>
  <c r="O59" i="115"/>
  <c r="O60" i="115"/>
  <c r="F128" i="115"/>
  <c r="J60" i="115"/>
  <c r="A59" i="115"/>
  <c r="D61" i="115"/>
  <c r="O59" i="120"/>
  <c r="O60" i="120"/>
  <c r="F129" i="120"/>
  <c r="J60" i="120"/>
  <c r="I212" i="120"/>
  <c r="L212" i="120"/>
  <c r="F212" i="120"/>
  <c r="A59" i="120"/>
  <c r="D61" i="120"/>
  <c r="O59" i="123"/>
  <c r="O60" i="123"/>
  <c r="F132" i="123"/>
  <c r="J60" i="123"/>
  <c r="A59" i="123"/>
  <c r="D61" i="123"/>
  <c r="O59" i="121"/>
  <c r="O60" i="121"/>
  <c r="F132" i="121"/>
  <c r="J60" i="121"/>
  <c r="A59" i="121"/>
  <c r="D61" i="121"/>
  <c r="H202" i="114"/>
  <c r="K202" i="114"/>
  <c r="I202" i="114"/>
  <c r="L202" i="114"/>
  <c r="H158" i="114"/>
  <c r="K158" i="114"/>
  <c r="E158" i="114"/>
  <c r="I158" i="114"/>
  <c r="L158" i="114"/>
  <c r="F158" i="114"/>
  <c r="H159" i="114"/>
  <c r="K159" i="114"/>
  <c r="E159" i="114"/>
  <c r="I159" i="114"/>
  <c r="L159" i="114"/>
  <c r="F159" i="114"/>
  <c r="H160" i="114"/>
  <c r="K160" i="114"/>
  <c r="E160" i="114"/>
  <c r="I160" i="114"/>
  <c r="L160" i="114"/>
  <c r="F160" i="114"/>
  <c r="H161" i="114"/>
  <c r="K161" i="114"/>
  <c r="E161" i="114"/>
  <c r="I161" i="114"/>
  <c r="L161" i="114"/>
  <c r="F161" i="114"/>
  <c r="H162" i="114"/>
  <c r="K162" i="114"/>
  <c r="E162" i="114"/>
  <c r="I162" i="114"/>
  <c r="L162" i="114"/>
  <c r="F162" i="114"/>
  <c r="H163" i="114"/>
  <c r="K163" i="114"/>
  <c r="E163" i="114"/>
  <c r="I163" i="114"/>
  <c r="L163" i="114"/>
  <c r="F163" i="114"/>
  <c r="H164" i="114"/>
  <c r="K164" i="114"/>
  <c r="E164" i="114"/>
  <c r="I164" i="114"/>
  <c r="L164" i="114"/>
  <c r="F164" i="114"/>
  <c r="H165" i="114"/>
  <c r="K165" i="114"/>
  <c r="E165" i="114"/>
  <c r="I165" i="114"/>
  <c r="L165" i="114"/>
  <c r="F165" i="114"/>
  <c r="H166" i="114"/>
  <c r="K166" i="114"/>
  <c r="E166" i="114"/>
  <c r="I166" i="114"/>
  <c r="L166" i="114"/>
  <c r="F166" i="114"/>
  <c r="H167" i="114"/>
  <c r="K167" i="114"/>
  <c r="E167" i="114"/>
  <c r="I167" i="114"/>
  <c r="L167" i="114"/>
  <c r="F167" i="114"/>
  <c r="H168" i="114"/>
  <c r="K168" i="114"/>
  <c r="E168" i="114"/>
  <c r="I168" i="114"/>
  <c r="L168" i="114"/>
  <c r="F168" i="114"/>
  <c r="H169" i="114"/>
  <c r="K169" i="114"/>
  <c r="E169" i="114"/>
  <c r="I169" i="114"/>
  <c r="L169" i="114"/>
  <c r="F169" i="114"/>
  <c r="H170" i="114"/>
  <c r="K170" i="114"/>
  <c r="E170" i="114"/>
  <c r="I170" i="114"/>
  <c r="L170" i="114"/>
  <c r="F170" i="114"/>
  <c r="H171" i="114"/>
  <c r="K171" i="114"/>
  <c r="I171" i="114"/>
  <c r="L171" i="114"/>
  <c r="H172" i="114"/>
  <c r="K172" i="114"/>
  <c r="E172" i="114"/>
  <c r="I172" i="114"/>
  <c r="L172" i="114"/>
  <c r="F172" i="114"/>
  <c r="H173" i="114"/>
  <c r="K173" i="114"/>
  <c r="E173" i="114"/>
  <c r="I173" i="114"/>
  <c r="L173" i="114"/>
  <c r="F173" i="114"/>
  <c r="H174" i="114"/>
  <c r="K174" i="114"/>
  <c r="E174" i="114"/>
  <c r="I174" i="114"/>
  <c r="L174" i="114"/>
  <c r="F174" i="114"/>
  <c r="H175" i="114"/>
  <c r="K175" i="114"/>
  <c r="E175" i="114"/>
  <c r="I175" i="114"/>
  <c r="L175" i="114"/>
  <c r="F175" i="114"/>
  <c r="H176" i="114"/>
  <c r="K176" i="114"/>
  <c r="E176" i="114"/>
  <c r="I176" i="114"/>
  <c r="L176" i="114"/>
  <c r="F176" i="114"/>
  <c r="H177" i="114"/>
  <c r="K177" i="114"/>
  <c r="E177" i="114"/>
  <c r="I177" i="114"/>
  <c r="L177" i="114"/>
  <c r="F177" i="114"/>
  <c r="H178" i="114"/>
  <c r="K178" i="114"/>
  <c r="E178" i="114"/>
  <c r="I178" i="114"/>
  <c r="L178" i="114"/>
  <c r="F178" i="114"/>
  <c r="H179" i="114"/>
  <c r="K179" i="114"/>
  <c r="E179" i="114"/>
  <c r="I179" i="114"/>
  <c r="L179" i="114"/>
  <c r="F179" i="114"/>
  <c r="H180" i="114"/>
  <c r="K180" i="114"/>
  <c r="E180" i="114"/>
  <c r="I180" i="114"/>
  <c r="L180" i="114"/>
  <c r="F180" i="114"/>
  <c r="H183" i="114"/>
  <c r="K183" i="114"/>
  <c r="E183" i="114"/>
  <c r="I183" i="114"/>
  <c r="L183" i="114"/>
  <c r="F183" i="114"/>
  <c r="H184" i="114"/>
  <c r="K184" i="114"/>
  <c r="E184" i="114"/>
  <c r="I184" i="114"/>
  <c r="L184" i="114"/>
  <c r="F184" i="114"/>
  <c r="H185" i="114"/>
  <c r="K185" i="114"/>
  <c r="E185" i="114"/>
  <c r="I185" i="114"/>
  <c r="L185" i="114"/>
  <c r="F185" i="114"/>
  <c r="H186" i="114"/>
  <c r="K186" i="114"/>
  <c r="E186" i="114"/>
  <c r="I186" i="114"/>
  <c r="L186" i="114"/>
  <c r="F186" i="114"/>
  <c r="H187" i="114"/>
  <c r="K187" i="114"/>
  <c r="E187" i="114"/>
  <c r="I187" i="114"/>
  <c r="L187" i="114"/>
  <c r="F187" i="114"/>
  <c r="H188" i="114"/>
  <c r="K188" i="114"/>
  <c r="E188" i="114"/>
  <c r="I188" i="114"/>
  <c r="L188" i="114"/>
  <c r="F188" i="114"/>
  <c r="H189" i="114"/>
  <c r="K189" i="114"/>
  <c r="E189" i="114"/>
  <c r="I189" i="114"/>
  <c r="L189" i="114"/>
  <c r="F189" i="114"/>
  <c r="H190" i="114"/>
  <c r="K190" i="114"/>
  <c r="E190" i="114"/>
  <c r="I190" i="114"/>
  <c r="L190" i="114"/>
  <c r="F190" i="114"/>
  <c r="H191" i="114"/>
  <c r="K191" i="114"/>
  <c r="E191" i="114"/>
  <c r="I191" i="114"/>
  <c r="L191" i="114"/>
  <c r="F191" i="114"/>
  <c r="H192" i="114"/>
  <c r="K192" i="114"/>
  <c r="E192" i="114"/>
  <c r="I192" i="114"/>
  <c r="L192" i="114"/>
  <c r="F192" i="114"/>
  <c r="H193" i="114"/>
  <c r="K193" i="114"/>
  <c r="E193" i="114"/>
  <c r="I193" i="114"/>
  <c r="L193" i="114"/>
  <c r="F193" i="114"/>
  <c r="H194" i="114"/>
  <c r="K194" i="114"/>
  <c r="E194" i="114"/>
  <c r="I194" i="114"/>
  <c r="L194" i="114"/>
  <c r="F194" i="114"/>
  <c r="H195" i="114"/>
  <c r="K195" i="114"/>
  <c r="E195" i="114"/>
  <c r="I195" i="114"/>
  <c r="L195" i="114"/>
  <c r="F195" i="114"/>
  <c r="H196" i="114"/>
  <c r="K196" i="114"/>
  <c r="E196" i="114"/>
  <c r="I196" i="114"/>
  <c r="L196" i="114"/>
  <c r="F196" i="114"/>
  <c r="H197" i="114"/>
  <c r="K197" i="114"/>
  <c r="E197" i="114"/>
  <c r="I197" i="114"/>
  <c r="L197" i="114"/>
  <c r="F197" i="114"/>
  <c r="H198" i="114"/>
  <c r="K198" i="114"/>
  <c r="E198" i="114"/>
  <c r="I198" i="114"/>
  <c r="L198" i="114"/>
  <c r="F198" i="114"/>
  <c r="H199" i="114"/>
  <c r="K199" i="114"/>
  <c r="E199" i="114"/>
  <c r="I199" i="114"/>
  <c r="L199" i="114"/>
  <c r="F199" i="114"/>
  <c r="H200" i="114"/>
  <c r="K200" i="114"/>
  <c r="E200" i="114"/>
  <c r="I200" i="114"/>
  <c r="L200" i="114"/>
  <c r="F200" i="114"/>
  <c r="H201" i="114"/>
  <c r="K201" i="114"/>
  <c r="E201" i="114"/>
  <c r="I201" i="114"/>
  <c r="L201" i="114"/>
  <c r="F201" i="114"/>
  <c r="H203" i="114"/>
  <c r="K203" i="114"/>
  <c r="I203" i="114"/>
  <c r="L203" i="114"/>
  <c r="H204" i="114"/>
  <c r="K204" i="114"/>
  <c r="E204" i="114"/>
  <c r="I204" i="114"/>
  <c r="L204" i="114"/>
  <c r="F204" i="114"/>
  <c r="H205" i="114"/>
  <c r="K205" i="114"/>
  <c r="E205" i="114"/>
  <c r="I205" i="114"/>
  <c r="L205" i="114"/>
  <c r="F205" i="114"/>
  <c r="H206" i="114"/>
  <c r="K206" i="114"/>
  <c r="E206" i="114"/>
  <c r="I206" i="114"/>
  <c r="L206" i="114"/>
  <c r="F206" i="114"/>
  <c r="H207" i="114"/>
  <c r="K207" i="114"/>
  <c r="E207" i="114"/>
  <c r="I207" i="114"/>
  <c r="L207" i="114"/>
  <c r="F207" i="114"/>
  <c r="H208" i="114"/>
  <c r="K208" i="114"/>
  <c r="E208" i="114"/>
  <c r="I208" i="114"/>
  <c r="L208" i="114"/>
  <c r="F208" i="114"/>
  <c r="H209" i="114"/>
  <c r="K209" i="114"/>
  <c r="E209" i="114"/>
  <c r="I209" i="114"/>
  <c r="L209" i="114"/>
  <c r="F209" i="114"/>
  <c r="H210" i="114"/>
  <c r="K210" i="114"/>
  <c r="E210" i="114"/>
  <c r="I210" i="114"/>
  <c r="L210" i="114"/>
  <c r="F210" i="114"/>
  <c r="H211" i="114"/>
  <c r="K211" i="114"/>
  <c r="E211" i="114"/>
  <c r="I211" i="114"/>
  <c r="L211" i="114"/>
  <c r="F211" i="114"/>
  <c r="H212" i="114"/>
  <c r="K212" i="114"/>
  <c r="E212" i="114"/>
  <c r="I212" i="114"/>
  <c r="L212" i="114"/>
  <c r="F212" i="114"/>
  <c r="H213" i="114"/>
  <c r="K213" i="114"/>
  <c r="E213" i="114"/>
  <c r="I213" i="114"/>
  <c r="L213" i="114"/>
  <c r="F213" i="114"/>
  <c r="H214" i="114"/>
  <c r="K214" i="114"/>
  <c r="E214" i="114"/>
  <c r="I214" i="114"/>
  <c r="L214" i="114"/>
  <c r="F214" i="114"/>
  <c r="H215" i="114"/>
  <c r="K215" i="114"/>
  <c r="E215" i="114"/>
  <c r="I215" i="114"/>
  <c r="L215" i="114"/>
  <c r="F215" i="114"/>
  <c r="H216" i="114"/>
  <c r="K216" i="114"/>
  <c r="E216" i="114"/>
  <c r="I216" i="114"/>
  <c r="L216" i="114"/>
  <c r="F216" i="114"/>
  <c r="H217" i="114"/>
  <c r="K217" i="114"/>
  <c r="E217" i="114"/>
  <c r="I217" i="114"/>
  <c r="L217" i="114"/>
  <c r="F217" i="114"/>
  <c r="H218" i="114"/>
  <c r="K218" i="114"/>
  <c r="E218" i="114"/>
  <c r="I218" i="114"/>
  <c r="L218" i="114"/>
  <c r="F218" i="114"/>
  <c r="H219" i="114"/>
  <c r="K219" i="114"/>
  <c r="E219" i="114"/>
  <c r="I219" i="114"/>
  <c r="L219" i="114"/>
  <c r="F219" i="114"/>
  <c r="H220" i="114"/>
  <c r="K220" i="114"/>
  <c r="E220" i="114"/>
  <c r="I220" i="114"/>
  <c r="L220" i="114"/>
  <c r="F220" i="114"/>
  <c r="H221" i="114"/>
  <c r="K221" i="114"/>
  <c r="E221" i="114"/>
  <c r="I221" i="114"/>
  <c r="L221" i="114"/>
  <c r="F221" i="114"/>
  <c r="H222" i="114"/>
  <c r="K222" i="114"/>
  <c r="E222" i="114"/>
  <c r="I222" i="114"/>
  <c r="L222" i="114"/>
  <c r="F222" i="114"/>
  <c r="H223" i="114"/>
  <c r="K223" i="114"/>
  <c r="E223" i="114"/>
  <c r="I223" i="114"/>
  <c r="L223" i="114"/>
  <c r="F223" i="114"/>
  <c r="H226" i="114"/>
  <c r="K226" i="114"/>
  <c r="E226" i="114"/>
  <c r="I226" i="114"/>
  <c r="L226" i="114"/>
  <c r="F226" i="114"/>
  <c r="H227" i="114"/>
  <c r="K227" i="114"/>
  <c r="E227" i="114"/>
  <c r="I227" i="114"/>
  <c r="L227" i="114"/>
  <c r="F227" i="114"/>
  <c r="H228" i="114"/>
  <c r="K228" i="114"/>
  <c r="E228" i="114"/>
  <c r="I228" i="114"/>
  <c r="L228" i="114"/>
  <c r="F228" i="114"/>
  <c r="H230" i="114"/>
  <c r="K230" i="114"/>
  <c r="E230" i="114"/>
  <c r="I230" i="114"/>
  <c r="L230" i="114"/>
  <c r="F230" i="114"/>
  <c r="H231" i="114"/>
  <c r="K231" i="114"/>
  <c r="E231" i="114"/>
  <c r="I231" i="114"/>
  <c r="L231" i="114"/>
  <c r="F231" i="114"/>
  <c r="H232" i="114"/>
  <c r="K232" i="114"/>
  <c r="E232" i="114"/>
  <c r="I232" i="114"/>
  <c r="L232" i="114"/>
  <c r="F232" i="114"/>
  <c r="H233" i="114"/>
  <c r="K233" i="114"/>
  <c r="E233" i="114"/>
  <c r="I233" i="114"/>
  <c r="L233" i="114"/>
  <c r="F233" i="114"/>
  <c r="H234" i="114"/>
  <c r="K234" i="114"/>
  <c r="E234" i="114"/>
  <c r="I234" i="114"/>
  <c r="L234" i="114"/>
  <c r="F234" i="114"/>
  <c r="H235" i="114"/>
  <c r="K235" i="114"/>
  <c r="E235" i="114"/>
  <c r="I235" i="114"/>
  <c r="L235" i="114"/>
  <c r="F235" i="114"/>
  <c r="H236" i="114"/>
  <c r="K236" i="114"/>
  <c r="E236" i="114"/>
  <c r="I236" i="114"/>
  <c r="L236" i="114"/>
  <c r="F236" i="114"/>
  <c r="H237" i="114"/>
  <c r="K237" i="114"/>
  <c r="E237" i="114"/>
  <c r="I237" i="114"/>
  <c r="L237" i="114"/>
  <c r="F237" i="114"/>
  <c r="H238" i="114"/>
  <c r="K238" i="114"/>
  <c r="E238" i="114"/>
  <c r="I238" i="114"/>
  <c r="L238" i="114"/>
  <c r="F238" i="114"/>
  <c r="H239" i="114"/>
  <c r="K239" i="114"/>
  <c r="E239" i="114"/>
  <c r="I239" i="114"/>
  <c r="L239" i="114"/>
  <c r="F239" i="114"/>
  <c r="H241" i="114"/>
  <c r="K241" i="114"/>
  <c r="E241" i="114"/>
  <c r="I241" i="114"/>
  <c r="L241" i="114"/>
  <c r="F241" i="114"/>
  <c r="H242" i="114"/>
  <c r="K242" i="114"/>
  <c r="E242" i="114"/>
  <c r="I242" i="114"/>
  <c r="L242" i="114"/>
  <c r="F242" i="114"/>
  <c r="H243" i="114"/>
  <c r="K243" i="114"/>
  <c r="E243" i="114"/>
  <c r="I243" i="114"/>
  <c r="L243" i="114"/>
  <c r="F243" i="114"/>
  <c r="H244" i="114"/>
  <c r="K244" i="114"/>
  <c r="E244" i="114"/>
  <c r="I244" i="114"/>
  <c r="L244" i="114"/>
  <c r="F244" i="114"/>
  <c r="H246" i="114"/>
  <c r="K246" i="114"/>
  <c r="E246" i="114"/>
  <c r="I246" i="114"/>
  <c r="L246" i="114"/>
  <c r="H247" i="114"/>
  <c r="K247" i="114"/>
  <c r="E247" i="114"/>
  <c r="I247" i="114"/>
  <c r="L247" i="114"/>
  <c r="F247" i="114"/>
  <c r="H248" i="114"/>
  <c r="K248" i="114"/>
  <c r="E248" i="114"/>
  <c r="I248" i="114"/>
  <c r="L248" i="114"/>
  <c r="F248" i="114"/>
  <c r="H250" i="114"/>
  <c r="K250" i="114"/>
  <c r="E250" i="114"/>
  <c r="I250" i="114"/>
  <c r="L250" i="114"/>
  <c r="F250" i="114"/>
  <c r="H251" i="114"/>
  <c r="K251" i="114"/>
  <c r="E251" i="114"/>
  <c r="I251" i="114"/>
  <c r="L251" i="114"/>
  <c r="F251" i="114"/>
  <c r="H252" i="114"/>
  <c r="K252" i="114"/>
  <c r="E252" i="114"/>
  <c r="I252" i="114"/>
  <c r="L252" i="114"/>
  <c r="F252" i="114"/>
  <c r="H253" i="114"/>
  <c r="K253" i="114"/>
  <c r="E253" i="114"/>
  <c r="I253" i="114"/>
  <c r="L253" i="114"/>
  <c r="F253" i="114"/>
  <c r="H254" i="114"/>
  <c r="K254" i="114"/>
  <c r="E254" i="114"/>
  <c r="I254" i="114"/>
  <c r="L254" i="114"/>
  <c r="F254" i="114"/>
  <c r="O17" i="114"/>
  <c r="O18" i="114"/>
  <c r="O19" i="114"/>
  <c r="A45" i="114"/>
  <c r="H24" i="133"/>
  <c r="H46" i="133"/>
  <c r="H173" i="116"/>
  <c r="K173" i="116"/>
  <c r="I173" i="116"/>
  <c r="L173" i="116"/>
  <c r="H129" i="116"/>
  <c r="K129" i="116"/>
  <c r="E129" i="116"/>
  <c r="I129" i="116"/>
  <c r="L129" i="116"/>
  <c r="F129" i="116"/>
  <c r="H130" i="116"/>
  <c r="K130" i="116"/>
  <c r="E130" i="116"/>
  <c r="I130" i="116"/>
  <c r="L130" i="116"/>
  <c r="F130" i="116"/>
  <c r="H131" i="116"/>
  <c r="K131" i="116"/>
  <c r="E131" i="116"/>
  <c r="I131" i="116"/>
  <c r="L131" i="116"/>
  <c r="F131" i="116"/>
  <c r="H132" i="116"/>
  <c r="K132" i="116"/>
  <c r="E132" i="116"/>
  <c r="I132" i="116"/>
  <c r="L132" i="116"/>
  <c r="F132" i="116"/>
  <c r="H133" i="116"/>
  <c r="K133" i="116"/>
  <c r="E133" i="116"/>
  <c r="I133" i="116"/>
  <c r="L133" i="116"/>
  <c r="F133" i="116"/>
  <c r="H134" i="116"/>
  <c r="K134" i="116"/>
  <c r="E134" i="116"/>
  <c r="I134" i="116"/>
  <c r="L134" i="116"/>
  <c r="F134" i="116"/>
  <c r="H135" i="116"/>
  <c r="K135" i="116"/>
  <c r="E135" i="116"/>
  <c r="I135" i="116"/>
  <c r="L135" i="116"/>
  <c r="F135" i="116"/>
  <c r="H136" i="116"/>
  <c r="K136" i="116"/>
  <c r="E136" i="116"/>
  <c r="I136" i="116"/>
  <c r="L136" i="116"/>
  <c r="F136" i="116"/>
  <c r="H137" i="116"/>
  <c r="K137" i="116"/>
  <c r="E137" i="116"/>
  <c r="I137" i="116"/>
  <c r="L137" i="116"/>
  <c r="F137" i="116"/>
  <c r="H138" i="116"/>
  <c r="K138" i="116"/>
  <c r="E138" i="116"/>
  <c r="I138" i="116"/>
  <c r="L138" i="116"/>
  <c r="F138" i="116"/>
  <c r="H139" i="116"/>
  <c r="K139" i="116"/>
  <c r="E139" i="116"/>
  <c r="I139" i="116"/>
  <c r="L139" i="116"/>
  <c r="F139" i="116"/>
  <c r="H140" i="116"/>
  <c r="K140" i="116"/>
  <c r="E140" i="116"/>
  <c r="I140" i="116"/>
  <c r="L140" i="116"/>
  <c r="F140" i="116"/>
  <c r="H141" i="116"/>
  <c r="K141" i="116"/>
  <c r="E141" i="116"/>
  <c r="I141" i="116"/>
  <c r="L141" i="116"/>
  <c r="F141" i="116"/>
  <c r="H142" i="116"/>
  <c r="K142" i="116"/>
  <c r="I142" i="116"/>
  <c r="L142" i="116"/>
  <c r="H143" i="116"/>
  <c r="K143" i="116"/>
  <c r="E143" i="116"/>
  <c r="I143" i="116"/>
  <c r="L143" i="116"/>
  <c r="F143" i="116"/>
  <c r="H144" i="116"/>
  <c r="K144" i="116"/>
  <c r="E144" i="116"/>
  <c r="I144" i="116"/>
  <c r="L144" i="116"/>
  <c r="F144" i="116"/>
  <c r="H145" i="116"/>
  <c r="K145" i="116"/>
  <c r="E145" i="116"/>
  <c r="I145" i="116"/>
  <c r="L145" i="116"/>
  <c r="F145" i="116"/>
  <c r="H146" i="116"/>
  <c r="K146" i="116"/>
  <c r="E146" i="116"/>
  <c r="I146" i="116"/>
  <c r="L146" i="116"/>
  <c r="F146" i="116"/>
  <c r="H147" i="116"/>
  <c r="K147" i="116"/>
  <c r="E147" i="116"/>
  <c r="I147" i="116"/>
  <c r="L147" i="116"/>
  <c r="F147" i="116"/>
  <c r="H148" i="116"/>
  <c r="K148" i="116"/>
  <c r="E148" i="116"/>
  <c r="I148" i="116"/>
  <c r="L148" i="116"/>
  <c r="F148" i="116"/>
  <c r="H149" i="116"/>
  <c r="K149" i="116"/>
  <c r="E149" i="116"/>
  <c r="I149" i="116"/>
  <c r="L149" i="116"/>
  <c r="F149" i="116"/>
  <c r="H150" i="116"/>
  <c r="K150" i="116"/>
  <c r="E150" i="116"/>
  <c r="I150" i="116"/>
  <c r="L150" i="116"/>
  <c r="F150" i="116"/>
  <c r="H151" i="116"/>
  <c r="K151" i="116"/>
  <c r="E151" i="116"/>
  <c r="I151" i="116"/>
  <c r="L151" i="116"/>
  <c r="F151" i="116"/>
  <c r="H154" i="116"/>
  <c r="K154" i="116"/>
  <c r="E154" i="116"/>
  <c r="I154" i="116"/>
  <c r="L154" i="116"/>
  <c r="F154" i="116"/>
  <c r="H155" i="116"/>
  <c r="K155" i="116"/>
  <c r="E155" i="116"/>
  <c r="I155" i="116"/>
  <c r="L155" i="116"/>
  <c r="F155" i="116"/>
  <c r="H156" i="116"/>
  <c r="K156" i="116"/>
  <c r="E156" i="116"/>
  <c r="I156" i="116"/>
  <c r="L156" i="116"/>
  <c r="F156" i="116"/>
  <c r="H157" i="116"/>
  <c r="K157" i="116"/>
  <c r="E157" i="116"/>
  <c r="I157" i="116"/>
  <c r="L157" i="116"/>
  <c r="F157" i="116"/>
  <c r="H158" i="116"/>
  <c r="K158" i="116"/>
  <c r="E158" i="116"/>
  <c r="I158" i="116"/>
  <c r="L158" i="116"/>
  <c r="F158" i="116"/>
  <c r="H159" i="116"/>
  <c r="K159" i="116"/>
  <c r="E159" i="116"/>
  <c r="I159" i="116"/>
  <c r="L159" i="116"/>
  <c r="F159" i="116"/>
  <c r="H160" i="116"/>
  <c r="K160" i="116"/>
  <c r="E160" i="116"/>
  <c r="I160" i="116"/>
  <c r="L160" i="116"/>
  <c r="F160" i="116"/>
  <c r="H161" i="116"/>
  <c r="K161" i="116"/>
  <c r="E161" i="116"/>
  <c r="I161" i="116"/>
  <c r="L161" i="116"/>
  <c r="F161" i="116"/>
  <c r="H162" i="116"/>
  <c r="K162" i="116"/>
  <c r="E162" i="116"/>
  <c r="I162" i="116"/>
  <c r="L162" i="116"/>
  <c r="F162" i="116"/>
  <c r="H163" i="116"/>
  <c r="K163" i="116"/>
  <c r="E163" i="116"/>
  <c r="I163" i="116"/>
  <c r="L163" i="116"/>
  <c r="F163" i="116"/>
  <c r="H164" i="116"/>
  <c r="K164" i="116"/>
  <c r="E164" i="116"/>
  <c r="I164" i="116"/>
  <c r="L164" i="116"/>
  <c r="F164" i="116"/>
  <c r="H165" i="116"/>
  <c r="K165" i="116"/>
  <c r="E165" i="116"/>
  <c r="I165" i="116"/>
  <c r="L165" i="116"/>
  <c r="F165" i="116"/>
  <c r="H166" i="116"/>
  <c r="K166" i="116"/>
  <c r="E166" i="116"/>
  <c r="I166" i="116"/>
  <c r="L166" i="116"/>
  <c r="F166" i="116"/>
  <c r="H167" i="116"/>
  <c r="K167" i="116"/>
  <c r="E167" i="116"/>
  <c r="I167" i="116"/>
  <c r="L167" i="116"/>
  <c r="F167" i="116"/>
  <c r="H168" i="116"/>
  <c r="K168" i="116"/>
  <c r="E168" i="116"/>
  <c r="I168" i="116"/>
  <c r="L168" i="116"/>
  <c r="F168" i="116"/>
  <c r="H169" i="116"/>
  <c r="K169" i="116"/>
  <c r="E169" i="116"/>
  <c r="I169" i="116"/>
  <c r="L169" i="116"/>
  <c r="F169" i="116"/>
  <c r="H170" i="116"/>
  <c r="K170" i="116"/>
  <c r="E170" i="116"/>
  <c r="I170" i="116"/>
  <c r="L170" i="116"/>
  <c r="F170" i="116"/>
  <c r="H171" i="116"/>
  <c r="K171" i="116"/>
  <c r="E171" i="116"/>
  <c r="I171" i="116"/>
  <c r="L171" i="116"/>
  <c r="F171" i="116"/>
  <c r="H172" i="116"/>
  <c r="K172" i="116"/>
  <c r="E172" i="116"/>
  <c r="I172" i="116"/>
  <c r="L172" i="116"/>
  <c r="F172" i="116"/>
  <c r="H174" i="116"/>
  <c r="K174" i="116"/>
  <c r="I174" i="116"/>
  <c r="L174" i="116"/>
  <c r="H175" i="116"/>
  <c r="K175" i="116"/>
  <c r="E175" i="116"/>
  <c r="I175" i="116"/>
  <c r="L175" i="116"/>
  <c r="F175" i="116"/>
  <c r="H176" i="116"/>
  <c r="K176" i="116"/>
  <c r="E176" i="116"/>
  <c r="I176" i="116"/>
  <c r="L176" i="116"/>
  <c r="F176" i="116"/>
  <c r="H177" i="116"/>
  <c r="K177" i="116"/>
  <c r="E177" i="116"/>
  <c r="I177" i="116"/>
  <c r="L177" i="116"/>
  <c r="F177" i="116"/>
  <c r="H178" i="116"/>
  <c r="K178" i="116"/>
  <c r="E178" i="116"/>
  <c r="I178" i="116"/>
  <c r="L178" i="116"/>
  <c r="F178" i="116"/>
  <c r="H179" i="116"/>
  <c r="K179" i="116"/>
  <c r="E179" i="116"/>
  <c r="I179" i="116"/>
  <c r="L179" i="116"/>
  <c r="F179" i="116"/>
  <c r="H180" i="116"/>
  <c r="K180" i="116"/>
  <c r="E180" i="116"/>
  <c r="I180" i="116"/>
  <c r="L180" i="116"/>
  <c r="F180" i="116"/>
  <c r="H181" i="116"/>
  <c r="K181" i="116"/>
  <c r="E181" i="116"/>
  <c r="I181" i="116"/>
  <c r="L181" i="116"/>
  <c r="F181" i="116"/>
  <c r="H182" i="116"/>
  <c r="K182" i="116"/>
  <c r="E182" i="116"/>
  <c r="I182" i="116"/>
  <c r="L182" i="116"/>
  <c r="F182" i="116"/>
  <c r="H183" i="116"/>
  <c r="K183" i="116"/>
  <c r="E183" i="116"/>
  <c r="I183" i="116"/>
  <c r="L183" i="116"/>
  <c r="F183" i="116"/>
  <c r="H184" i="116"/>
  <c r="K184" i="116"/>
  <c r="E184" i="116"/>
  <c r="I184" i="116"/>
  <c r="L184" i="116"/>
  <c r="F184" i="116"/>
  <c r="H185" i="116"/>
  <c r="K185" i="116"/>
  <c r="E185" i="116"/>
  <c r="I185" i="116"/>
  <c r="L185" i="116"/>
  <c r="F185" i="116"/>
  <c r="H186" i="116"/>
  <c r="K186" i="116"/>
  <c r="E186" i="116"/>
  <c r="I186" i="116"/>
  <c r="L186" i="116"/>
  <c r="F186" i="116"/>
  <c r="H187" i="116"/>
  <c r="K187" i="116"/>
  <c r="E187" i="116"/>
  <c r="I187" i="116"/>
  <c r="L187" i="116"/>
  <c r="F187" i="116"/>
  <c r="H188" i="116"/>
  <c r="K188" i="116"/>
  <c r="E188" i="116"/>
  <c r="I188" i="116"/>
  <c r="L188" i="116"/>
  <c r="F188" i="116"/>
  <c r="H189" i="116"/>
  <c r="K189" i="116"/>
  <c r="E189" i="116"/>
  <c r="I189" i="116"/>
  <c r="L189" i="116"/>
  <c r="F189" i="116"/>
  <c r="H190" i="116"/>
  <c r="K190" i="116"/>
  <c r="E190" i="116"/>
  <c r="I190" i="116"/>
  <c r="L190" i="116"/>
  <c r="F190" i="116"/>
  <c r="H191" i="116"/>
  <c r="K191" i="116"/>
  <c r="E191" i="116"/>
  <c r="I191" i="116"/>
  <c r="L191" i="116"/>
  <c r="F191" i="116"/>
  <c r="H192" i="116"/>
  <c r="K192" i="116"/>
  <c r="E192" i="116"/>
  <c r="I192" i="116"/>
  <c r="L192" i="116"/>
  <c r="F192" i="116"/>
  <c r="H193" i="116"/>
  <c r="K193" i="116"/>
  <c r="E193" i="116"/>
  <c r="I193" i="116"/>
  <c r="L193" i="116"/>
  <c r="F193" i="116"/>
  <c r="H194" i="116"/>
  <c r="K194" i="116"/>
  <c r="E194" i="116"/>
  <c r="I194" i="116"/>
  <c r="L194" i="116"/>
  <c r="F194" i="116"/>
  <c r="H197" i="116"/>
  <c r="K197" i="116"/>
  <c r="E197" i="116"/>
  <c r="I197" i="116"/>
  <c r="L197" i="116"/>
  <c r="F197" i="116"/>
  <c r="H198" i="116"/>
  <c r="K198" i="116"/>
  <c r="E198" i="116"/>
  <c r="I198" i="116"/>
  <c r="L198" i="116"/>
  <c r="F198" i="116"/>
  <c r="H199" i="116"/>
  <c r="K199" i="116"/>
  <c r="E199" i="116"/>
  <c r="I199" i="116"/>
  <c r="L199" i="116"/>
  <c r="F199" i="116"/>
  <c r="H201" i="116"/>
  <c r="K201" i="116"/>
  <c r="E201" i="116"/>
  <c r="I201" i="116"/>
  <c r="L201" i="116"/>
  <c r="F201" i="116"/>
  <c r="H202" i="116"/>
  <c r="K202" i="116"/>
  <c r="E202" i="116"/>
  <c r="I202" i="116"/>
  <c r="L202" i="116"/>
  <c r="F202" i="116"/>
  <c r="H203" i="116"/>
  <c r="K203" i="116"/>
  <c r="E203" i="116"/>
  <c r="I203" i="116"/>
  <c r="L203" i="116"/>
  <c r="F203" i="116"/>
  <c r="H204" i="116"/>
  <c r="K204" i="116"/>
  <c r="E204" i="116"/>
  <c r="I204" i="116"/>
  <c r="L204" i="116"/>
  <c r="F204" i="116"/>
  <c r="H205" i="116"/>
  <c r="K205" i="116"/>
  <c r="E205" i="116"/>
  <c r="I205" i="116"/>
  <c r="L205" i="116"/>
  <c r="F205" i="116"/>
  <c r="H206" i="116"/>
  <c r="K206" i="116"/>
  <c r="E206" i="116"/>
  <c r="I206" i="116"/>
  <c r="L206" i="116"/>
  <c r="F206" i="116"/>
  <c r="H207" i="116"/>
  <c r="K207" i="116"/>
  <c r="E207" i="116"/>
  <c r="I207" i="116"/>
  <c r="L207" i="116"/>
  <c r="F207" i="116"/>
  <c r="H208" i="116"/>
  <c r="K208" i="116"/>
  <c r="E208" i="116"/>
  <c r="I208" i="116"/>
  <c r="L208" i="116"/>
  <c r="F208" i="116"/>
  <c r="H209" i="116"/>
  <c r="K209" i="116"/>
  <c r="E209" i="116"/>
  <c r="I209" i="116"/>
  <c r="L209" i="116"/>
  <c r="F209" i="116"/>
  <c r="H210" i="116"/>
  <c r="K210" i="116"/>
  <c r="E210" i="116"/>
  <c r="I210" i="116"/>
  <c r="L210" i="116"/>
  <c r="F210" i="116"/>
  <c r="H212" i="116"/>
  <c r="K212" i="116"/>
  <c r="E212" i="116"/>
  <c r="I212" i="116"/>
  <c r="L212" i="116"/>
  <c r="F212" i="116"/>
  <c r="H213" i="116"/>
  <c r="K213" i="116"/>
  <c r="E213" i="116"/>
  <c r="I213" i="116"/>
  <c r="L213" i="116"/>
  <c r="F213" i="116"/>
  <c r="H214" i="116"/>
  <c r="K214" i="116"/>
  <c r="E214" i="116"/>
  <c r="I214" i="116"/>
  <c r="L214" i="116"/>
  <c r="F214" i="116"/>
  <c r="H215" i="116"/>
  <c r="K215" i="116"/>
  <c r="E215" i="116"/>
  <c r="I215" i="116"/>
  <c r="L215" i="116"/>
  <c r="F215" i="116"/>
  <c r="H217" i="116"/>
  <c r="K217" i="116"/>
  <c r="E217" i="116"/>
  <c r="I217" i="116"/>
  <c r="L217" i="116"/>
  <c r="H218" i="116"/>
  <c r="K218" i="116"/>
  <c r="E218" i="116"/>
  <c r="I218" i="116"/>
  <c r="L218" i="116"/>
  <c r="F218" i="116"/>
  <c r="H219" i="116"/>
  <c r="K219" i="116"/>
  <c r="E219" i="116"/>
  <c r="I219" i="116"/>
  <c r="L219" i="116"/>
  <c r="F219" i="116"/>
  <c r="H221" i="116"/>
  <c r="K221" i="116"/>
  <c r="E221" i="116"/>
  <c r="I221" i="116"/>
  <c r="L221" i="116"/>
  <c r="F221" i="116"/>
  <c r="H222" i="116"/>
  <c r="K222" i="116"/>
  <c r="E222" i="116"/>
  <c r="I222" i="116"/>
  <c r="L222" i="116"/>
  <c r="F222" i="116"/>
  <c r="H223" i="116"/>
  <c r="K223" i="116"/>
  <c r="E223" i="116"/>
  <c r="I223" i="116"/>
  <c r="L223" i="116"/>
  <c r="F223" i="116"/>
  <c r="H224" i="116"/>
  <c r="K224" i="116"/>
  <c r="E224" i="116"/>
  <c r="I224" i="116"/>
  <c r="L224" i="116"/>
  <c r="F224" i="116"/>
  <c r="H225" i="116"/>
  <c r="K225" i="116"/>
  <c r="E225" i="116"/>
  <c r="I225" i="116"/>
  <c r="L225" i="116"/>
  <c r="F225" i="116"/>
  <c r="A42" i="116"/>
  <c r="F45" i="116"/>
  <c r="A43" i="116"/>
  <c r="H136" i="124"/>
  <c r="K136" i="124"/>
  <c r="E136" i="124"/>
  <c r="I136" i="124"/>
  <c r="L136" i="124"/>
  <c r="F136" i="124"/>
  <c r="I133" i="124"/>
  <c r="L133" i="124"/>
  <c r="F133" i="124"/>
  <c r="H177" i="124"/>
  <c r="K177" i="124"/>
  <c r="I177" i="124"/>
  <c r="L177" i="124"/>
  <c r="H133" i="124"/>
  <c r="K133" i="124"/>
  <c r="E133" i="124"/>
  <c r="H134" i="124"/>
  <c r="K134" i="124"/>
  <c r="E134" i="124"/>
  <c r="I134" i="124"/>
  <c r="L134" i="124"/>
  <c r="F134" i="124"/>
  <c r="H135" i="124"/>
  <c r="K135" i="124"/>
  <c r="E135" i="124"/>
  <c r="I135" i="124"/>
  <c r="L135" i="124"/>
  <c r="F135" i="124"/>
  <c r="H137" i="124"/>
  <c r="K137" i="124"/>
  <c r="E137" i="124"/>
  <c r="I137" i="124"/>
  <c r="L137" i="124"/>
  <c r="F137" i="124"/>
  <c r="H138" i="124"/>
  <c r="K138" i="124"/>
  <c r="E138" i="124"/>
  <c r="I138" i="124"/>
  <c r="L138" i="124"/>
  <c r="F138" i="124"/>
  <c r="H139" i="124"/>
  <c r="K139" i="124"/>
  <c r="E139" i="124"/>
  <c r="I139" i="124"/>
  <c r="L139" i="124"/>
  <c r="F139" i="124"/>
  <c r="H140" i="124"/>
  <c r="K140" i="124"/>
  <c r="E140" i="124"/>
  <c r="I140" i="124"/>
  <c r="L140" i="124"/>
  <c r="F140" i="124"/>
  <c r="H141" i="124"/>
  <c r="K141" i="124"/>
  <c r="E141" i="124"/>
  <c r="I141" i="124"/>
  <c r="L141" i="124"/>
  <c r="F141" i="124"/>
  <c r="H142" i="124"/>
  <c r="K142" i="124"/>
  <c r="E142" i="124"/>
  <c r="I142" i="124"/>
  <c r="L142" i="124"/>
  <c r="F142" i="124"/>
  <c r="H143" i="124"/>
  <c r="K143" i="124"/>
  <c r="E143" i="124"/>
  <c r="I143" i="124"/>
  <c r="L143" i="124"/>
  <c r="F143" i="124"/>
  <c r="H144" i="124"/>
  <c r="K144" i="124"/>
  <c r="E144" i="124"/>
  <c r="I144" i="124"/>
  <c r="L144" i="124"/>
  <c r="F144" i="124"/>
  <c r="H145" i="124"/>
  <c r="K145" i="124"/>
  <c r="E145" i="124"/>
  <c r="I145" i="124"/>
  <c r="L145" i="124"/>
  <c r="F145" i="124"/>
  <c r="H146" i="124"/>
  <c r="K146" i="124"/>
  <c r="I146" i="124"/>
  <c r="L146" i="124"/>
  <c r="H147" i="124"/>
  <c r="K147" i="124"/>
  <c r="E147" i="124"/>
  <c r="I147" i="124"/>
  <c r="L147" i="124"/>
  <c r="F147" i="124"/>
  <c r="H148" i="124"/>
  <c r="K148" i="124"/>
  <c r="E148" i="124"/>
  <c r="I148" i="124"/>
  <c r="L148" i="124"/>
  <c r="F148" i="124"/>
  <c r="H149" i="124"/>
  <c r="K149" i="124"/>
  <c r="E149" i="124"/>
  <c r="I149" i="124"/>
  <c r="L149" i="124"/>
  <c r="F149" i="124"/>
  <c r="H150" i="124"/>
  <c r="K150" i="124"/>
  <c r="E150" i="124"/>
  <c r="I150" i="124"/>
  <c r="L150" i="124"/>
  <c r="F150" i="124"/>
  <c r="H151" i="124"/>
  <c r="K151" i="124"/>
  <c r="E151" i="124"/>
  <c r="I151" i="124"/>
  <c r="L151" i="124"/>
  <c r="F151" i="124"/>
  <c r="H152" i="124"/>
  <c r="K152" i="124"/>
  <c r="E152" i="124"/>
  <c r="I152" i="124"/>
  <c r="L152" i="124"/>
  <c r="F152" i="124"/>
  <c r="H153" i="124"/>
  <c r="K153" i="124"/>
  <c r="E153" i="124"/>
  <c r="I153" i="124"/>
  <c r="L153" i="124"/>
  <c r="F153" i="124"/>
  <c r="H154" i="124"/>
  <c r="K154" i="124"/>
  <c r="E154" i="124"/>
  <c r="I154" i="124"/>
  <c r="L154" i="124"/>
  <c r="F154" i="124"/>
  <c r="H155" i="124"/>
  <c r="K155" i="124"/>
  <c r="E155" i="124"/>
  <c r="I155" i="124"/>
  <c r="L155" i="124"/>
  <c r="F155" i="124"/>
  <c r="H158" i="124"/>
  <c r="K158" i="124"/>
  <c r="E158" i="124"/>
  <c r="I158" i="124"/>
  <c r="L158" i="124"/>
  <c r="F158" i="124"/>
  <c r="H159" i="124"/>
  <c r="K159" i="124"/>
  <c r="E159" i="124"/>
  <c r="I159" i="124"/>
  <c r="L159" i="124"/>
  <c r="F159" i="124"/>
  <c r="H160" i="124"/>
  <c r="K160" i="124"/>
  <c r="E160" i="124"/>
  <c r="I160" i="124"/>
  <c r="L160" i="124"/>
  <c r="F160" i="124"/>
  <c r="H161" i="124"/>
  <c r="K161" i="124"/>
  <c r="E161" i="124"/>
  <c r="I161" i="124"/>
  <c r="L161" i="124"/>
  <c r="F161" i="124"/>
  <c r="H162" i="124"/>
  <c r="K162" i="124"/>
  <c r="E162" i="124"/>
  <c r="I162" i="124"/>
  <c r="L162" i="124"/>
  <c r="F162" i="124"/>
  <c r="H163" i="124"/>
  <c r="K163" i="124"/>
  <c r="E163" i="124"/>
  <c r="I163" i="124"/>
  <c r="L163" i="124"/>
  <c r="F163" i="124"/>
  <c r="H164" i="124"/>
  <c r="K164" i="124"/>
  <c r="E164" i="124"/>
  <c r="I164" i="124"/>
  <c r="L164" i="124"/>
  <c r="F164" i="124"/>
  <c r="H165" i="124"/>
  <c r="K165" i="124"/>
  <c r="E165" i="124"/>
  <c r="I165" i="124"/>
  <c r="L165" i="124"/>
  <c r="F165" i="124"/>
  <c r="H166" i="124"/>
  <c r="K166" i="124"/>
  <c r="E166" i="124"/>
  <c r="I166" i="124"/>
  <c r="L166" i="124"/>
  <c r="F166" i="124"/>
  <c r="H167" i="124"/>
  <c r="K167" i="124"/>
  <c r="E167" i="124"/>
  <c r="I167" i="124"/>
  <c r="L167" i="124"/>
  <c r="F167" i="124"/>
  <c r="H168" i="124"/>
  <c r="K168" i="124"/>
  <c r="E168" i="124"/>
  <c r="I168" i="124"/>
  <c r="L168" i="124"/>
  <c r="F168" i="124"/>
  <c r="H169" i="124"/>
  <c r="K169" i="124"/>
  <c r="E169" i="124"/>
  <c r="I169" i="124"/>
  <c r="L169" i="124"/>
  <c r="F169" i="124"/>
  <c r="H170" i="124"/>
  <c r="K170" i="124"/>
  <c r="E170" i="124"/>
  <c r="I170" i="124"/>
  <c r="L170" i="124"/>
  <c r="F170" i="124"/>
  <c r="H171" i="124"/>
  <c r="K171" i="124"/>
  <c r="E171" i="124"/>
  <c r="I171" i="124"/>
  <c r="L171" i="124"/>
  <c r="F171" i="124"/>
  <c r="H172" i="124"/>
  <c r="K172" i="124"/>
  <c r="E172" i="124"/>
  <c r="I172" i="124"/>
  <c r="L172" i="124"/>
  <c r="F172" i="124"/>
  <c r="H173" i="124"/>
  <c r="K173" i="124"/>
  <c r="E173" i="124"/>
  <c r="I173" i="124"/>
  <c r="L173" i="124"/>
  <c r="F173" i="124"/>
  <c r="H174" i="124"/>
  <c r="K174" i="124"/>
  <c r="E174" i="124"/>
  <c r="I174" i="124"/>
  <c r="L174" i="124"/>
  <c r="F174" i="124"/>
  <c r="H175" i="124"/>
  <c r="K175" i="124"/>
  <c r="E175" i="124"/>
  <c r="I175" i="124"/>
  <c r="L175" i="124"/>
  <c r="F175" i="124"/>
  <c r="H176" i="124"/>
  <c r="K176" i="124"/>
  <c r="E176" i="124"/>
  <c r="I176" i="124"/>
  <c r="L176" i="124"/>
  <c r="F176" i="124"/>
  <c r="H178" i="124"/>
  <c r="K178" i="124"/>
  <c r="I178" i="124"/>
  <c r="L178" i="124"/>
  <c r="H179" i="124"/>
  <c r="K179" i="124"/>
  <c r="E179" i="124"/>
  <c r="I179" i="124"/>
  <c r="L179" i="124"/>
  <c r="F179" i="124"/>
  <c r="H180" i="124"/>
  <c r="K180" i="124"/>
  <c r="E180" i="124"/>
  <c r="I180" i="124"/>
  <c r="L180" i="124"/>
  <c r="F180" i="124"/>
  <c r="H181" i="124"/>
  <c r="K181" i="124"/>
  <c r="E181" i="124"/>
  <c r="I181" i="124"/>
  <c r="L181" i="124"/>
  <c r="F181" i="124"/>
  <c r="H182" i="124"/>
  <c r="K182" i="124"/>
  <c r="E182" i="124"/>
  <c r="I182" i="124"/>
  <c r="L182" i="124"/>
  <c r="F182" i="124"/>
  <c r="H183" i="124"/>
  <c r="K183" i="124"/>
  <c r="E183" i="124"/>
  <c r="I183" i="124"/>
  <c r="L183" i="124"/>
  <c r="F183" i="124"/>
  <c r="H184" i="124"/>
  <c r="K184" i="124"/>
  <c r="E184" i="124"/>
  <c r="I184" i="124"/>
  <c r="L184" i="124"/>
  <c r="F184" i="124"/>
  <c r="H185" i="124"/>
  <c r="K185" i="124"/>
  <c r="E185" i="124"/>
  <c r="I185" i="124"/>
  <c r="L185" i="124"/>
  <c r="F185" i="124"/>
  <c r="H186" i="124"/>
  <c r="K186" i="124"/>
  <c r="E186" i="124"/>
  <c r="I186" i="124"/>
  <c r="L186" i="124"/>
  <c r="F186" i="124"/>
  <c r="H187" i="124"/>
  <c r="K187" i="124"/>
  <c r="E187" i="124"/>
  <c r="I187" i="124"/>
  <c r="L187" i="124"/>
  <c r="F187" i="124"/>
  <c r="H188" i="124"/>
  <c r="K188" i="124"/>
  <c r="E188" i="124"/>
  <c r="I188" i="124"/>
  <c r="L188" i="124"/>
  <c r="F188" i="124"/>
  <c r="H189" i="124"/>
  <c r="K189" i="124"/>
  <c r="E189" i="124"/>
  <c r="I189" i="124"/>
  <c r="L189" i="124"/>
  <c r="F189" i="124"/>
  <c r="H190" i="124"/>
  <c r="K190" i="124"/>
  <c r="E190" i="124"/>
  <c r="I190" i="124"/>
  <c r="L190" i="124"/>
  <c r="F190" i="124"/>
  <c r="H191" i="124"/>
  <c r="K191" i="124"/>
  <c r="E191" i="124"/>
  <c r="I191" i="124"/>
  <c r="L191" i="124"/>
  <c r="F191" i="124"/>
  <c r="H192" i="124"/>
  <c r="K192" i="124"/>
  <c r="E192" i="124"/>
  <c r="I192" i="124"/>
  <c r="L192" i="124"/>
  <c r="F192" i="124"/>
  <c r="H193" i="124"/>
  <c r="K193" i="124"/>
  <c r="E193" i="124"/>
  <c r="I193" i="124"/>
  <c r="L193" i="124"/>
  <c r="F193" i="124"/>
  <c r="H194" i="124"/>
  <c r="K194" i="124"/>
  <c r="E194" i="124"/>
  <c r="I194" i="124"/>
  <c r="L194" i="124"/>
  <c r="F194" i="124"/>
  <c r="H195" i="124"/>
  <c r="K195" i="124"/>
  <c r="E195" i="124"/>
  <c r="I195" i="124"/>
  <c r="L195" i="124"/>
  <c r="F195" i="124"/>
  <c r="H196" i="124"/>
  <c r="K196" i="124"/>
  <c r="E196" i="124"/>
  <c r="I196" i="124"/>
  <c r="L196" i="124"/>
  <c r="F196" i="124"/>
  <c r="H197" i="124"/>
  <c r="K197" i="124"/>
  <c r="E197" i="124"/>
  <c r="I197" i="124"/>
  <c r="L197" i="124"/>
  <c r="F197" i="124"/>
  <c r="H198" i="124"/>
  <c r="K198" i="124"/>
  <c r="E198" i="124"/>
  <c r="I198" i="124"/>
  <c r="L198" i="124"/>
  <c r="F198" i="124"/>
  <c r="H201" i="124"/>
  <c r="K201" i="124"/>
  <c r="E201" i="124"/>
  <c r="I201" i="124"/>
  <c r="L201" i="124"/>
  <c r="F201" i="124"/>
  <c r="H202" i="124"/>
  <c r="K202" i="124"/>
  <c r="E202" i="124"/>
  <c r="I202" i="124"/>
  <c r="L202" i="124"/>
  <c r="F202" i="124"/>
  <c r="H203" i="124"/>
  <c r="K203" i="124"/>
  <c r="E203" i="124"/>
  <c r="I203" i="124"/>
  <c r="L203" i="124"/>
  <c r="F203" i="124"/>
  <c r="H205" i="124"/>
  <c r="K205" i="124"/>
  <c r="E205" i="124"/>
  <c r="I205" i="124"/>
  <c r="L205" i="124"/>
  <c r="F205" i="124"/>
  <c r="H206" i="124"/>
  <c r="K206" i="124"/>
  <c r="E206" i="124"/>
  <c r="I206" i="124"/>
  <c r="L206" i="124"/>
  <c r="F206" i="124"/>
  <c r="H207" i="124"/>
  <c r="K207" i="124"/>
  <c r="E207" i="124"/>
  <c r="I207" i="124"/>
  <c r="L207" i="124"/>
  <c r="F207" i="124"/>
  <c r="H208" i="124"/>
  <c r="K208" i="124"/>
  <c r="E208" i="124"/>
  <c r="I208" i="124"/>
  <c r="L208" i="124"/>
  <c r="F208" i="124"/>
  <c r="H209" i="124"/>
  <c r="K209" i="124"/>
  <c r="E209" i="124"/>
  <c r="I209" i="124"/>
  <c r="L209" i="124"/>
  <c r="F209" i="124"/>
  <c r="H210" i="124"/>
  <c r="K210" i="124"/>
  <c r="E210" i="124"/>
  <c r="I210" i="124"/>
  <c r="L210" i="124"/>
  <c r="F210" i="124"/>
  <c r="H211" i="124"/>
  <c r="K211" i="124"/>
  <c r="E211" i="124"/>
  <c r="I211" i="124"/>
  <c r="L211" i="124"/>
  <c r="F211" i="124"/>
  <c r="H212" i="124"/>
  <c r="K212" i="124"/>
  <c r="E212" i="124"/>
  <c r="I212" i="124"/>
  <c r="L212" i="124"/>
  <c r="F212" i="124"/>
  <c r="H213" i="124"/>
  <c r="K213" i="124"/>
  <c r="E213" i="124"/>
  <c r="I213" i="124"/>
  <c r="L213" i="124"/>
  <c r="F213" i="124"/>
  <c r="H214" i="124"/>
  <c r="K214" i="124"/>
  <c r="E214" i="124"/>
  <c r="I214" i="124"/>
  <c r="L214" i="124"/>
  <c r="F214" i="124"/>
  <c r="H216" i="124"/>
  <c r="K216" i="124"/>
  <c r="E216" i="124"/>
  <c r="I216" i="124"/>
  <c r="L216" i="124"/>
  <c r="F216" i="124"/>
  <c r="H217" i="124"/>
  <c r="K217" i="124"/>
  <c r="E217" i="124"/>
  <c r="I217" i="124"/>
  <c r="L217" i="124"/>
  <c r="F217" i="124"/>
  <c r="H218" i="124"/>
  <c r="K218" i="124"/>
  <c r="E218" i="124"/>
  <c r="I218" i="124"/>
  <c r="L218" i="124"/>
  <c r="F218" i="124"/>
  <c r="H219" i="124"/>
  <c r="K219" i="124"/>
  <c r="E219" i="124"/>
  <c r="I219" i="124"/>
  <c r="L219" i="124"/>
  <c r="F219" i="124"/>
  <c r="H221" i="124"/>
  <c r="K221" i="124"/>
  <c r="E221" i="124"/>
  <c r="I221" i="124"/>
  <c r="L221" i="124"/>
  <c r="H222" i="124"/>
  <c r="K222" i="124"/>
  <c r="E222" i="124"/>
  <c r="I222" i="124"/>
  <c r="L222" i="124"/>
  <c r="F222" i="124"/>
  <c r="H223" i="124"/>
  <c r="K223" i="124"/>
  <c r="E223" i="124"/>
  <c r="I223" i="124"/>
  <c r="L223" i="124"/>
  <c r="F223" i="124"/>
  <c r="H225" i="124"/>
  <c r="K225" i="124"/>
  <c r="E225" i="124"/>
  <c r="I225" i="124"/>
  <c r="L225" i="124"/>
  <c r="F225" i="124"/>
  <c r="H226" i="124"/>
  <c r="K226" i="124"/>
  <c r="E226" i="124"/>
  <c r="I226" i="124"/>
  <c r="L226" i="124"/>
  <c r="F226" i="124"/>
  <c r="H227" i="124"/>
  <c r="K227" i="124"/>
  <c r="E227" i="124"/>
  <c r="I227" i="124"/>
  <c r="L227" i="124"/>
  <c r="F227" i="124"/>
  <c r="H228" i="124"/>
  <c r="K228" i="124"/>
  <c r="E228" i="124"/>
  <c r="I228" i="124"/>
  <c r="L228" i="124"/>
  <c r="F228" i="124"/>
  <c r="H229" i="124"/>
  <c r="K229" i="124"/>
  <c r="E229" i="124"/>
  <c r="I229" i="124"/>
  <c r="L229" i="124"/>
  <c r="F229" i="124"/>
  <c r="A42" i="124"/>
  <c r="F45" i="124"/>
  <c r="A43" i="124"/>
  <c r="H141" i="130"/>
  <c r="K141" i="130"/>
  <c r="E141" i="130"/>
  <c r="I141" i="130"/>
  <c r="L141" i="130"/>
  <c r="F141" i="130"/>
  <c r="I138" i="130"/>
  <c r="L138" i="130"/>
  <c r="F138" i="130"/>
  <c r="H182" i="130"/>
  <c r="K182" i="130"/>
  <c r="I182" i="130"/>
  <c r="L182" i="130"/>
  <c r="H138" i="130"/>
  <c r="K138" i="130"/>
  <c r="E138" i="130"/>
  <c r="H139" i="130"/>
  <c r="K139" i="130"/>
  <c r="E139" i="130"/>
  <c r="I139" i="130"/>
  <c r="L139" i="130"/>
  <c r="F139" i="130"/>
  <c r="H140" i="130"/>
  <c r="K140" i="130"/>
  <c r="E140" i="130"/>
  <c r="I140" i="130"/>
  <c r="L140" i="130"/>
  <c r="F140" i="130"/>
  <c r="H142" i="130"/>
  <c r="K142" i="130"/>
  <c r="E142" i="130"/>
  <c r="I142" i="130"/>
  <c r="L142" i="130"/>
  <c r="F142" i="130"/>
  <c r="H143" i="130"/>
  <c r="K143" i="130"/>
  <c r="E143" i="130"/>
  <c r="I143" i="130"/>
  <c r="L143" i="130"/>
  <c r="F143" i="130"/>
  <c r="H144" i="130"/>
  <c r="K144" i="130"/>
  <c r="E144" i="130"/>
  <c r="I144" i="130"/>
  <c r="L144" i="130"/>
  <c r="F144" i="130"/>
  <c r="H145" i="130"/>
  <c r="K145" i="130"/>
  <c r="E145" i="130"/>
  <c r="I145" i="130"/>
  <c r="L145" i="130"/>
  <c r="F145" i="130"/>
  <c r="H146" i="130"/>
  <c r="K146" i="130"/>
  <c r="E146" i="130"/>
  <c r="I146" i="130"/>
  <c r="L146" i="130"/>
  <c r="F146" i="130"/>
  <c r="H147" i="130"/>
  <c r="K147" i="130"/>
  <c r="E147" i="130"/>
  <c r="I147" i="130"/>
  <c r="L147" i="130"/>
  <c r="F147" i="130"/>
  <c r="H148" i="130"/>
  <c r="K148" i="130"/>
  <c r="E148" i="130"/>
  <c r="I148" i="130"/>
  <c r="L148" i="130"/>
  <c r="F148" i="130"/>
  <c r="H149" i="130"/>
  <c r="K149" i="130"/>
  <c r="E149" i="130"/>
  <c r="I149" i="130"/>
  <c r="L149" i="130"/>
  <c r="F149" i="130"/>
  <c r="H150" i="130"/>
  <c r="K150" i="130"/>
  <c r="E150" i="130"/>
  <c r="I150" i="130"/>
  <c r="L150" i="130"/>
  <c r="F150" i="130"/>
  <c r="H151" i="130"/>
  <c r="K151" i="130"/>
  <c r="I151" i="130"/>
  <c r="L151" i="130"/>
  <c r="H152" i="130"/>
  <c r="K152" i="130"/>
  <c r="E152" i="130"/>
  <c r="I152" i="130"/>
  <c r="L152" i="130"/>
  <c r="F152" i="130"/>
  <c r="H153" i="130"/>
  <c r="K153" i="130"/>
  <c r="E153" i="130"/>
  <c r="I153" i="130"/>
  <c r="L153" i="130"/>
  <c r="F153" i="130"/>
  <c r="H154" i="130"/>
  <c r="K154" i="130"/>
  <c r="E154" i="130"/>
  <c r="I154" i="130"/>
  <c r="L154" i="130"/>
  <c r="F154" i="130"/>
  <c r="H155" i="130"/>
  <c r="K155" i="130"/>
  <c r="E155" i="130"/>
  <c r="I155" i="130"/>
  <c r="L155" i="130"/>
  <c r="F155" i="130"/>
  <c r="H156" i="130"/>
  <c r="K156" i="130"/>
  <c r="E156" i="130"/>
  <c r="I156" i="130"/>
  <c r="L156" i="130"/>
  <c r="F156" i="130"/>
  <c r="H157" i="130"/>
  <c r="K157" i="130"/>
  <c r="E157" i="130"/>
  <c r="I157" i="130"/>
  <c r="L157" i="130"/>
  <c r="F157" i="130"/>
  <c r="H158" i="130"/>
  <c r="K158" i="130"/>
  <c r="E158" i="130"/>
  <c r="I158" i="130"/>
  <c r="L158" i="130"/>
  <c r="F158" i="130"/>
  <c r="H159" i="130"/>
  <c r="K159" i="130"/>
  <c r="E159" i="130"/>
  <c r="I159" i="130"/>
  <c r="L159" i="130"/>
  <c r="F159" i="130"/>
  <c r="H160" i="130"/>
  <c r="K160" i="130"/>
  <c r="E160" i="130"/>
  <c r="I160" i="130"/>
  <c r="L160" i="130"/>
  <c r="F160" i="130"/>
  <c r="H163" i="130"/>
  <c r="K163" i="130"/>
  <c r="E163" i="130"/>
  <c r="I163" i="130"/>
  <c r="L163" i="130"/>
  <c r="F163" i="130"/>
  <c r="H164" i="130"/>
  <c r="K164" i="130"/>
  <c r="E164" i="130"/>
  <c r="I164" i="130"/>
  <c r="L164" i="130"/>
  <c r="F164" i="130"/>
  <c r="H165" i="130"/>
  <c r="K165" i="130"/>
  <c r="E165" i="130"/>
  <c r="I165" i="130"/>
  <c r="L165" i="130"/>
  <c r="F165" i="130"/>
  <c r="H166" i="130"/>
  <c r="K166" i="130"/>
  <c r="E166" i="130"/>
  <c r="I166" i="130"/>
  <c r="L166" i="130"/>
  <c r="F166" i="130"/>
  <c r="H167" i="130"/>
  <c r="K167" i="130"/>
  <c r="E167" i="130"/>
  <c r="I167" i="130"/>
  <c r="L167" i="130"/>
  <c r="F167" i="130"/>
  <c r="H168" i="130"/>
  <c r="K168" i="130"/>
  <c r="E168" i="130"/>
  <c r="I168" i="130"/>
  <c r="L168" i="130"/>
  <c r="F168" i="130"/>
  <c r="H169" i="130"/>
  <c r="K169" i="130"/>
  <c r="E169" i="130"/>
  <c r="I169" i="130"/>
  <c r="L169" i="130"/>
  <c r="F169" i="130"/>
  <c r="H170" i="130"/>
  <c r="K170" i="130"/>
  <c r="E170" i="130"/>
  <c r="I170" i="130"/>
  <c r="L170" i="130"/>
  <c r="F170" i="130"/>
  <c r="H171" i="130"/>
  <c r="K171" i="130"/>
  <c r="E171" i="130"/>
  <c r="I171" i="130"/>
  <c r="L171" i="130"/>
  <c r="F171" i="130"/>
  <c r="H172" i="130"/>
  <c r="K172" i="130"/>
  <c r="E172" i="130"/>
  <c r="I172" i="130"/>
  <c r="L172" i="130"/>
  <c r="F172" i="130"/>
  <c r="H173" i="130"/>
  <c r="K173" i="130"/>
  <c r="E173" i="130"/>
  <c r="I173" i="130"/>
  <c r="L173" i="130"/>
  <c r="F173" i="130"/>
  <c r="H174" i="130"/>
  <c r="K174" i="130"/>
  <c r="E174" i="130"/>
  <c r="I174" i="130"/>
  <c r="L174" i="130"/>
  <c r="F174" i="130"/>
  <c r="H175" i="130"/>
  <c r="K175" i="130"/>
  <c r="E175" i="130"/>
  <c r="I175" i="130"/>
  <c r="L175" i="130"/>
  <c r="F175" i="130"/>
  <c r="H176" i="130"/>
  <c r="K176" i="130"/>
  <c r="E176" i="130"/>
  <c r="I176" i="130"/>
  <c r="L176" i="130"/>
  <c r="F176" i="130"/>
  <c r="H177" i="130"/>
  <c r="K177" i="130"/>
  <c r="E177" i="130"/>
  <c r="I177" i="130"/>
  <c r="L177" i="130"/>
  <c r="F177" i="130"/>
  <c r="H178" i="130"/>
  <c r="K178" i="130"/>
  <c r="E178" i="130"/>
  <c r="I178" i="130"/>
  <c r="L178" i="130"/>
  <c r="F178" i="130"/>
  <c r="H179" i="130"/>
  <c r="K179" i="130"/>
  <c r="E179" i="130"/>
  <c r="I179" i="130"/>
  <c r="L179" i="130"/>
  <c r="F179" i="130"/>
  <c r="H180" i="130"/>
  <c r="K180" i="130"/>
  <c r="E180" i="130"/>
  <c r="I180" i="130"/>
  <c r="L180" i="130"/>
  <c r="F180" i="130"/>
  <c r="H181" i="130"/>
  <c r="K181" i="130"/>
  <c r="E181" i="130"/>
  <c r="I181" i="130"/>
  <c r="L181" i="130"/>
  <c r="F181" i="130"/>
  <c r="H183" i="130"/>
  <c r="K183" i="130"/>
  <c r="I183" i="130"/>
  <c r="L183" i="130"/>
  <c r="H184" i="130"/>
  <c r="K184" i="130"/>
  <c r="E184" i="130"/>
  <c r="I184" i="130"/>
  <c r="L184" i="130"/>
  <c r="F184" i="130"/>
  <c r="H185" i="130"/>
  <c r="K185" i="130"/>
  <c r="E185" i="130"/>
  <c r="I185" i="130"/>
  <c r="L185" i="130"/>
  <c r="F185" i="130"/>
  <c r="H186" i="130"/>
  <c r="K186" i="130"/>
  <c r="E186" i="130"/>
  <c r="I186" i="130"/>
  <c r="L186" i="130"/>
  <c r="F186" i="130"/>
  <c r="H187" i="130"/>
  <c r="K187" i="130"/>
  <c r="E187" i="130"/>
  <c r="I187" i="130"/>
  <c r="L187" i="130"/>
  <c r="F187" i="130"/>
  <c r="H188" i="130"/>
  <c r="K188" i="130"/>
  <c r="E188" i="130"/>
  <c r="I188" i="130"/>
  <c r="L188" i="130"/>
  <c r="F188" i="130"/>
  <c r="H189" i="130"/>
  <c r="K189" i="130"/>
  <c r="E189" i="130"/>
  <c r="I189" i="130"/>
  <c r="L189" i="130"/>
  <c r="F189" i="130"/>
  <c r="H190" i="130"/>
  <c r="K190" i="130"/>
  <c r="E190" i="130"/>
  <c r="I190" i="130"/>
  <c r="L190" i="130"/>
  <c r="F190" i="130"/>
  <c r="H191" i="130"/>
  <c r="K191" i="130"/>
  <c r="E191" i="130"/>
  <c r="I191" i="130"/>
  <c r="L191" i="130"/>
  <c r="F191" i="130"/>
  <c r="H192" i="130"/>
  <c r="K192" i="130"/>
  <c r="E192" i="130"/>
  <c r="I192" i="130"/>
  <c r="L192" i="130"/>
  <c r="F192" i="130"/>
  <c r="H193" i="130"/>
  <c r="K193" i="130"/>
  <c r="E193" i="130"/>
  <c r="I193" i="130"/>
  <c r="L193" i="130"/>
  <c r="F193" i="130"/>
  <c r="H194" i="130"/>
  <c r="K194" i="130"/>
  <c r="E194" i="130"/>
  <c r="I194" i="130"/>
  <c r="L194" i="130"/>
  <c r="F194" i="130"/>
  <c r="H195" i="130"/>
  <c r="K195" i="130"/>
  <c r="E195" i="130"/>
  <c r="I195" i="130"/>
  <c r="L195" i="130"/>
  <c r="F195" i="130"/>
  <c r="H196" i="130"/>
  <c r="K196" i="130"/>
  <c r="E196" i="130"/>
  <c r="I196" i="130"/>
  <c r="L196" i="130"/>
  <c r="F196" i="130"/>
  <c r="H197" i="130"/>
  <c r="K197" i="130"/>
  <c r="E197" i="130"/>
  <c r="I197" i="130"/>
  <c r="L197" i="130"/>
  <c r="F197" i="130"/>
  <c r="H198" i="130"/>
  <c r="K198" i="130"/>
  <c r="E198" i="130"/>
  <c r="I198" i="130"/>
  <c r="L198" i="130"/>
  <c r="F198" i="130"/>
  <c r="H199" i="130"/>
  <c r="K199" i="130"/>
  <c r="E199" i="130"/>
  <c r="I199" i="130"/>
  <c r="L199" i="130"/>
  <c r="F199" i="130"/>
  <c r="H200" i="130"/>
  <c r="K200" i="130"/>
  <c r="E200" i="130"/>
  <c r="I200" i="130"/>
  <c r="L200" i="130"/>
  <c r="F200" i="130"/>
  <c r="H201" i="130"/>
  <c r="K201" i="130"/>
  <c r="E201" i="130"/>
  <c r="I201" i="130"/>
  <c r="L201" i="130"/>
  <c r="F201" i="130"/>
  <c r="H202" i="130"/>
  <c r="K202" i="130"/>
  <c r="E202" i="130"/>
  <c r="I202" i="130"/>
  <c r="L202" i="130"/>
  <c r="F202" i="130"/>
  <c r="H203" i="130"/>
  <c r="K203" i="130"/>
  <c r="E203" i="130"/>
  <c r="I203" i="130"/>
  <c r="L203" i="130"/>
  <c r="F203" i="130"/>
  <c r="H206" i="130"/>
  <c r="K206" i="130"/>
  <c r="E206" i="130"/>
  <c r="I206" i="130"/>
  <c r="L206" i="130"/>
  <c r="F206" i="130"/>
  <c r="H207" i="130"/>
  <c r="K207" i="130"/>
  <c r="E207" i="130"/>
  <c r="I207" i="130"/>
  <c r="L207" i="130"/>
  <c r="F207" i="130"/>
  <c r="H208" i="130"/>
  <c r="K208" i="130"/>
  <c r="E208" i="130"/>
  <c r="I208" i="130"/>
  <c r="L208" i="130"/>
  <c r="F208" i="130"/>
  <c r="H210" i="130"/>
  <c r="K210" i="130"/>
  <c r="E210" i="130"/>
  <c r="I210" i="130"/>
  <c r="L210" i="130"/>
  <c r="F210" i="130"/>
  <c r="H211" i="130"/>
  <c r="K211" i="130"/>
  <c r="E211" i="130"/>
  <c r="I211" i="130"/>
  <c r="L211" i="130"/>
  <c r="F211" i="130"/>
  <c r="H212" i="130"/>
  <c r="K212" i="130"/>
  <c r="E212" i="130"/>
  <c r="I212" i="130"/>
  <c r="L212" i="130"/>
  <c r="F212" i="130"/>
  <c r="H213" i="130"/>
  <c r="K213" i="130"/>
  <c r="E213" i="130"/>
  <c r="I213" i="130"/>
  <c r="L213" i="130"/>
  <c r="F213" i="130"/>
  <c r="H214" i="130"/>
  <c r="K214" i="130"/>
  <c r="E214" i="130"/>
  <c r="I214" i="130"/>
  <c r="L214" i="130"/>
  <c r="F214" i="130"/>
  <c r="H215" i="130"/>
  <c r="K215" i="130"/>
  <c r="E215" i="130"/>
  <c r="I215" i="130"/>
  <c r="L215" i="130"/>
  <c r="F215" i="130"/>
  <c r="H216" i="130"/>
  <c r="K216" i="130"/>
  <c r="E216" i="130"/>
  <c r="I216" i="130"/>
  <c r="L216" i="130"/>
  <c r="F216" i="130"/>
  <c r="H217" i="130"/>
  <c r="K217" i="130"/>
  <c r="E217" i="130"/>
  <c r="I217" i="130"/>
  <c r="L217" i="130"/>
  <c r="F217" i="130"/>
  <c r="H218" i="130"/>
  <c r="K218" i="130"/>
  <c r="E218" i="130"/>
  <c r="I218" i="130"/>
  <c r="L218" i="130"/>
  <c r="F218" i="130"/>
  <c r="H219" i="130"/>
  <c r="K219" i="130"/>
  <c r="E219" i="130"/>
  <c r="I219" i="130"/>
  <c r="L219" i="130"/>
  <c r="F219" i="130"/>
  <c r="H221" i="130"/>
  <c r="K221" i="130"/>
  <c r="E221" i="130"/>
  <c r="I221" i="130"/>
  <c r="L221" i="130"/>
  <c r="F221" i="130"/>
  <c r="H222" i="130"/>
  <c r="K222" i="130"/>
  <c r="E222" i="130"/>
  <c r="I222" i="130"/>
  <c r="L222" i="130"/>
  <c r="F222" i="130"/>
  <c r="H223" i="130"/>
  <c r="K223" i="130"/>
  <c r="E223" i="130"/>
  <c r="I223" i="130"/>
  <c r="L223" i="130"/>
  <c r="F223" i="130"/>
  <c r="H224" i="130"/>
  <c r="K224" i="130"/>
  <c r="E224" i="130"/>
  <c r="I224" i="130"/>
  <c r="L224" i="130"/>
  <c r="F224" i="130"/>
  <c r="H226" i="130"/>
  <c r="K226" i="130"/>
  <c r="E226" i="130"/>
  <c r="I226" i="130"/>
  <c r="L226" i="130"/>
  <c r="H227" i="130"/>
  <c r="K227" i="130"/>
  <c r="E227" i="130"/>
  <c r="I227" i="130"/>
  <c r="L227" i="130"/>
  <c r="F227" i="130"/>
  <c r="H228" i="130"/>
  <c r="K228" i="130"/>
  <c r="E228" i="130"/>
  <c r="I228" i="130"/>
  <c r="L228" i="130"/>
  <c r="F228" i="130"/>
  <c r="H230" i="130"/>
  <c r="K230" i="130"/>
  <c r="E230" i="130"/>
  <c r="I230" i="130"/>
  <c r="L230" i="130"/>
  <c r="F230" i="130"/>
  <c r="H231" i="130"/>
  <c r="K231" i="130"/>
  <c r="E231" i="130"/>
  <c r="I231" i="130"/>
  <c r="L231" i="130"/>
  <c r="F231" i="130"/>
  <c r="H232" i="130"/>
  <c r="K232" i="130"/>
  <c r="E232" i="130"/>
  <c r="I232" i="130"/>
  <c r="L232" i="130"/>
  <c r="F232" i="130"/>
  <c r="H233" i="130"/>
  <c r="K233" i="130"/>
  <c r="E233" i="130"/>
  <c r="I233" i="130"/>
  <c r="L233" i="130"/>
  <c r="F233" i="130"/>
  <c r="H234" i="130"/>
  <c r="K234" i="130"/>
  <c r="E234" i="130"/>
  <c r="I234" i="130"/>
  <c r="L234" i="130"/>
  <c r="F234" i="130"/>
  <c r="A43" i="130"/>
  <c r="H133" i="119"/>
  <c r="K133" i="119"/>
  <c r="E133" i="119"/>
  <c r="I133" i="119"/>
  <c r="L133" i="119"/>
  <c r="F133" i="119"/>
  <c r="I130" i="119"/>
  <c r="L130" i="119"/>
  <c r="F130" i="119"/>
  <c r="H174" i="119"/>
  <c r="K174" i="119"/>
  <c r="I174" i="119"/>
  <c r="L174" i="119"/>
  <c r="H130" i="119"/>
  <c r="K130" i="119"/>
  <c r="E130" i="119"/>
  <c r="H131" i="119"/>
  <c r="K131" i="119"/>
  <c r="E131" i="119"/>
  <c r="I131" i="119"/>
  <c r="L131" i="119"/>
  <c r="F131" i="119"/>
  <c r="H132" i="119"/>
  <c r="K132" i="119"/>
  <c r="E132" i="119"/>
  <c r="I132" i="119"/>
  <c r="L132" i="119"/>
  <c r="F132" i="119"/>
  <c r="H134" i="119"/>
  <c r="K134" i="119"/>
  <c r="E134" i="119"/>
  <c r="I134" i="119"/>
  <c r="L134" i="119"/>
  <c r="F134" i="119"/>
  <c r="H135" i="119"/>
  <c r="K135" i="119"/>
  <c r="E135" i="119"/>
  <c r="I135" i="119"/>
  <c r="L135" i="119"/>
  <c r="F135" i="119"/>
  <c r="H136" i="119"/>
  <c r="K136" i="119"/>
  <c r="E136" i="119"/>
  <c r="I136" i="119"/>
  <c r="L136" i="119"/>
  <c r="F136" i="119"/>
  <c r="H137" i="119"/>
  <c r="K137" i="119"/>
  <c r="E137" i="119"/>
  <c r="I137" i="119"/>
  <c r="L137" i="119"/>
  <c r="F137" i="119"/>
  <c r="H138" i="119"/>
  <c r="K138" i="119"/>
  <c r="E138" i="119"/>
  <c r="I138" i="119"/>
  <c r="L138" i="119"/>
  <c r="F138" i="119"/>
  <c r="H139" i="119"/>
  <c r="K139" i="119"/>
  <c r="E139" i="119"/>
  <c r="I139" i="119"/>
  <c r="L139" i="119"/>
  <c r="F139" i="119"/>
  <c r="H140" i="119"/>
  <c r="K140" i="119"/>
  <c r="E140" i="119"/>
  <c r="I140" i="119"/>
  <c r="L140" i="119"/>
  <c r="F140" i="119"/>
  <c r="H141" i="119"/>
  <c r="K141" i="119"/>
  <c r="E141" i="119"/>
  <c r="I141" i="119"/>
  <c r="L141" i="119"/>
  <c r="F141" i="119"/>
  <c r="H142" i="119"/>
  <c r="K142" i="119"/>
  <c r="E142" i="119"/>
  <c r="I142" i="119"/>
  <c r="L142" i="119"/>
  <c r="F142" i="119"/>
  <c r="H143" i="119"/>
  <c r="K143" i="119"/>
  <c r="I143" i="119"/>
  <c r="L143" i="119"/>
  <c r="H144" i="119"/>
  <c r="K144" i="119"/>
  <c r="E144" i="119"/>
  <c r="I144" i="119"/>
  <c r="L144" i="119"/>
  <c r="F144" i="119"/>
  <c r="H145" i="119"/>
  <c r="K145" i="119"/>
  <c r="E145" i="119"/>
  <c r="I145" i="119"/>
  <c r="L145" i="119"/>
  <c r="F145" i="119"/>
  <c r="H146" i="119"/>
  <c r="K146" i="119"/>
  <c r="E146" i="119"/>
  <c r="I146" i="119"/>
  <c r="L146" i="119"/>
  <c r="F146" i="119"/>
  <c r="H147" i="119"/>
  <c r="K147" i="119"/>
  <c r="E147" i="119"/>
  <c r="I147" i="119"/>
  <c r="L147" i="119"/>
  <c r="F147" i="119"/>
  <c r="H148" i="119"/>
  <c r="K148" i="119"/>
  <c r="E148" i="119"/>
  <c r="I148" i="119"/>
  <c r="L148" i="119"/>
  <c r="F148" i="119"/>
  <c r="H149" i="119"/>
  <c r="K149" i="119"/>
  <c r="E149" i="119"/>
  <c r="I149" i="119"/>
  <c r="L149" i="119"/>
  <c r="F149" i="119"/>
  <c r="H150" i="119"/>
  <c r="K150" i="119"/>
  <c r="E150" i="119"/>
  <c r="I150" i="119"/>
  <c r="L150" i="119"/>
  <c r="F150" i="119"/>
  <c r="H151" i="119"/>
  <c r="K151" i="119"/>
  <c r="E151" i="119"/>
  <c r="I151" i="119"/>
  <c r="L151" i="119"/>
  <c r="F151" i="119"/>
  <c r="H152" i="119"/>
  <c r="K152" i="119"/>
  <c r="E152" i="119"/>
  <c r="I152" i="119"/>
  <c r="L152" i="119"/>
  <c r="F152" i="119"/>
  <c r="H155" i="119"/>
  <c r="K155" i="119"/>
  <c r="E155" i="119"/>
  <c r="I155" i="119"/>
  <c r="L155" i="119"/>
  <c r="F155" i="119"/>
  <c r="H156" i="119"/>
  <c r="K156" i="119"/>
  <c r="E156" i="119"/>
  <c r="I156" i="119"/>
  <c r="L156" i="119"/>
  <c r="F156" i="119"/>
  <c r="H157" i="119"/>
  <c r="K157" i="119"/>
  <c r="E157" i="119"/>
  <c r="I157" i="119"/>
  <c r="L157" i="119"/>
  <c r="F157" i="119"/>
  <c r="H158" i="119"/>
  <c r="K158" i="119"/>
  <c r="E158" i="119"/>
  <c r="I158" i="119"/>
  <c r="L158" i="119"/>
  <c r="F158" i="119"/>
  <c r="H159" i="119"/>
  <c r="K159" i="119"/>
  <c r="E159" i="119"/>
  <c r="I159" i="119"/>
  <c r="L159" i="119"/>
  <c r="F159" i="119"/>
  <c r="H160" i="119"/>
  <c r="K160" i="119"/>
  <c r="E160" i="119"/>
  <c r="I160" i="119"/>
  <c r="L160" i="119"/>
  <c r="F160" i="119"/>
  <c r="H161" i="119"/>
  <c r="K161" i="119"/>
  <c r="E161" i="119"/>
  <c r="I161" i="119"/>
  <c r="L161" i="119"/>
  <c r="F161" i="119"/>
  <c r="H162" i="119"/>
  <c r="K162" i="119"/>
  <c r="E162" i="119"/>
  <c r="I162" i="119"/>
  <c r="L162" i="119"/>
  <c r="F162" i="119"/>
  <c r="H163" i="119"/>
  <c r="K163" i="119"/>
  <c r="E163" i="119"/>
  <c r="I163" i="119"/>
  <c r="L163" i="119"/>
  <c r="F163" i="119"/>
  <c r="H164" i="119"/>
  <c r="K164" i="119"/>
  <c r="E164" i="119"/>
  <c r="I164" i="119"/>
  <c r="L164" i="119"/>
  <c r="F164" i="119"/>
  <c r="H165" i="119"/>
  <c r="K165" i="119"/>
  <c r="E165" i="119"/>
  <c r="I165" i="119"/>
  <c r="L165" i="119"/>
  <c r="F165" i="119"/>
  <c r="H166" i="119"/>
  <c r="K166" i="119"/>
  <c r="E166" i="119"/>
  <c r="I166" i="119"/>
  <c r="L166" i="119"/>
  <c r="F166" i="119"/>
  <c r="H167" i="119"/>
  <c r="K167" i="119"/>
  <c r="E167" i="119"/>
  <c r="I167" i="119"/>
  <c r="L167" i="119"/>
  <c r="F167" i="119"/>
  <c r="H168" i="119"/>
  <c r="K168" i="119"/>
  <c r="E168" i="119"/>
  <c r="I168" i="119"/>
  <c r="L168" i="119"/>
  <c r="F168" i="119"/>
  <c r="H169" i="119"/>
  <c r="K169" i="119"/>
  <c r="E169" i="119"/>
  <c r="I169" i="119"/>
  <c r="L169" i="119"/>
  <c r="F169" i="119"/>
  <c r="H170" i="119"/>
  <c r="K170" i="119"/>
  <c r="E170" i="119"/>
  <c r="I170" i="119"/>
  <c r="L170" i="119"/>
  <c r="F170" i="119"/>
  <c r="H171" i="119"/>
  <c r="K171" i="119"/>
  <c r="E171" i="119"/>
  <c r="I171" i="119"/>
  <c r="L171" i="119"/>
  <c r="F171" i="119"/>
  <c r="H172" i="119"/>
  <c r="K172" i="119"/>
  <c r="E172" i="119"/>
  <c r="I172" i="119"/>
  <c r="L172" i="119"/>
  <c r="F172" i="119"/>
  <c r="H173" i="119"/>
  <c r="K173" i="119"/>
  <c r="E173" i="119"/>
  <c r="I173" i="119"/>
  <c r="L173" i="119"/>
  <c r="F173" i="119"/>
  <c r="H175" i="119"/>
  <c r="K175" i="119"/>
  <c r="I175" i="119"/>
  <c r="L175" i="119"/>
  <c r="H176" i="119"/>
  <c r="K176" i="119"/>
  <c r="E176" i="119"/>
  <c r="I176" i="119"/>
  <c r="L176" i="119"/>
  <c r="F176" i="119"/>
  <c r="H177" i="119"/>
  <c r="K177" i="119"/>
  <c r="E177" i="119"/>
  <c r="I177" i="119"/>
  <c r="L177" i="119"/>
  <c r="F177" i="119"/>
  <c r="H178" i="119"/>
  <c r="K178" i="119"/>
  <c r="E178" i="119"/>
  <c r="I178" i="119"/>
  <c r="L178" i="119"/>
  <c r="F178" i="119"/>
  <c r="H179" i="119"/>
  <c r="K179" i="119"/>
  <c r="E179" i="119"/>
  <c r="I179" i="119"/>
  <c r="L179" i="119"/>
  <c r="F179" i="119"/>
  <c r="H180" i="119"/>
  <c r="K180" i="119"/>
  <c r="E180" i="119"/>
  <c r="I180" i="119"/>
  <c r="L180" i="119"/>
  <c r="F180" i="119"/>
  <c r="H181" i="119"/>
  <c r="K181" i="119"/>
  <c r="E181" i="119"/>
  <c r="I181" i="119"/>
  <c r="L181" i="119"/>
  <c r="F181" i="119"/>
  <c r="H182" i="119"/>
  <c r="K182" i="119"/>
  <c r="E182" i="119"/>
  <c r="I182" i="119"/>
  <c r="L182" i="119"/>
  <c r="F182" i="119"/>
  <c r="H183" i="119"/>
  <c r="K183" i="119"/>
  <c r="E183" i="119"/>
  <c r="I183" i="119"/>
  <c r="L183" i="119"/>
  <c r="F183" i="119"/>
  <c r="H184" i="119"/>
  <c r="K184" i="119"/>
  <c r="E184" i="119"/>
  <c r="I184" i="119"/>
  <c r="L184" i="119"/>
  <c r="F184" i="119"/>
  <c r="H185" i="119"/>
  <c r="K185" i="119"/>
  <c r="E185" i="119"/>
  <c r="I185" i="119"/>
  <c r="L185" i="119"/>
  <c r="F185" i="119"/>
  <c r="H186" i="119"/>
  <c r="K186" i="119"/>
  <c r="E186" i="119"/>
  <c r="I186" i="119"/>
  <c r="L186" i="119"/>
  <c r="F186" i="119"/>
  <c r="H187" i="119"/>
  <c r="K187" i="119"/>
  <c r="E187" i="119"/>
  <c r="I187" i="119"/>
  <c r="L187" i="119"/>
  <c r="F187" i="119"/>
  <c r="H188" i="119"/>
  <c r="K188" i="119"/>
  <c r="E188" i="119"/>
  <c r="I188" i="119"/>
  <c r="L188" i="119"/>
  <c r="F188" i="119"/>
  <c r="H189" i="119"/>
  <c r="K189" i="119"/>
  <c r="E189" i="119"/>
  <c r="I189" i="119"/>
  <c r="L189" i="119"/>
  <c r="F189" i="119"/>
  <c r="H190" i="119"/>
  <c r="K190" i="119"/>
  <c r="E190" i="119"/>
  <c r="I190" i="119"/>
  <c r="L190" i="119"/>
  <c r="F190" i="119"/>
  <c r="H191" i="119"/>
  <c r="K191" i="119"/>
  <c r="E191" i="119"/>
  <c r="I191" i="119"/>
  <c r="L191" i="119"/>
  <c r="F191" i="119"/>
  <c r="H192" i="119"/>
  <c r="K192" i="119"/>
  <c r="E192" i="119"/>
  <c r="I192" i="119"/>
  <c r="L192" i="119"/>
  <c r="F192" i="119"/>
  <c r="H193" i="119"/>
  <c r="K193" i="119"/>
  <c r="E193" i="119"/>
  <c r="I193" i="119"/>
  <c r="L193" i="119"/>
  <c r="F193" i="119"/>
  <c r="H194" i="119"/>
  <c r="K194" i="119"/>
  <c r="E194" i="119"/>
  <c r="I194" i="119"/>
  <c r="L194" i="119"/>
  <c r="F194" i="119"/>
  <c r="H195" i="119"/>
  <c r="K195" i="119"/>
  <c r="E195" i="119"/>
  <c r="I195" i="119"/>
  <c r="L195" i="119"/>
  <c r="F195" i="119"/>
  <c r="H198" i="119"/>
  <c r="K198" i="119"/>
  <c r="E198" i="119"/>
  <c r="I198" i="119"/>
  <c r="L198" i="119"/>
  <c r="F198" i="119"/>
  <c r="H199" i="119"/>
  <c r="K199" i="119"/>
  <c r="E199" i="119"/>
  <c r="I199" i="119"/>
  <c r="L199" i="119"/>
  <c r="F199" i="119"/>
  <c r="H200" i="119"/>
  <c r="K200" i="119"/>
  <c r="E200" i="119"/>
  <c r="I200" i="119"/>
  <c r="L200" i="119"/>
  <c r="F200" i="119"/>
  <c r="H202" i="119"/>
  <c r="K202" i="119"/>
  <c r="E202" i="119"/>
  <c r="I202" i="119"/>
  <c r="L202" i="119"/>
  <c r="F202" i="119"/>
  <c r="H203" i="119"/>
  <c r="K203" i="119"/>
  <c r="E203" i="119"/>
  <c r="I203" i="119"/>
  <c r="L203" i="119"/>
  <c r="F203" i="119"/>
  <c r="H204" i="119"/>
  <c r="K204" i="119"/>
  <c r="E204" i="119"/>
  <c r="I204" i="119"/>
  <c r="L204" i="119"/>
  <c r="F204" i="119"/>
  <c r="H205" i="119"/>
  <c r="K205" i="119"/>
  <c r="E205" i="119"/>
  <c r="I205" i="119"/>
  <c r="L205" i="119"/>
  <c r="F205" i="119"/>
  <c r="H206" i="119"/>
  <c r="K206" i="119"/>
  <c r="E206" i="119"/>
  <c r="I206" i="119"/>
  <c r="L206" i="119"/>
  <c r="F206" i="119"/>
  <c r="H207" i="119"/>
  <c r="K207" i="119"/>
  <c r="E207" i="119"/>
  <c r="I207" i="119"/>
  <c r="L207" i="119"/>
  <c r="F207" i="119"/>
  <c r="H208" i="119"/>
  <c r="K208" i="119"/>
  <c r="E208" i="119"/>
  <c r="I208" i="119"/>
  <c r="L208" i="119"/>
  <c r="F208" i="119"/>
  <c r="H209" i="119"/>
  <c r="K209" i="119"/>
  <c r="E209" i="119"/>
  <c r="I209" i="119"/>
  <c r="L209" i="119"/>
  <c r="F209" i="119"/>
  <c r="H210" i="119"/>
  <c r="K210" i="119"/>
  <c r="E210" i="119"/>
  <c r="I210" i="119"/>
  <c r="L210" i="119"/>
  <c r="F210" i="119"/>
  <c r="H211" i="119"/>
  <c r="K211" i="119"/>
  <c r="E211" i="119"/>
  <c r="I211" i="119"/>
  <c r="L211" i="119"/>
  <c r="F211" i="119"/>
  <c r="H213" i="119"/>
  <c r="K213" i="119"/>
  <c r="E213" i="119"/>
  <c r="I213" i="119"/>
  <c r="L213" i="119"/>
  <c r="F213" i="119"/>
  <c r="H214" i="119"/>
  <c r="K214" i="119"/>
  <c r="E214" i="119"/>
  <c r="I214" i="119"/>
  <c r="L214" i="119"/>
  <c r="F214" i="119"/>
  <c r="H215" i="119"/>
  <c r="K215" i="119"/>
  <c r="E215" i="119"/>
  <c r="I215" i="119"/>
  <c r="L215" i="119"/>
  <c r="F215" i="119"/>
  <c r="H216" i="119"/>
  <c r="K216" i="119"/>
  <c r="E216" i="119"/>
  <c r="I216" i="119"/>
  <c r="L216" i="119"/>
  <c r="F216" i="119"/>
  <c r="H218" i="119"/>
  <c r="K218" i="119"/>
  <c r="E218" i="119"/>
  <c r="I218" i="119"/>
  <c r="L218" i="119"/>
  <c r="H219" i="119"/>
  <c r="K219" i="119"/>
  <c r="E219" i="119"/>
  <c r="I219" i="119"/>
  <c r="L219" i="119"/>
  <c r="F219" i="119"/>
  <c r="H220" i="119"/>
  <c r="K220" i="119"/>
  <c r="E220" i="119"/>
  <c r="I220" i="119"/>
  <c r="L220" i="119"/>
  <c r="F220" i="119"/>
  <c r="H222" i="119"/>
  <c r="K222" i="119"/>
  <c r="E222" i="119"/>
  <c r="I222" i="119"/>
  <c r="L222" i="119"/>
  <c r="F222" i="119"/>
  <c r="H223" i="119"/>
  <c r="K223" i="119"/>
  <c r="E223" i="119"/>
  <c r="I223" i="119"/>
  <c r="L223" i="119"/>
  <c r="F223" i="119"/>
  <c r="H224" i="119"/>
  <c r="K224" i="119"/>
  <c r="E224" i="119"/>
  <c r="I224" i="119"/>
  <c r="L224" i="119"/>
  <c r="F224" i="119"/>
  <c r="H225" i="119"/>
  <c r="K225" i="119"/>
  <c r="E225" i="119"/>
  <c r="I225" i="119"/>
  <c r="L225" i="119"/>
  <c r="F225" i="119"/>
  <c r="H226" i="119"/>
  <c r="K226" i="119"/>
  <c r="E226" i="119"/>
  <c r="I226" i="119"/>
  <c r="L226" i="119"/>
  <c r="F226" i="119"/>
  <c r="H141" i="127"/>
  <c r="K141" i="127"/>
  <c r="E141" i="127"/>
  <c r="I141" i="127"/>
  <c r="L141" i="127"/>
  <c r="F141" i="127"/>
  <c r="I138" i="127"/>
  <c r="L138" i="127"/>
  <c r="F138" i="127"/>
  <c r="H182" i="127"/>
  <c r="K182" i="127"/>
  <c r="I182" i="127"/>
  <c r="L182" i="127"/>
  <c r="H138" i="127"/>
  <c r="K138" i="127"/>
  <c r="E138" i="127"/>
  <c r="H139" i="127"/>
  <c r="K139" i="127"/>
  <c r="E139" i="127"/>
  <c r="I139" i="127"/>
  <c r="L139" i="127"/>
  <c r="F139" i="127"/>
  <c r="H140" i="127"/>
  <c r="K140" i="127"/>
  <c r="E140" i="127"/>
  <c r="I140" i="127"/>
  <c r="L140" i="127"/>
  <c r="F140" i="127"/>
  <c r="H142" i="127"/>
  <c r="K142" i="127"/>
  <c r="E142" i="127"/>
  <c r="I142" i="127"/>
  <c r="L142" i="127"/>
  <c r="F142" i="127"/>
  <c r="H143" i="127"/>
  <c r="K143" i="127"/>
  <c r="E143" i="127"/>
  <c r="I143" i="127"/>
  <c r="L143" i="127"/>
  <c r="F143" i="127"/>
  <c r="H144" i="127"/>
  <c r="K144" i="127"/>
  <c r="E144" i="127"/>
  <c r="I144" i="127"/>
  <c r="L144" i="127"/>
  <c r="F144" i="127"/>
  <c r="H145" i="127"/>
  <c r="K145" i="127"/>
  <c r="E145" i="127"/>
  <c r="I145" i="127"/>
  <c r="L145" i="127"/>
  <c r="F145" i="127"/>
  <c r="H146" i="127"/>
  <c r="K146" i="127"/>
  <c r="E146" i="127"/>
  <c r="I146" i="127"/>
  <c r="L146" i="127"/>
  <c r="F146" i="127"/>
  <c r="H147" i="127"/>
  <c r="K147" i="127"/>
  <c r="E147" i="127"/>
  <c r="I147" i="127"/>
  <c r="L147" i="127"/>
  <c r="F147" i="127"/>
  <c r="H148" i="127"/>
  <c r="K148" i="127"/>
  <c r="E148" i="127"/>
  <c r="I148" i="127"/>
  <c r="L148" i="127"/>
  <c r="F148" i="127"/>
  <c r="H149" i="127"/>
  <c r="K149" i="127"/>
  <c r="E149" i="127"/>
  <c r="I149" i="127"/>
  <c r="L149" i="127"/>
  <c r="F149" i="127"/>
  <c r="H150" i="127"/>
  <c r="K150" i="127"/>
  <c r="E150" i="127"/>
  <c r="I150" i="127"/>
  <c r="L150" i="127"/>
  <c r="F150" i="127"/>
  <c r="H151" i="127"/>
  <c r="K151" i="127"/>
  <c r="I151" i="127"/>
  <c r="L151" i="127"/>
  <c r="H152" i="127"/>
  <c r="K152" i="127"/>
  <c r="E152" i="127"/>
  <c r="I152" i="127"/>
  <c r="L152" i="127"/>
  <c r="F152" i="127"/>
  <c r="H153" i="127"/>
  <c r="K153" i="127"/>
  <c r="E153" i="127"/>
  <c r="I153" i="127"/>
  <c r="L153" i="127"/>
  <c r="F153" i="127"/>
  <c r="H154" i="127"/>
  <c r="K154" i="127"/>
  <c r="E154" i="127"/>
  <c r="I154" i="127"/>
  <c r="L154" i="127"/>
  <c r="F154" i="127"/>
  <c r="H155" i="127"/>
  <c r="K155" i="127"/>
  <c r="E155" i="127"/>
  <c r="I155" i="127"/>
  <c r="L155" i="127"/>
  <c r="F155" i="127"/>
  <c r="H156" i="127"/>
  <c r="K156" i="127"/>
  <c r="E156" i="127"/>
  <c r="I156" i="127"/>
  <c r="L156" i="127"/>
  <c r="F156" i="127"/>
  <c r="H157" i="127"/>
  <c r="K157" i="127"/>
  <c r="E157" i="127"/>
  <c r="I157" i="127"/>
  <c r="L157" i="127"/>
  <c r="F157" i="127"/>
  <c r="H158" i="127"/>
  <c r="K158" i="127"/>
  <c r="E158" i="127"/>
  <c r="I158" i="127"/>
  <c r="L158" i="127"/>
  <c r="F158" i="127"/>
  <c r="H159" i="127"/>
  <c r="K159" i="127"/>
  <c r="E159" i="127"/>
  <c r="I159" i="127"/>
  <c r="L159" i="127"/>
  <c r="F159" i="127"/>
  <c r="H160" i="127"/>
  <c r="K160" i="127"/>
  <c r="E160" i="127"/>
  <c r="I160" i="127"/>
  <c r="L160" i="127"/>
  <c r="F160" i="127"/>
  <c r="H163" i="127"/>
  <c r="K163" i="127"/>
  <c r="E163" i="127"/>
  <c r="I163" i="127"/>
  <c r="L163" i="127"/>
  <c r="F163" i="127"/>
  <c r="H164" i="127"/>
  <c r="K164" i="127"/>
  <c r="E164" i="127"/>
  <c r="I164" i="127"/>
  <c r="L164" i="127"/>
  <c r="F164" i="127"/>
  <c r="H165" i="127"/>
  <c r="K165" i="127"/>
  <c r="E165" i="127"/>
  <c r="I165" i="127"/>
  <c r="L165" i="127"/>
  <c r="F165" i="127"/>
  <c r="H166" i="127"/>
  <c r="K166" i="127"/>
  <c r="E166" i="127"/>
  <c r="I166" i="127"/>
  <c r="L166" i="127"/>
  <c r="F166" i="127"/>
  <c r="H167" i="127"/>
  <c r="K167" i="127"/>
  <c r="E167" i="127"/>
  <c r="I167" i="127"/>
  <c r="L167" i="127"/>
  <c r="F167" i="127"/>
  <c r="H168" i="127"/>
  <c r="K168" i="127"/>
  <c r="E168" i="127"/>
  <c r="I168" i="127"/>
  <c r="L168" i="127"/>
  <c r="F168" i="127"/>
  <c r="H169" i="127"/>
  <c r="K169" i="127"/>
  <c r="E169" i="127"/>
  <c r="I169" i="127"/>
  <c r="L169" i="127"/>
  <c r="F169" i="127"/>
  <c r="H170" i="127"/>
  <c r="K170" i="127"/>
  <c r="E170" i="127"/>
  <c r="I170" i="127"/>
  <c r="L170" i="127"/>
  <c r="F170" i="127"/>
  <c r="H171" i="127"/>
  <c r="K171" i="127"/>
  <c r="E171" i="127"/>
  <c r="I171" i="127"/>
  <c r="L171" i="127"/>
  <c r="F171" i="127"/>
  <c r="H172" i="127"/>
  <c r="K172" i="127"/>
  <c r="E172" i="127"/>
  <c r="I172" i="127"/>
  <c r="L172" i="127"/>
  <c r="F172" i="127"/>
  <c r="H173" i="127"/>
  <c r="K173" i="127"/>
  <c r="E173" i="127"/>
  <c r="I173" i="127"/>
  <c r="L173" i="127"/>
  <c r="F173" i="127"/>
  <c r="H174" i="127"/>
  <c r="K174" i="127"/>
  <c r="E174" i="127"/>
  <c r="I174" i="127"/>
  <c r="L174" i="127"/>
  <c r="F174" i="127"/>
  <c r="H175" i="127"/>
  <c r="K175" i="127"/>
  <c r="E175" i="127"/>
  <c r="I175" i="127"/>
  <c r="L175" i="127"/>
  <c r="F175" i="127"/>
  <c r="H176" i="127"/>
  <c r="K176" i="127"/>
  <c r="E176" i="127"/>
  <c r="I176" i="127"/>
  <c r="L176" i="127"/>
  <c r="F176" i="127"/>
  <c r="H177" i="127"/>
  <c r="K177" i="127"/>
  <c r="E177" i="127"/>
  <c r="I177" i="127"/>
  <c r="L177" i="127"/>
  <c r="F177" i="127"/>
  <c r="H178" i="127"/>
  <c r="K178" i="127"/>
  <c r="E178" i="127"/>
  <c r="I178" i="127"/>
  <c r="L178" i="127"/>
  <c r="F178" i="127"/>
  <c r="H179" i="127"/>
  <c r="K179" i="127"/>
  <c r="E179" i="127"/>
  <c r="I179" i="127"/>
  <c r="L179" i="127"/>
  <c r="F179" i="127"/>
  <c r="H180" i="127"/>
  <c r="K180" i="127"/>
  <c r="E180" i="127"/>
  <c r="I180" i="127"/>
  <c r="L180" i="127"/>
  <c r="F180" i="127"/>
  <c r="H181" i="127"/>
  <c r="K181" i="127"/>
  <c r="E181" i="127"/>
  <c r="I181" i="127"/>
  <c r="L181" i="127"/>
  <c r="F181" i="127"/>
  <c r="H183" i="127"/>
  <c r="K183" i="127"/>
  <c r="I183" i="127"/>
  <c r="L183" i="127"/>
  <c r="H184" i="127"/>
  <c r="K184" i="127"/>
  <c r="E184" i="127"/>
  <c r="I184" i="127"/>
  <c r="L184" i="127"/>
  <c r="F184" i="127"/>
  <c r="H185" i="127"/>
  <c r="K185" i="127"/>
  <c r="E185" i="127"/>
  <c r="I185" i="127"/>
  <c r="L185" i="127"/>
  <c r="F185" i="127"/>
  <c r="H186" i="127"/>
  <c r="K186" i="127"/>
  <c r="E186" i="127"/>
  <c r="I186" i="127"/>
  <c r="L186" i="127"/>
  <c r="F186" i="127"/>
  <c r="H187" i="127"/>
  <c r="K187" i="127"/>
  <c r="E187" i="127"/>
  <c r="I187" i="127"/>
  <c r="L187" i="127"/>
  <c r="F187" i="127"/>
  <c r="H188" i="127"/>
  <c r="K188" i="127"/>
  <c r="E188" i="127"/>
  <c r="I188" i="127"/>
  <c r="L188" i="127"/>
  <c r="F188" i="127"/>
  <c r="H189" i="127"/>
  <c r="K189" i="127"/>
  <c r="E189" i="127"/>
  <c r="I189" i="127"/>
  <c r="L189" i="127"/>
  <c r="F189" i="127"/>
  <c r="H190" i="127"/>
  <c r="K190" i="127"/>
  <c r="E190" i="127"/>
  <c r="I190" i="127"/>
  <c r="L190" i="127"/>
  <c r="F190" i="127"/>
  <c r="H191" i="127"/>
  <c r="K191" i="127"/>
  <c r="E191" i="127"/>
  <c r="I191" i="127"/>
  <c r="L191" i="127"/>
  <c r="F191" i="127"/>
  <c r="H192" i="127"/>
  <c r="K192" i="127"/>
  <c r="E192" i="127"/>
  <c r="I192" i="127"/>
  <c r="L192" i="127"/>
  <c r="F192" i="127"/>
  <c r="H193" i="127"/>
  <c r="K193" i="127"/>
  <c r="E193" i="127"/>
  <c r="I193" i="127"/>
  <c r="L193" i="127"/>
  <c r="F193" i="127"/>
  <c r="H194" i="127"/>
  <c r="K194" i="127"/>
  <c r="E194" i="127"/>
  <c r="I194" i="127"/>
  <c r="L194" i="127"/>
  <c r="F194" i="127"/>
  <c r="H195" i="127"/>
  <c r="K195" i="127"/>
  <c r="E195" i="127"/>
  <c r="I195" i="127"/>
  <c r="L195" i="127"/>
  <c r="F195" i="127"/>
  <c r="H196" i="127"/>
  <c r="K196" i="127"/>
  <c r="E196" i="127"/>
  <c r="I196" i="127"/>
  <c r="L196" i="127"/>
  <c r="F196" i="127"/>
  <c r="H197" i="127"/>
  <c r="K197" i="127"/>
  <c r="E197" i="127"/>
  <c r="I197" i="127"/>
  <c r="L197" i="127"/>
  <c r="F197" i="127"/>
  <c r="H198" i="127"/>
  <c r="K198" i="127"/>
  <c r="E198" i="127"/>
  <c r="I198" i="127"/>
  <c r="L198" i="127"/>
  <c r="F198" i="127"/>
  <c r="H199" i="127"/>
  <c r="K199" i="127"/>
  <c r="E199" i="127"/>
  <c r="I199" i="127"/>
  <c r="L199" i="127"/>
  <c r="F199" i="127"/>
  <c r="H200" i="127"/>
  <c r="K200" i="127"/>
  <c r="E200" i="127"/>
  <c r="I200" i="127"/>
  <c r="L200" i="127"/>
  <c r="F200" i="127"/>
  <c r="H201" i="127"/>
  <c r="K201" i="127"/>
  <c r="E201" i="127"/>
  <c r="I201" i="127"/>
  <c r="L201" i="127"/>
  <c r="F201" i="127"/>
  <c r="H202" i="127"/>
  <c r="K202" i="127"/>
  <c r="E202" i="127"/>
  <c r="I202" i="127"/>
  <c r="L202" i="127"/>
  <c r="F202" i="127"/>
  <c r="H203" i="127"/>
  <c r="K203" i="127"/>
  <c r="E203" i="127"/>
  <c r="I203" i="127"/>
  <c r="L203" i="127"/>
  <c r="F203" i="127"/>
  <c r="H206" i="127"/>
  <c r="K206" i="127"/>
  <c r="E206" i="127"/>
  <c r="I206" i="127"/>
  <c r="L206" i="127"/>
  <c r="F206" i="127"/>
  <c r="H207" i="127"/>
  <c r="K207" i="127"/>
  <c r="E207" i="127"/>
  <c r="I207" i="127"/>
  <c r="L207" i="127"/>
  <c r="F207" i="127"/>
  <c r="H208" i="127"/>
  <c r="K208" i="127"/>
  <c r="E208" i="127"/>
  <c r="I208" i="127"/>
  <c r="L208" i="127"/>
  <c r="F208" i="127"/>
  <c r="H210" i="127"/>
  <c r="K210" i="127"/>
  <c r="E210" i="127"/>
  <c r="I210" i="127"/>
  <c r="L210" i="127"/>
  <c r="F210" i="127"/>
  <c r="H211" i="127"/>
  <c r="K211" i="127"/>
  <c r="E211" i="127"/>
  <c r="I211" i="127"/>
  <c r="L211" i="127"/>
  <c r="F211" i="127"/>
  <c r="H212" i="127"/>
  <c r="K212" i="127"/>
  <c r="E212" i="127"/>
  <c r="I212" i="127"/>
  <c r="L212" i="127"/>
  <c r="F212" i="127"/>
  <c r="H213" i="127"/>
  <c r="K213" i="127"/>
  <c r="E213" i="127"/>
  <c r="I213" i="127"/>
  <c r="L213" i="127"/>
  <c r="F213" i="127"/>
  <c r="H214" i="127"/>
  <c r="K214" i="127"/>
  <c r="E214" i="127"/>
  <c r="I214" i="127"/>
  <c r="L214" i="127"/>
  <c r="F214" i="127"/>
  <c r="H215" i="127"/>
  <c r="K215" i="127"/>
  <c r="E215" i="127"/>
  <c r="I215" i="127"/>
  <c r="L215" i="127"/>
  <c r="F215" i="127"/>
  <c r="H216" i="127"/>
  <c r="K216" i="127"/>
  <c r="E216" i="127"/>
  <c r="I216" i="127"/>
  <c r="L216" i="127"/>
  <c r="F216" i="127"/>
  <c r="H217" i="127"/>
  <c r="K217" i="127"/>
  <c r="E217" i="127"/>
  <c r="I217" i="127"/>
  <c r="L217" i="127"/>
  <c r="F217" i="127"/>
  <c r="H218" i="127"/>
  <c r="K218" i="127"/>
  <c r="E218" i="127"/>
  <c r="I218" i="127"/>
  <c r="L218" i="127"/>
  <c r="F218" i="127"/>
  <c r="H219" i="127"/>
  <c r="K219" i="127"/>
  <c r="E219" i="127"/>
  <c r="I219" i="127"/>
  <c r="L219" i="127"/>
  <c r="F219" i="127"/>
  <c r="H221" i="127"/>
  <c r="K221" i="127"/>
  <c r="E221" i="127"/>
  <c r="I221" i="127"/>
  <c r="L221" i="127"/>
  <c r="F221" i="127"/>
  <c r="H222" i="127"/>
  <c r="K222" i="127"/>
  <c r="E222" i="127"/>
  <c r="I222" i="127"/>
  <c r="L222" i="127"/>
  <c r="F222" i="127"/>
  <c r="H223" i="127"/>
  <c r="K223" i="127"/>
  <c r="E223" i="127"/>
  <c r="I223" i="127"/>
  <c r="L223" i="127"/>
  <c r="F223" i="127"/>
  <c r="H224" i="127"/>
  <c r="K224" i="127"/>
  <c r="E224" i="127"/>
  <c r="I224" i="127"/>
  <c r="L224" i="127"/>
  <c r="F224" i="127"/>
  <c r="H226" i="127"/>
  <c r="K226" i="127"/>
  <c r="E226" i="127"/>
  <c r="I226" i="127"/>
  <c r="L226" i="127"/>
  <c r="H227" i="127"/>
  <c r="K227" i="127"/>
  <c r="E227" i="127"/>
  <c r="I227" i="127"/>
  <c r="L227" i="127"/>
  <c r="F227" i="127"/>
  <c r="H228" i="127"/>
  <c r="K228" i="127"/>
  <c r="E228" i="127"/>
  <c r="I228" i="127"/>
  <c r="L228" i="127"/>
  <c r="F228" i="127"/>
  <c r="H230" i="127"/>
  <c r="K230" i="127"/>
  <c r="E230" i="127"/>
  <c r="I230" i="127"/>
  <c r="L230" i="127"/>
  <c r="F230" i="127"/>
  <c r="H231" i="127"/>
  <c r="K231" i="127"/>
  <c r="E231" i="127"/>
  <c r="I231" i="127"/>
  <c r="L231" i="127"/>
  <c r="F231" i="127"/>
  <c r="H232" i="127"/>
  <c r="K232" i="127"/>
  <c r="E232" i="127"/>
  <c r="I232" i="127"/>
  <c r="L232" i="127"/>
  <c r="F232" i="127"/>
  <c r="H233" i="127"/>
  <c r="K233" i="127"/>
  <c r="E233" i="127"/>
  <c r="I233" i="127"/>
  <c r="L233" i="127"/>
  <c r="F233" i="127"/>
  <c r="H234" i="127"/>
  <c r="K234" i="127"/>
  <c r="E234" i="127"/>
  <c r="I234" i="127"/>
  <c r="L234" i="127"/>
  <c r="F234" i="127"/>
  <c r="H132" i="118"/>
  <c r="K132" i="118"/>
  <c r="E132" i="118"/>
  <c r="I132" i="118"/>
  <c r="L132" i="118"/>
  <c r="F132" i="118"/>
  <c r="I129" i="118"/>
  <c r="L129" i="118"/>
  <c r="F129" i="118"/>
  <c r="H173" i="118"/>
  <c r="K173" i="118"/>
  <c r="I173" i="118"/>
  <c r="L173" i="118"/>
  <c r="H129" i="118"/>
  <c r="K129" i="118"/>
  <c r="E129" i="118"/>
  <c r="H130" i="118"/>
  <c r="K130" i="118"/>
  <c r="E130" i="118"/>
  <c r="I130" i="118"/>
  <c r="L130" i="118"/>
  <c r="F130" i="118"/>
  <c r="H131" i="118"/>
  <c r="K131" i="118"/>
  <c r="E131" i="118"/>
  <c r="I131" i="118"/>
  <c r="L131" i="118"/>
  <c r="F131" i="118"/>
  <c r="H133" i="118"/>
  <c r="K133" i="118"/>
  <c r="E133" i="118"/>
  <c r="I133" i="118"/>
  <c r="L133" i="118"/>
  <c r="F133" i="118"/>
  <c r="H134" i="118"/>
  <c r="K134" i="118"/>
  <c r="E134" i="118"/>
  <c r="I134" i="118"/>
  <c r="L134" i="118"/>
  <c r="F134" i="118"/>
  <c r="H135" i="118"/>
  <c r="K135" i="118"/>
  <c r="E135" i="118"/>
  <c r="I135" i="118"/>
  <c r="L135" i="118"/>
  <c r="F135" i="118"/>
  <c r="H136" i="118"/>
  <c r="K136" i="118"/>
  <c r="E136" i="118"/>
  <c r="I136" i="118"/>
  <c r="L136" i="118"/>
  <c r="F136" i="118"/>
  <c r="H137" i="118"/>
  <c r="K137" i="118"/>
  <c r="E137" i="118"/>
  <c r="I137" i="118"/>
  <c r="L137" i="118"/>
  <c r="F137" i="118"/>
  <c r="H138" i="118"/>
  <c r="K138" i="118"/>
  <c r="E138" i="118"/>
  <c r="I138" i="118"/>
  <c r="L138" i="118"/>
  <c r="F138" i="118"/>
  <c r="H139" i="118"/>
  <c r="K139" i="118"/>
  <c r="E139" i="118"/>
  <c r="I139" i="118"/>
  <c r="L139" i="118"/>
  <c r="F139" i="118"/>
  <c r="H140" i="118"/>
  <c r="K140" i="118"/>
  <c r="E140" i="118"/>
  <c r="I140" i="118"/>
  <c r="L140" i="118"/>
  <c r="F140" i="118"/>
  <c r="H141" i="118"/>
  <c r="K141" i="118"/>
  <c r="E141" i="118"/>
  <c r="I141" i="118"/>
  <c r="L141" i="118"/>
  <c r="F141" i="118"/>
  <c r="H142" i="118"/>
  <c r="K142" i="118"/>
  <c r="I142" i="118"/>
  <c r="L142" i="118"/>
  <c r="H143" i="118"/>
  <c r="K143" i="118"/>
  <c r="E143" i="118"/>
  <c r="I143" i="118"/>
  <c r="L143" i="118"/>
  <c r="F143" i="118"/>
  <c r="H144" i="118"/>
  <c r="K144" i="118"/>
  <c r="E144" i="118"/>
  <c r="I144" i="118"/>
  <c r="L144" i="118"/>
  <c r="F144" i="118"/>
  <c r="H145" i="118"/>
  <c r="K145" i="118"/>
  <c r="E145" i="118"/>
  <c r="I145" i="118"/>
  <c r="L145" i="118"/>
  <c r="F145" i="118"/>
  <c r="H146" i="118"/>
  <c r="K146" i="118"/>
  <c r="E146" i="118"/>
  <c r="I146" i="118"/>
  <c r="L146" i="118"/>
  <c r="F146" i="118"/>
  <c r="H147" i="118"/>
  <c r="K147" i="118"/>
  <c r="E147" i="118"/>
  <c r="I147" i="118"/>
  <c r="L147" i="118"/>
  <c r="F147" i="118"/>
  <c r="H148" i="118"/>
  <c r="K148" i="118"/>
  <c r="E148" i="118"/>
  <c r="I148" i="118"/>
  <c r="L148" i="118"/>
  <c r="F148" i="118"/>
  <c r="H149" i="118"/>
  <c r="K149" i="118"/>
  <c r="E149" i="118"/>
  <c r="I149" i="118"/>
  <c r="L149" i="118"/>
  <c r="F149" i="118"/>
  <c r="H150" i="118"/>
  <c r="K150" i="118"/>
  <c r="E150" i="118"/>
  <c r="I150" i="118"/>
  <c r="L150" i="118"/>
  <c r="F150" i="118"/>
  <c r="H151" i="118"/>
  <c r="K151" i="118"/>
  <c r="E151" i="118"/>
  <c r="I151" i="118"/>
  <c r="L151" i="118"/>
  <c r="F151" i="118"/>
  <c r="H154" i="118"/>
  <c r="K154" i="118"/>
  <c r="E154" i="118"/>
  <c r="I154" i="118"/>
  <c r="L154" i="118"/>
  <c r="F154" i="118"/>
  <c r="H155" i="118"/>
  <c r="K155" i="118"/>
  <c r="E155" i="118"/>
  <c r="I155" i="118"/>
  <c r="L155" i="118"/>
  <c r="F155" i="118"/>
  <c r="H156" i="118"/>
  <c r="K156" i="118"/>
  <c r="E156" i="118"/>
  <c r="I156" i="118"/>
  <c r="L156" i="118"/>
  <c r="F156" i="118"/>
  <c r="H157" i="118"/>
  <c r="K157" i="118"/>
  <c r="E157" i="118"/>
  <c r="I157" i="118"/>
  <c r="L157" i="118"/>
  <c r="F157" i="118"/>
  <c r="H158" i="118"/>
  <c r="K158" i="118"/>
  <c r="E158" i="118"/>
  <c r="I158" i="118"/>
  <c r="L158" i="118"/>
  <c r="F158" i="118"/>
  <c r="H159" i="118"/>
  <c r="K159" i="118"/>
  <c r="E159" i="118"/>
  <c r="I159" i="118"/>
  <c r="L159" i="118"/>
  <c r="F159" i="118"/>
  <c r="H160" i="118"/>
  <c r="K160" i="118"/>
  <c r="E160" i="118"/>
  <c r="I160" i="118"/>
  <c r="L160" i="118"/>
  <c r="F160" i="118"/>
  <c r="H161" i="118"/>
  <c r="K161" i="118"/>
  <c r="E161" i="118"/>
  <c r="I161" i="118"/>
  <c r="L161" i="118"/>
  <c r="F161" i="118"/>
  <c r="H162" i="118"/>
  <c r="K162" i="118"/>
  <c r="E162" i="118"/>
  <c r="I162" i="118"/>
  <c r="L162" i="118"/>
  <c r="F162" i="118"/>
  <c r="H163" i="118"/>
  <c r="K163" i="118"/>
  <c r="E163" i="118"/>
  <c r="I163" i="118"/>
  <c r="L163" i="118"/>
  <c r="F163" i="118"/>
  <c r="H164" i="118"/>
  <c r="K164" i="118"/>
  <c r="E164" i="118"/>
  <c r="I164" i="118"/>
  <c r="L164" i="118"/>
  <c r="F164" i="118"/>
  <c r="H165" i="118"/>
  <c r="K165" i="118"/>
  <c r="E165" i="118"/>
  <c r="I165" i="118"/>
  <c r="L165" i="118"/>
  <c r="F165" i="118"/>
  <c r="H166" i="118"/>
  <c r="K166" i="118"/>
  <c r="E166" i="118"/>
  <c r="I166" i="118"/>
  <c r="L166" i="118"/>
  <c r="F166" i="118"/>
  <c r="H167" i="118"/>
  <c r="K167" i="118"/>
  <c r="E167" i="118"/>
  <c r="I167" i="118"/>
  <c r="L167" i="118"/>
  <c r="F167" i="118"/>
  <c r="H168" i="118"/>
  <c r="K168" i="118"/>
  <c r="E168" i="118"/>
  <c r="I168" i="118"/>
  <c r="L168" i="118"/>
  <c r="F168" i="118"/>
  <c r="H169" i="118"/>
  <c r="K169" i="118"/>
  <c r="E169" i="118"/>
  <c r="I169" i="118"/>
  <c r="L169" i="118"/>
  <c r="F169" i="118"/>
  <c r="H170" i="118"/>
  <c r="K170" i="118"/>
  <c r="E170" i="118"/>
  <c r="I170" i="118"/>
  <c r="L170" i="118"/>
  <c r="F170" i="118"/>
  <c r="H171" i="118"/>
  <c r="K171" i="118"/>
  <c r="E171" i="118"/>
  <c r="I171" i="118"/>
  <c r="L171" i="118"/>
  <c r="F171" i="118"/>
  <c r="H172" i="118"/>
  <c r="K172" i="118"/>
  <c r="E172" i="118"/>
  <c r="I172" i="118"/>
  <c r="L172" i="118"/>
  <c r="F172" i="118"/>
  <c r="H174" i="118"/>
  <c r="K174" i="118"/>
  <c r="I174" i="118"/>
  <c r="L174" i="118"/>
  <c r="H175" i="118"/>
  <c r="K175" i="118"/>
  <c r="E175" i="118"/>
  <c r="I175" i="118"/>
  <c r="L175" i="118"/>
  <c r="F175" i="118"/>
  <c r="H176" i="118"/>
  <c r="K176" i="118"/>
  <c r="E176" i="118"/>
  <c r="I176" i="118"/>
  <c r="L176" i="118"/>
  <c r="F176" i="118"/>
  <c r="H177" i="118"/>
  <c r="K177" i="118"/>
  <c r="E177" i="118"/>
  <c r="I177" i="118"/>
  <c r="L177" i="118"/>
  <c r="F177" i="118"/>
  <c r="H178" i="118"/>
  <c r="K178" i="118"/>
  <c r="E178" i="118"/>
  <c r="I178" i="118"/>
  <c r="L178" i="118"/>
  <c r="F178" i="118"/>
  <c r="H179" i="118"/>
  <c r="K179" i="118"/>
  <c r="E179" i="118"/>
  <c r="I179" i="118"/>
  <c r="L179" i="118"/>
  <c r="F179" i="118"/>
  <c r="H180" i="118"/>
  <c r="K180" i="118"/>
  <c r="E180" i="118"/>
  <c r="I180" i="118"/>
  <c r="L180" i="118"/>
  <c r="F180" i="118"/>
  <c r="H181" i="118"/>
  <c r="K181" i="118"/>
  <c r="E181" i="118"/>
  <c r="I181" i="118"/>
  <c r="L181" i="118"/>
  <c r="F181" i="118"/>
  <c r="H182" i="118"/>
  <c r="K182" i="118"/>
  <c r="E182" i="118"/>
  <c r="I182" i="118"/>
  <c r="L182" i="118"/>
  <c r="F182" i="118"/>
  <c r="H183" i="118"/>
  <c r="K183" i="118"/>
  <c r="E183" i="118"/>
  <c r="I183" i="118"/>
  <c r="L183" i="118"/>
  <c r="F183" i="118"/>
  <c r="H184" i="118"/>
  <c r="K184" i="118"/>
  <c r="E184" i="118"/>
  <c r="I184" i="118"/>
  <c r="L184" i="118"/>
  <c r="F184" i="118"/>
  <c r="H185" i="118"/>
  <c r="K185" i="118"/>
  <c r="E185" i="118"/>
  <c r="I185" i="118"/>
  <c r="L185" i="118"/>
  <c r="F185" i="118"/>
  <c r="H186" i="118"/>
  <c r="K186" i="118"/>
  <c r="E186" i="118"/>
  <c r="I186" i="118"/>
  <c r="L186" i="118"/>
  <c r="F186" i="118"/>
  <c r="H187" i="118"/>
  <c r="K187" i="118"/>
  <c r="E187" i="118"/>
  <c r="I187" i="118"/>
  <c r="L187" i="118"/>
  <c r="F187" i="118"/>
  <c r="H188" i="118"/>
  <c r="K188" i="118"/>
  <c r="E188" i="118"/>
  <c r="I188" i="118"/>
  <c r="L188" i="118"/>
  <c r="F188" i="118"/>
  <c r="H189" i="118"/>
  <c r="K189" i="118"/>
  <c r="E189" i="118"/>
  <c r="I189" i="118"/>
  <c r="L189" i="118"/>
  <c r="F189" i="118"/>
  <c r="H190" i="118"/>
  <c r="K190" i="118"/>
  <c r="E190" i="118"/>
  <c r="I190" i="118"/>
  <c r="L190" i="118"/>
  <c r="F190" i="118"/>
  <c r="H191" i="118"/>
  <c r="K191" i="118"/>
  <c r="E191" i="118"/>
  <c r="I191" i="118"/>
  <c r="L191" i="118"/>
  <c r="F191" i="118"/>
  <c r="H192" i="118"/>
  <c r="K192" i="118"/>
  <c r="E192" i="118"/>
  <c r="I192" i="118"/>
  <c r="L192" i="118"/>
  <c r="F192" i="118"/>
  <c r="H193" i="118"/>
  <c r="K193" i="118"/>
  <c r="E193" i="118"/>
  <c r="I193" i="118"/>
  <c r="L193" i="118"/>
  <c r="F193" i="118"/>
  <c r="H194" i="118"/>
  <c r="K194" i="118"/>
  <c r="E194" i="118"/>
  <c r="I194" i="118"/>
  <c r="L194" i="118"/>
  <c r="F194" i="118"/>
  <c r="H197" i="118"/>
  <c r="K197" i="118"/>
  <c r="E197" i="118"/>
  <c r="I197" i="118"/>
  <c r="L197" i="118"/>
  <c r="F197" i="118"/>
  <c r="H198" i="118"/>
  <c r="K198" i="118"/>
  <c r="E198" i="118"/>
  <c r="I198" i="118"/>
  <c r="L198" i="118"/>
  <c r="F198" i="118"/>
  <c r="H199" i="118"/>
  <c r="K199" i="118"/>
  <c r="E199" i="118"/>
  <c r="I199" i="118"/>
  <c r="L199" i="118"/>
  <c r="F199" i="118"/>
  <c r="H201" i="118"/>
  <c r="K201" i="118"/>
  <c r="E201" i="118"/>
  <c r="I201" i="118"/>
  <c r="L201" i="118"/>
  <c r="F201" i="118"/>
  <c r="H202" i="118"/>
  <c r="K202" i="118"/>
  <c r="E202" i="118"/>
  <c r="I202" i="118"/>
  <c r="L202" i="118"/>
  <c r="F202" i="118"/>
  <c r="H203" i="118"/>
  <c r="K203" i="118"/>
  <c r="E203" i="118"/>
  <c r="I203" i="118"/>
  <c r="L203" i="118"/>
  <c r="F203" i="118"/>
  <c r="H204" i="118"/>
  <c r="K204" i="118"/>
  <c r="E204" i="118"/>
  <c r="I204" i="118"/>
  <c r="L204" i="118"/>
  <c r="F204" i="118"/>
  <c r="H205" i="118"/>
  <c r="K205" i="118"/>
  <c r="E205" i="118"/>
  <c r="I205" i="118"/>
  <c r="L205" i="118"/>
  <c r="F205" i="118"/>
  <c r="H206" i="118"/>
  <c r="K206" i="118"/>
  <c r="E206" i="118"/>
  <c r="I206" i="118"/>
  <c r="L206" i="118"/>
  <c r="F206" i="118"/>
  <c r="H207" i="118"/>
  <c r="K207" i="118"/>
  <c r="E207" i="118"/>
  <c r="I207" i="118"/>
  <c r="L207" i="118"/>
  <c r="F207" i="118"/>
  <c r="H208" i="118"/>
  <c r="K208" i="118"/>
  <c r="E208" i="118"/>
  <c r="I208" i="118"/>
  <c r="L208" i="118"/>
  <c r="F208" i="118"/>
  <c r="H209" i="118"/>
  <c r="K209" i="118"/>
  <c r="E209" i="118"/>
  <c r="I209" i="118"/>
  <c r="L209" i="118"/>
  <c r="F209" i="118"/>
  <c r="H210" i="118"/>
  <c r="K210" i="118"/>
  <c r="E210" i="118"/>
  <c r="I210" i="118"/>
  <c r="L210" i="118"/>
  <c r="F210" i="118"/>
  <c r="H212" i="118"/>
  <c r="K212" i="118"/>
  <c r="E212" i="118"/>
  <c r="I212" i="118"/>
  <c r="L212" i="118"/>
  <c r="F212" i="118"/>
  <c r="H213" i="118"/>
  <c r="K213" i="118"/>
  <c r="E213" i="118"/>
  <c r="I213" i="118"/>
  <c r="L213" i="118"/>
  <c r="F213" i="118"/>
  <c r="H214" i="118"/>
  <c r="K214" i="118"/>
  <c r="E214" i="118"/>
  <c r="I214" i="118"/>
  <c r="L214" i="118"/>
  <c r="F214" i="118"/>
  <c r="H215" i="118"/>
  <c r="K215" i="118"/>
  <c r="E215" i="118"/>
  <c r="I215" i="118"/>
  <c r="L215" i="118"/>
  <c r="F215" i="118"/>
  <c r="H217" i="118"/>
  <c r="K217" i="118"/>
  <c r="E217" i="118"/>
  <c r="I217" i="118"/>
  <c r="L217" i="118"/>
  <c r="H218" i="118"/>
  <c r="K218" i="118"/>
  <c r="E218" i="118"/>
  <c r="I218" i="118"/>
  <c r="L218" i="118"/>
  <c r="F218" i="118"/>
  <c r="H219" i="118"/>
  <c r="K219" i="118"/>
  <c r="E219" i="118"/>
  <c r="I219" i="118"/>
  <c r="L219" i="118"/>
  <c r="F219" i="118"/>
  <c r="H221" i="118"/>
  <c r="K221" i="118"/>
  <c r="E221" i="118"/>
  <c r="I221" i="118"/>
  <c r="L221" i="118"/>
  <c r="F221" i="118"/>
  <c r="H222" i="118"/>
  <c r="K222" i="118"/>
  <c r="E222" i="118"/>
  <c r="I222" i="118"/>
  <c r="L222" i="118"/>
  <c r="F222" i="118"/>
  <c r="H223" i="118"/>
  <c r="K223" i="118"/>
  <c r="E223" i="118"/>
  <c r="I223" i="118"/>
  <c r="L223" i="118"/>
  <c r="F223" i="118"/>
  <c r="H224" i="118"/>
  <c r="K224" i="118"/>
  <c r="E224" i="118"/>
  <c r="I224" i="118"/>
  <c r="L224" i="118"/>
  <c r="F224" i="118"/>
  <c r="H225" i="118"/>
  <c r="K225" i="118"/>
  <c r="E225" i="118"/>
  <c r="I225" i="118"/>
  <c r="L225" i="118"/>
  <c r="F225" i="118"/>
  <c r="A45" i="118"/>
  <c r="A44" i="118"/>
  <c r="F45" i="118"/>
  <c r="H132" i="117"/>
  <c r="K132" i="117"/>
  <c r="E132" i="117"/>
  <c r="I132" i="117"/>
  <c r="L132" i="117"/>
  <c r="F132" i="117"/>
  <c r="I129" i="117"/>
  <c r="L129" i="117"/>
  <c r="F129" i="117"/>
  <c r="H173" i="117"/>
  <c r="K173" i="117"/>
  <c r="I173" i="117"/>
  <c r="L173" i="117"/>
  <c r="H129" i="117"/>
  <c r="K129" i="117"/>
  <c r="E129" i="117"/>
  <c r="H130" i="117"/>
  <c r="K130" i="117"/>
  <c r="E130" i="117"/>
  <c r="I130" i="117"/>
  <c r="L130" i="117"/>
  <c r="F130" i="117"/>
  <c r="H131" i="117"/>
  <c r="K131" i="117"/>
  <c r="E131" i="117"/>
  <c r="I131" i="117"/>
  <c r="L131" i="117"/>
  <c r="F131" i="117"/>
  <c r="H133" i="117"/>
  <c r="K133" i="117"/>
  <c r="E133" i="117"/>
  <c r="I133" i="117"/>
  <c r="L133" i="117"/>
  <c r="F133" i="117"/>
  <c r="H134" i="117"/>
  <c r="K134" i="117"/>
  <c r="E134" i="117"/>
  <c r="I134" i="117"/>
  <c r="L134" i="117"/>
  <c r="F134" i="117"/>
  <c r="H135" i="117"/>
  <c r="K135" i="117"/>
  <c r="E135" i="117"/>
  <c r="I135" i="117"/>
  <c r="L135" i="117"/>
  <c r="F135" i="117"/>
  <c r="H136" i="117"/>
  <c r="K136" i="117"/>
  <c r="E136" i="117"/>
  <c r="I136" i="117"/>
  <c r="L136" i="117"/>
  <c r="F136" i="117"/>
  <c r="H137" i="117"/>
  <c r="K137" i="117"/>
  <c r="E137" i="117"/>
  <c r="I137" i="117"/>
  <c r="L137" i="117"/>
  <c r="F137" i="117"/>
  <c r="H138" i="117"/>
  <c r="K138" i="117"/>
  <c r="E138" i="117"/>
  <c r="I138" i="117"/>
  <c r="L138" i="117"/>
  <c r="F138" i="117"/>
  <c r="H139" i="117"/>
  <c r="K139" i="117"/>
  <c r="E139" i="117"/>
  <c r="I139" i="117"/>
  <c r="L139" i="117"/>
  <c r="F139" i="117"/>
  <c r="H140" i="117"/>
  <c r="K140" i="117"/>
  <c r="E140" i="117"/>
  <c r="I140" i="117"/>
  <c r="L140" i="117"/>
  <c r="F140" i="117"/>
  <c r="H141" i="117"/>
  <c r="K141" i="117"/>
  <c r="E141" i="117"/>
  <c r="I141" i="117"/>
  <c r="L141" i="117"/>
  <c r="F141" i="117"/>
  <c r="H142" i="117"/>
  <c r="K142" i="117"/>
  <c r="I142" i="117"/>
  <c r="L142" i="117"/>
  <c r="H143" i="117"/>
  <c r="K143" i="117"/>
  <c r="E143" i="117"/>
  <c r="I143" i="117"/>
  <c r="L143" i="117"/>
  <c r="F143" i="117"/>
  <c r="H144" i="117"/>
  <c r="K144" i="117"/>
  <c r="E144" i="117"/>
  <c r="I144" i="117"/>
  <c r="L144" i="117"/>
  <c r="F144" i="117"/>
  <c r="H145" i="117"/>
  <c r="K145" i="117"/>
  <c r="E145" i="117"/>
  <c r="I145" i="117"/>
  <c r="L145" i="117"/>
  <c r="F145" i="117"/>
  <c r="H146" i="117"/>
  <c r="K146" i="117"/>
  <c r="E146" i="117"/>
  <c r="I146" i="117"/>
  <c r="L146" i="117"/>
  <c r="F146" i="117"/>
  <c r="H147" i="117"/>
  <c r="K147" i="117"/>
  <c r="E147" i="117"/>
  <c r="I147" i="117"/>
  <c r="L147" i="117"/>
  <c r="F147" i="117"/>
  <c r="H148" i="117"/>
  <c r="K148" i="117"/>
  <c r="E148" i="117"/>
  <c r="I148" i="117"/>
  <c r="L148" i="117"/>
  <c r="F148" i="117"/>
  <c r="H149" i="117"/>
  <c r="K149" i="117"/>
  <c r="E149" i="117"/>
  <c r="I149" i="117"/>
  <c r="L149" i="117"/>
  <c r="F149" i="117"/>
  <c r="H150" i="117"/>
  <c r="K150" i="117"/>
  <c r="E150" i="117"/>
  <c r="I150" i="117"/>
  <c r="L150" i="117"/>
  <c r="F150" i="117"/>
  <c r="H151" i="117"/>
  <c r="K151" i="117"/>
  <c r="E151" i="117"/>
  <c r="I151" i="117"/>
  <c r="L151" i="117"/>
  <c r="F151" i="117"/>
  <c r="H154" i="117"/>
  <c r="K154" i="117"/>
  <c r="E154" i="117"/>
  <c r="I154" i="117"/>
  <c r="L154" i="117"/>
  <c r="F154" i="117"/>
  <c r="H155" i="117"/>
  <c r="K155" i="117"/>
  <c r="E155" i="117"/>
  <c r="I155" i="117"/>
  <c r="L155" i="117"/>
  <c r="F155" i="117"/>
  <c r="H156" i="117"/>
  <c r="K156" i="117"/>
  <c r="E156" i="117"/>
  <c r="I156" i="117"/>
  <c r="L156" i="117"/>
  <c r="F156" i="117"/>
  <c r="H157" i="117"/>
  <c r="K157" i="117"/>
  <c r="E157" i="117"/>
  <c r="I157" i="117"/>
  <c r="L157" i="117"/>
  <c r="F157" i="117"/>
  <c r="H158" i="117"/>
  <c r="K158" i="117"/>
  <c r="E158" i="117"/>
  <c r="I158" i="117"/>
  <c r="L158" i="117"/>
  <c r="F158" i="117"/>
  <c r="H159" i="117"/>
  <c r="K159" i="117"/>
  <c r="E159" i="117"/>
  <c r="I159" i="117"/>
  <c r="L159" i="117"/>
  <c r="F159" i="117"/>
  <c r="H160" i="117"/>
  <c r="K160" i="117"/>
  <c r="E160" i="117"/>
  <c r="I160" i="117"/>
  <c r="L160" i="117"/>
  <c r="F160" i="117"/>
  <c r="H161" i="117"/>
  <c r="K161" i="117"/>
  <c r="E161" i="117"/>
  <c r="I161" i="117"/>
  <c r="L161" i="117"/>
  <c r="F161" i="117"/>
  <c r="H162" i="117"/>
  <c r="K162" i="117"/>
  <c r="E162" i="117"/>
  <c r="I162" i="117"/>
  <c r="L162" i="117"/>
  <c r="F162" i="117"/>
  <c r="H163" i="117"/>
  <c r="K163" i="117"/>
  <c r="E163" i="117"/>
  <c r="I163" i="117"/>
  <c r="L163" i="117"/>
  <c r="F163" i="117"/>
  <c r="H164" i="117"/>
  <c r="K164" i="117"/>
  <c r="E164" i="117"/>
  <c r="I164" i="117"/>
  <c r="L164" i="117"/>
  <c r="F164" i="117"/>
  <c r="H165" i="117"/>
  <c r="K165" i="117"/>
  <c r="E165" i="117"/>
  <c r="I165" i="117"/>
  <c r="L165" i="117"/>
  <c r="F165" i="117"/>
  <c r="H166" i="117"/>
  <c r="K166" i="117"/>
  <c r="E166" i="117"/>
  <c r="I166" i="117"/>
  <c r="L166" i="117"/>
  <c r="F166" i="117"/>
  <c r="H167" i="117"/>
  <c r="K167" i="117"/>
  <c r="E167" i="117"/>
  <c r="I167" i="117"/>
  <c r="L167" i="117"/>
  <c r="F167" i="117"/>
  <c r="H168" i="117"/>
  <c r="K168" i="117"/>
  <c r="E168" i="117"/>
  <c r="I168" i="117"/>
  <c r="L168" i="117"/>
  <c r="F168" i="117"/>
  <c r="H169" i="117"/>
  <c r="K169" i="117"/>
  <c r="E169" i="117"/>
  <c r="I169" i="117"/>
  <c r="L169" i="117"/>
  <c r="F169" i="117"/>
  <c r="H170" i="117"/>
  <c r="K170" i="117"/>
  <c r="E170" i="117"/>
  <c r="I170" i="117"/>
  <c r="L170" i="117"/>
  <c r="F170" i="117"/>
  <c r="H171" i="117"/>
  <c r="K171" i="117"/>
  <c r="E171" i="117"/>
  <c r="I171" i="117"/>
  <c r="L171" i="117"/>
  <c r="F171" i="117"/>
  <c r="H172" i="117"/>
  <c r="K172" i="117"/>
  <c r="E172" i="117"/>
  <c r="I172" i="117"/>
  <c r="L172" i="117"/>
  <c r="F172" i="117"/>
  <c r="H174" i="117"/>
  <c r="K174" i="117"/>
  <c r="I174" i="117"/>
  <c r="L174" i="117"/>
  <c r="H175" i="117"/>
  <c r="K175" i="117"/>
  <c r="E175" i="117"/>
  <c r="I175" i="117"/>
  <c r="L175" i="117"/>
  <c r="F175" i="117"/>
  <c r="H176" i="117"/>
  <c r="K176" i="117"/>
  <c r="E176" i="117"/>
  <c r="I176" i="117"/>
  <c r="L176" i="117"/>
  <c r="F176" i="117"/>
  <c r="H177" i="117"/>
  <c r="K177" i="117"/>
  <c r="E177" i="117"/>
  <c r="I177" i="117"/>
  <c r="L177" i="117"/>
  <c r="F177" i="117"/>
  <c r="H178" i="117"/>
  <c r="K178" i="117"/>
  <c r="E178" i="117"/>
  <c r="I178" i="117"/>
  <c r="L178" i="117"/>
  <c r="F178" i="117"/>
  <c r="H179" i="117"/>
  <c r="K179" i="117"/>
  <c r="E179" i="117"/>
  <c r="I179" i="117"/>
  <c r="L179" i="117"/>
  <c r="F179" i="117"/>
  <c r="H180" i="117"/>
  <c r="K180" i="117"/>
  <c r="E180" i="117"/>
  <c r="I180" i="117"/>
  <c r="L180" i="117"/>
  <c r="F180" i="117"/>
  <c r="H181" i="117"/>
  <c r="K181" i="117"/>
  <c r="E181" i="117"/>
  <c r="I181" i="117"/>
  <c r="L181" i="117"/>
  <c r="F181" i="117"/>
  <c r="H182" i="117"/>
  <c r="K182" i="117"/>
  <c r="E182" i="117"/>
  <c r="I182" i="117"/>
  <c r="L182" i="117"/>
  <c r="F182" i="117"/>
  <c r="H183" i="117"/>
  <c r="K183" i="117"/>
  <c r="E183" i="117"/>
  <c r="I183" i="117"/>
  <c r="L183" i="117"/>
  <c r="F183" i="117"/>
  <c r="H184" i="117"/>
  <c r="K184" i="117"/>
  <c r="E184" i="117"/>
  <c r="I184" i="117"/>
  <c r="L184" i="117"/>
  <c r="F184" i="117"/>
  <c r="H185" i="117"/>
  <c r="K185" i="117"/>
  <c r="E185" i="117"/>
  <c r="I185" i="117"/>
  <c r="L185" i="117"/>
  <c r="F185" i="117"/>
  <c r="H186" i="117"/>
  <c r="K186" i="117"/>
  <c r="E186" i="117"/>
  <c r="I186" i="117"/>
  <c r="L186" i="117"/>
  <c r="F186" i="117"/>
  <c r="H187" i="117"/>
  <c r="K187" i="117"/>
  <c r="E187" i="117"/>
  <c r="I187" i="117"/>
  <c r="L187" i="117"/>
  <c r="F187" i="117"/>
  <c r="H188" i="117"/>
  <c r="K188" i="117"/>
  <c r="E188" i="117"/>
  <c r="I188" i="117"/>
  <c r="L188" i="117"/>
  <c r="F188" i="117"/>
  <c r="H189" i="117"/>
  <c r="K189" i="117"/>
  <c r="E189" i="117"/>
  <c r="I189" i="117"/>
  <c r="L189" i="117"/>
  <c r="F189" i="117"/>
  <c r="H190" i="117"/>
  <c r="K190" i="117"/>
  <c r="E190" i="117"/>
  <c r="I190" i="117"/>
  <c r="L190" i="117"/>
  <c r="F190" i="117"/>
  <c r="H191" i="117"/>
  <c r="K191" i="117"/>
  <c r="E191" i="117"/>
  <c r="I191" i="117"/>
  <c r="L191" i="117"/>
  <c r="F191" i="117"/>
  <c r="H192" i="117"/>
  <c r="K192" i="117"/>
  <c r="E192" i="117"/>
  <c r="I192" i="117"/>
  <c r="L192" i="117"/>
  <c r="F192" i="117"/>
  <c r="H193" i="117"/>
  <c r="K193" i="117"/>
  <c r="E193" i="117"/>
  <c r="I193" i="117"/>
  <c r="L193" i="117"/>
  <c r="F193" i="117"/>
  <c r="H194" i="117"/>
  <c r="K194" i="117"/>
  <c r="E194" i="117"/>
  <c r="I194" i="117"/>
  <c r="L194" i="117"/>
  <c r="F194" i="117"/>
  <c r="H197" i="117"/>
  <c r="K197" i="117"/>
  <c r="E197" i="117"/>
  <c r="I197" i="117"/>
  <c r="L197" i="117"/>
  <c r="F197" i="117"/>
  <c r="H198" i="117"/>
  <c r="K198" i="117"/>
  <c r="E198" i="117"/>
  <c r="I198" i="117"/>
  <c r="L198" i="117"/>
  <c r="F198" i="117"/>
  <c r="H199" i="117"/>
  <c r="K199" i="117"/>
  <c r="E199" i="117"/>
  <c r="I199" i="117"/>
  <c r="L199" i="117"/>
  <c r="F199" i="117"/>
  <c r="H201" i="117"/>
  <c r="K201" i="117"/>
  <c r="E201" i="117"/>
  <c r="I201" i="117"/>
  <c r="L201" i="117"/>
  <c r="F201" i="117"/>
  <c r="H202" i="117"/>
  <c r="K202" i="117"/>
  <c r="E202" i="117"/>
  <c r="I202" i="117"/>
  <c r="L202" i="117"/>
  <c r="F202" i="117"/>
  <c r="H203" i="117"/>
  <c r="K203" i="117"/>
  <c r="E203" i="117"/>
  <c r="I203" i="117"/>
  <c r="L203" i="117"/>
  <c r="F203" i="117"/>
  <c r="H204" i="117"/>
  <c r="K204" i="117"/>
  <c r="E204" i="117"/>
  <c r="I204" i="117"/>
  <c r="L204" i="117"/>
  <c r="F204" i="117"/>
  <c r="H205" i="117"/>
  <c r="K205" i="117"/>
  <c r="E205" i="117"/>
  <c r="I205" i="117"/>
  <c r="L205" i="117"/>
  <c r="F205" i="117"/>
  <c r="H206" i="117"/>
  <c r="K206" i="117"/>
  <c r="E206" i="117"/>
  <c r="I206" i="117"/>
  <c r="L206" i="117"/>
  <c r="F206" i="117"/>
  <c r="H207" i="117"/>
  <c r="K207" i="117"/>
  <c r="E207" i="117"/>
  <c r="I207" i="117"/>
  <c r="L207" i="117"/>
  <c r="F207" i="117"/>
  <c r="H208" i="117"/>
  <c r="K208" i="117"/>
  <c r="E208" i="117"/>
  <c r="I208" i="117"/>
  <c r="L208" i="117"/>
  <c r="F208" i="117"/>
  <c r="H209" i="117"/>
  <c r="K209" i="117"/>
  <c r="E209" i="117"/>
  <c r="I209" i="117"/>
  <c r="L209" i="117"/>
  <c r="F209" i="117"/>
  <c r="H210" i="117"/>
  <c r="K210" i="117"/>
  <c r="E210" i="117"/>
  <c r="I210" i="117"/>
  <c r="L210" i="117"/>
  <c r="F210" i="117"/>
  <c r="H212" i="117"/>
  <c r="K212" i="117"/>
  <c r="E212" i="117"/>
  <c r="I212" i="117"/>
  <c r="L212" i="117"/>
  <c r="F212" i="117"/>
  <c r="H213" i="117"/>
  <c r="K213" i="117"/>
  <c r="E213" i="117"/>
  <c r="I213" i="117"/>
  <c r="L213" i="117"/>
  <c r="F213" i="117"/>
  <c r="H214" i="117"/>
  <c r="K214" i="117"/>
  <c r="E214" i="117"/>
  <c r="I214" i="117"/>
  <c r="L214" i="117"/>
  <c r="F214" i="117"/>
  <c r="H215" i="117"/>
  <c r="K215" i="117"/>
  <c r="E215" i="117"/>
  <c r="I215" i="117"/>
  <c r="L215" i="117"/>
  <c r="F215" i="117"/>
  <c r="H217" i="117"/>
  <c r="K217" i="117"/>
  <c r="E217" i="117"/>
  <c r="I217" i="117"/>
  <c r="L217" i="117"/>
  <c r="H218" i="117"/>
  <c r="K218" i="117"/>
  <c r="E218" i="117"/>
  <c r="I218" i="117"/>
  <c r="L218" i="117"/>
  <c r="F218" i="117"/>
  <c r="H219" i="117"/>
  <c r="K219" i="117"/>
  <c r="E219" i="117"/>
  <c r="I219" i="117"/>
  <c r="L219" i="117"/>
  <c r="F219" i="117"/>
  <c r="H221" i="117"/>
  <c r="K221" i="117"/>
  <c r="E221" i="117"/>
  <c r="I221" i="117"/>
  <c r="L221" i="117"/>
  <c r="F221" i="117"/>
  <c r="H222" i="117"/>
  <c r="K222" i="117"/>
  <c r="E222" i="117"/>
  <c r="I222" i="117"/>
  <c r="L222" i="117"/>
  <c r="F222" i="117"/>
  <c r="H223" i="117"/>
  <c r="K223" i="117"/>
  <c r="E223" i="117"/>
  <c r="I223" i="117"/>
  <c r="L223" i="117"/>
  <c r="F223" i="117"/>
  <c r="H224" i="117"/>
  <c r="K224" i="117"/>
  <c r="E224" i="117"/>
  <c r="I224" i="117"/>
  <c r="L224" i="117"/>
  <c r="F224" i="117"/>
  <c r="H225" i="117"/>
  <c r="K225" i="117"/>
  <c r="E225" i="117"/>
  <c r="I225" i="117"/>
  <c r="L225" i="117"/>
  <c r="F225" i="117"/>
  <c r="A42" i="117"/>
  <c r="F45" i="117"/>
  <c r="A43" i="117"/>
  <c r="BC115" i="114"/>
  <c r="E72" i="114"/>
  <c r="O33" i="114"/>
  <c r="O34" i="114"/>
  <c r="E157" i="114"/>
  <c r="I229" i="122"/>
  <c r="L229" i="122"/>
  <c r="F229" i="122"/>
  <c r="H229" i="122"/>
  <c r="K229" i="122"/>
  <c r="E229" i="122"/>
  <c r="I228" i="122"/>
  <c r="L228" i="122"/>
  <c r="F228" i="122"/>
  <c r="H228" i="122"/>
  <c r="K228" i="122"/>
  <c r="E228" i="122"/>
  <c r="I227" i="122"/>
  <c r="L227" i="122"/>
  <c r="F227" i="122"/>
  <c r="H227" i="122"/>
  <c r="K227" i="122"/>
  <c r="E227" i="122"/>
  <c r="I226" i="122"/>
  <c r="L226" i="122"/>
  <c r="F226" i="122"/>
  <c r="H226" i="122"/>
  <c r="K226" i="122"/>
  <c r="E226" i="122"/>
  <c r="I225" i="122"/>
  <c r="L225" i="122"/>
  <c r="F225" i="122"/>
  <c r="H225" i="122"/>
  <c r="K225" i="122"/>
  <c r="E225" i="122"/>
  <c r="I223" i="122"/>
  <c r="L223" i="122"/>
  <c r="F223" i="122"/>
  <c r="H223" i="122"/>
  <c r="K223" i="122"/>
  <c r="E223" i="122"/>
  <c r="I222" i="122"/>
  <c r="L222" i="122"/>
  <c r="F222" i="122"/>
  <c r="H222" i="122"/>
  <c r="K222" i="122"/>
  <c r="E222" i="122"/>
  <c r="I221" i="122"/>
  <c r="L221" i="122"/>
  <c r="H221" i="122"/>
  <c r="K221" i="122"/>
  <c r="E221" i="122"/>
  <c r="I219" i="122"/>
  <c r="L219" i="122"/>
  <c r="F219" i="122"/>
  <c r="H219" i="122"/>
  <c r="K219" i="122"/>
  <c r="E219" i="122"/>
  <c r="I218" i="122"/>
  <c r="L218" i="122"/>
  <c r="F218" i="122"/>
  <c r="H218" i="122"/>
  <c r="K218" i="122"/>
  <c r="E218" i="122"/>
  <c r="I217" i="122"/>
  <c r="L217" i="122"/>
  <c r="F217" i="122"/>
  <c r="H217" i="122"/>
  <c r="K217" i="122"/>
  <c r="E217" i="122"/>
  <c r="I216" i="122"/>
  <c r="L216" i="122"/>
  <c r="F216" i="122"/>
  <c r="H216" i="122"/>
  <c r="K216" i="122"/>
  <c r="E216" i="122"/>
  <c r="I214" i="122"/>
  <c r="L214" i="122"/>
  <c r="F214" i="122"/>
  <c r="H214" i="122"/>
  <c r="K214" i="122"/>
  <c r="E214" i="122"/>
  <c r="I213" i="122"/>
  <c r="L213" i="122"/>
  <c r="F213" i="122"/>
  <c r="H213" i="122"/>
  <c r="K213" i="122"/>
  <c r="E213" i="122"/>
  <c r="I212" i="122"/>
  <c r="L212" i="122"/>
  <c r="F212" i="122"/>
  <c r="H212" i="122"/>
  <c r="K212" i="122"/>
  <c r="E212" i="122"/>
  <c r="I211" i="122"/>
  <c r="L211" i="122"/>
  <c r="F211" i="122"/>
  <c r="H211" i="122"/>
  <c r="K211" i="122"/>
  <c r="E211" i="122"/>
  <c r="I210" i="122"/>
  <c r="L210" i="122"/>
  <c r="F210" i="122"/>
  <c r="H210" i="122"/>
  <c r="K210" i="122"/>
  <c r="E210" i="122"/>
  <c r="I209" i="122"/>
  <c r="L209" i="122"/>
  <c r="F209" i="122"/>
  <c r="H209" i="122"/>
  <c r="K209" i="122"/>
  <c r="E209" i="122"/>
  <c r="I208" i="122"/>
  <c r="L208" i="122"/>
  <c r="F208" i="122"/>
  <c r="H208" i="122"/>
  <c r="K208" i="122"/>
  <c r="E208" i="122"/>
  <c r="I207" i="122"/>
  <c r="L207" i="122"/>
  <c r="F207" i="122"/>
  <c r="H207" i="122"/>
  <c r="K207" i="122"/>
  <c r="E207" i="122"/>
  <c r="I206" i="122"/>
  <c r="L206" i="122"/>
  <c r="F206" i="122"/>
  <c r="H206" i="122"/>
  <c r="K206" i="122"/>
  <c r="E206" i="122"/>
  <c r="I205" i="122"/>
  <c r="L205" i="122"/>
  <c r="F205" i="122"/>
  <c r="H205" i="122"/>
  <c r="K205" i="122"/>
  <c r="E205" i="122"/>
  <c r="I203" i="122"/>
  <c r="L203" i="122"/>
  <c r="F203" i="122"/>
  <c r="H203" i="122"/>
  <c r="K203" i="122"/>
  <c r="E203" i="122"/>
  <c r="I202" i="122"/>
  <c r="L202" i="122"/>
  <c r="F202" i="122"/>
  <c r="H202" i="122"/>
  <c r="K202" i="122"/>
  <c r="E202" i="122"/>
  <c r="I201" i="122"/>
  <c r="L201" i="122"/>
  <c r="F201" i="122"/>
  <c r="H201" i="122"/>
  <c r="K201" i="122"/>
  <c r="E201" i="122"/>
  <c r="I198" i="122"/>
  <c r="L198" i="122"/>
  <c r="F198" i="122"/>
  <c r="H198" i="122"/>
  <c r="K198" i="122"/>
  <c r="E198" i="122"/>
  <c r="I197" i="122"/>
  <c r="L197" i="122"/>
  <c r="F197" i="122"/>
  <c r="H197" i="122"/>
  <c r="K197" i="122"/>
  <c r="E197" i="122"/>
  <c r="I196" i="122"/>
  <c r="L196" i="122"/>
  <c r="F196" i="122"/>
  <c r="H196" i="122"/>
  <c r="K196" i="122"/>
  <c r="E196" i="122"/>
  <c r="I195" i="122"/>
  <c r="L195" i="122"/>
  <c r="F195" i="122"/>
  <c r="H195" i="122"/>
  <c r="K195" i="122"/>
  <c r="E195" i="122"/>
  <c r="I194" i="122"/>
  <c r="L194" i="122"/>
  <c r="F194" i="122"/>
  <c r="H194" i="122"/>
  <c r="K194" i="122"/>
  <c r="E194" i="122"/>
  <c r="I193" i="122"/>
  <c r="L193" i="122"/>
  <c r="F193" i="122"/>
  <c r="H193" i="122"/>
  <c r="K193" i="122"/>
  <c r="E193" i="122"/>
  <c r="I192" i="122"/>
  <c r="L192" i="122"/>
  <c r="F192" i="122"/>
  <c r="H192" i="122"/>
  <c r="K192" i="122"/>
  <c r="E192" i="122"/>
  <c r="I191" i="122"/>
  <c r="L191" i="122"/>
  <c r="F191" i="122"/>
  <c r="H191" i="122"/>
  <c r="K191" i="122"/>
  <c r="E191" i="122"/>
  <c r="I190" i="122"/>
  <c r="L190" i="122"/>
  <c r="F190" i="122"/>
  <c r="H190" i="122"/>
  <c r="K190" i="122"/>
  <c r="E190" i="122"/>
  <c r="I189" i="122"/>
  <c r="L189" i="122"/>
  <c r="F189" i="122"/>
  <c r="H189" i="122"/>
  <c r="K189" i="122"/>
  <c r="E189" i="122"/>
  <c r="I188" i="122"/>
  <c r="L188" i="122"/>
  <c r="F188" i="122"/>
  <c r="H188" i="122"/>
  <c r="K188" i="122"/>
  <c r="E188" i="122"/>
  <c r="I187" i="122"/>
  <c r="L187" i="122"/>
  <c r="F187" i="122"/>
  <c r="H187" i="122"/>
  <c r="K187" i="122"/>
  <c r="E187" i="122"/>
  <c r="I186" i="122"/>
  <c r="L186" i="122"/>
  <c r="F186" i="122"/>
  <c r="H186" i="122"/>
  <c r="K186" i="122"/>
  <c r="E186" i="122"/>
  <c r="I185" i="122"/>
  <c r="L185" i="122"/>
  <c r="F185" i="122"/>
  <c r="H185" i="122"/>
  <c r="K185" i="122"/>
  <c r="E185" i="122"/>
  <c r="I184" i="122"/>
  <c r="L184" i="122"/>
  <c r="F184" i="122"/>
  <c r="H184" i="122"/>
  <c r="K184" i="122"/>
  <c r="E184" i="122"/>
  <c r="I183" i="122"/>
  <c r="L183" i="122"/>
  <c r="F183" i="122"/>
  <c r="H183" i="122"/>
  <c r="K183" i="122"/>
  <c r="E183" i="122"/>
  <c r="I182" i="122"/>
  <c r="L182" i="122"/>
  <c r="F182" i="122"/>
  <c r="H182" i="122"/>
  <c r="K182" i="122"/>
  <c r="E182" i="122"/>
  <c r="I181" i="122"/>
  <c r="L181" i="122"/>
  <c r="F181" i="122"/>
  <c r="H181" i="122"/>
  <c r="K181" i="122"/>
  <c r="E181" i="122"/>
  <c r="I180" i="122"/>
  <c r="L180" i="122"/>
  <c r="F180" i="122"/>
  <c r="H180" i="122"/>
  <c r="K180" i="122"/>
  <c r="E180" i="122"/>
  <c r="I179" i="122"/>
  <c r="L179" i="122"/>
  <c r="F179" i="122"/>
  <c r="H179" i="122"/>
  <c r="K179" i="122"/>
  <c r="E179" i="122"/>
  <c r="I178" i="122"/>
  <c r="L178" i="122"/>
  <c r="H178" i="122"/>
  <c r="K178" i="122"/>
  <c r="I176" i="122"/>
  <c r="L176" i="122"/>
  <c r="F176" i="122"/>
  <c r="H176" i="122"/>
  <c r="K176" i="122"/>
  <c r="E176" i="122"/>
  <c r="I175" i="122"/>
  <c r="L175" i="122"/>
  <c r="F175" i="122"/>
  <c r="H175" i="122"/>
  <c r="K175" i="122"/>
  <c r="E175" i="122"/>
  <c r="I174" i="122"/>
  <c r="L174" i="122"/>
  <c r="F174" i="122"/>
  <c r="H174" i="122"/>
  <c r="K174" i="122"/>
  <c r="E174" i="122"/>
  <c r="I173" i="122"/>
  <c r="L173" i="122"/>
  <c r="F173" i="122"/>
  <c r="H173" i="122"/>
  <c r="K173" i="122"/>
  <c r="E173" i="122"/>
  <c r="I172" i="122"/>
  <c r="L172" i="122"/>
  <c r="F172" i="122"/>
  <c r="H172" i="122"/>
  <c r="K172" i="122"/>
  <c r="E172" i="122"/>
  <c r="I171" i="122"/>
  <c r="L171" i="122"/>
  <c r="F171" i="122"/>
  <c r="H171" i="122"/>
  <c r="K171" i="122"/>
  <c r="E171" i="122"/>
  <c r="I170" i="122"/>
  <c r="L170" i="122"/>
  <c r="F170" i="122"/>
  <c r="H170" i="122"/>
  <c r="K170" i="122"/>
  <c r="E170" i="122"/>
  <c r="I169" i="122"/>
  <c r="L169" i="122"/>
  <c r="F169" i="122"/>
  <c r="H169" i="122"/>
  <c r="K169" i="122"/>
  <c r="E169" i="122"/>
  <c r="I168" i="122"/>
  <c r="L168" i="122"/>
  <c r="F168" i="122"/>
  <c r="H168" i="122"/>
  <c r="K168" i="122"/>
  <c r="E168" i="122"/>
  <c r="I167" i="122"/>
  <c r="L167" i="122"/>
  <c r="F167" i="122"/>
  <c r="H167" i="122"/>
  <c r="K167" i="122"/>
  <c r="E167" i="122"/>
  <c r="I166" i="122"/>
  <c r="L166" i="122"/>
  <c r="F166" i="122"/>
  <c r="H166" i="122"/>
  <c r="K166" i="122"/>
  <c r="E166" i="122"/>
  <c r="I165" i="122"/>
  <c r="L165" i="122"/>
  <c r="F165" i="122"/>
  <c r="H165" i="122"/>
  <c r="K165" i="122"/>
  <c r="E165" i="122"/>
  <c r="I164" i="122"/>
  <c r="L164" i="122"/>
  <c r="F164" i="122"/>
  <c r="H164" i="122"/>
  <c r="K164" i="122"/>
  <c r="E164" i="122"/>
  <c r="I163" i="122"/>
  <c r="L163" i="122"/>
  <c r="F163" i="122"/>
  <c r="H163" i="122"/>
  <c r="K163" i="122"/>
  <c r="E163" i="122"/>
  <c r="I162" i="122"/>
  <c r="L162" i="122"/>
  <c r="F162" i="122"/>
  <c r="H162" i="122"/>
  <c r="K162" i="122"/>
  <c r="E162" i="122"/>
  <c r="I161" i="122"/>
  <c r="L161" i="122"/>
  <c r="F161" i="122"/>
  <c r="H161" i="122"/>
  <c r="K161" i="122"/>
  <c r="E161" i="122"/>
  <c r="I160" i="122"/>
  <c r="L160" i="122"/>
  <c r="F160" i="122"/>
  <c r="H160" i="122"/>
  <c r="K160" i="122"/>
  <c r="E160" i="122"/>
  <c r="I159" i="122"/>
  <c r="L159" i="122"/>
  <c r="F159" i="122"/>
  <c r="H159" i="122"/>
  <c r="K159" i="122"/>
  <c r="E159" i="122"/>
  <c r="I158" i="122"/>
  <c r="L158" i="122"/>
  <c r="F158" i="122"/>
  <c r="H158" i="122"/>
  <c r="K158" i="122"/>
  <c r="E158" i="122"/>
  <c r="I155" i="122"/>
  <c r="L155" i="122"/>
  <c r="F155" i="122"/>
  <c r="H155" i="122"/>
  <c r="K155" i="122"/>
  <c r="E155" i="122"/>
  <c r="I154" i="122"/>
  <c r="L154" i="122"/>
  <c r="F154" i="122"/>
  <c r="H154" i="122"/>
  <c r="K154" i="122"/>
  <c r="E154" i="122"/>
  <c r="I153" i="122"/>
  <c r="L153" i="122"/>
  <c r="F153" i="122"/>
  <c r="H153" i="122"/>
  <c r="K153" i="122"/>
  <c r="E153" i="122"/>
  <c r="I152" i="122"/>
  <c r="L152" i="122"/>
  <c r="F152" i="122"/>
  <c r="H152" i="122"/>
  <c r="K152" i="122"/>
  <c r="E152" i="122"/>
  <c r="I151" i="122"/>
  <c r="L151" i="122"/>
  <c r="F151" i="122"/>
  <c r="H151" i="122"/>
  <c r="K151" i="122"/>
  <c r="E151" i="122"/>
  <c r="I150" i="122"/>
  <c r="L150" i="122"/>
  <c r="F150" i="122"/>
  <c r="H150" i="122"/>
  <c r="K150" i="122"/>
  <c r="E150" i="122"/>
  <c r="I149" i="122"/>
  <c r="L149" i="122"/>
  <c r="F149" i="122"/>
  <c r="H149" i="122"/>
  <c r="K149" i="122"/>
  <c r="E149" i="122"/>
  <c r="I148" i="122"/>
  <c r="L148" i="122"/>
  <c r="F148" i="122"/>
  <c r="H148" i="122"/>
  <c r="K148" i="122"/>
  <c r="E148" i="122"/>
  <c r="I147" i="122"/>
  <c r="L147" i="122"/>
  <c r="F147" i="122"/>
  <c r="H147" i="122"/>
  <c r="K147" i="122"/>
  <c r="E147" i="122"/>
  <c r="I146" i="122"/>
  <c r="L146" i="122"/>
  <c r="H146" i="122"/>
  <c r="K146" i="122"/>
  <c r="I145" i="122"/>
  <c r="L145" i="122"/>
  <c r="F145" i="122"/>
  <c r="H145" i="122"/>
  <c r="K145" i="122"/>
  <c r="E145" i="122"/>
  <c r="I144" i="122"/>
  <c r="L144" i="122"/>
  <c r="F144" i="122"/>
  <c r="H144" i="122"/>
  <c r="K144" i="122"/>
  <c r="E144" i="122"/>
  <c r="I143" i="122"/>
  <c r="L143" i="122"/>
  <c r="F143" i="122"/>
  <c r="H143" i="122"/>
  <c r="K143" i="122"/>
  <c r="E143" i="122"/>
  <c r="I142" i="122"/>
  <c r="L142" i="122"/>
  <c r="F142" i="122"/>
  <c r="H142" i="122"/>
  <c r="K142" i="122"/>
  <c r="E142" i="122"/>
  <c r="I141" i="122"/>
  <c r="L141" i="122"/>
  <c r="F141" i="122"/>
  <c r="H141" i="122"/>
  <c r="K141" i="122"/>
  <c r="E141" i="122"/>
  <c r="I140" i="122"/>
  <c r="L140" i="122"/>
  <c r="F140" i="122"/>
  <c r="H140" i="122"/>
  <c r="K140" i="122"/>
  <c r="E140" i="122"/>
  <c r="I139" i="122"/>
  <c r="L139" i="122"/>
  <c r="F139" i="122"/>
  <c r="H139" i="122"/>
  <c r="K139" i="122"/>
  <c r="E139" i="122"/>
  <c r="I138" i="122"/>
  <c r="L138" i="122"/>
  <c r="F138" i="122"/>
  <c r="H138" i="122"/>
  <c r="K138" i="122"/>
  <c r="E138" i="122"/>
  <c r="I137" i="122"/>
  <c r="L137" i="122"/>
  <c r="F137" i="122"/>
  <c r="H137" i="122"/>
  <c r="K137" i="122"/>
  <c r="E137" i="122"/>
  <c r="I136" i="122"/>
  <c r="L136" i="122"/>
  <c r="F136" i="122"/>
  <c r="I135" i="122"/>
  <c r="L135" i="122"/>
  <c r="F135" i="122"/>
  <c r="H135" i="122"/>
  <c r="K135" i="122"/>
  <c r="E135" i="122"/>
  <c r="I134" i="122"/>
  <c r="L134" i="122"/>
  <c r="F134" i="122"/>
  <c r="H134" i="122"/>
  <c r="K134" i="122"/>
  <c r="E134" i="122"/>
  <c r="I133" i="122"/>
  <c r="L133" i="122"/>
  <c r="F133" i="122"/>
  <c r="I177" i="122"/>
  <c r="L177" i="122"/>
  <c r="H177" i="122"/>
  <c r="K177" i="122"/>
  <c r="H133" i="122"/>
  <c r="K133" i="122"/>
  <c r="E133" i="122"/>
  <c r="H136" i="122"/>
  <c r="K136" i="122"/>
  <c r="E136" i="122"/>
  <c r="I234" i="128"/>
  <c r="L234" i="128"/>
  <c r="F234" i="128"/>
  <c r="I233" i="128"/>
  <c r="L233" i="128"/>
  <c r="F233" i="128"/>
  <c r="I232" i="128"/>
  <c r="L232" i="128"/>
  <c r="F232" i="128"/>
  <c r="I231" i="128"/>
  <c r="L231" i="128"/>
  <c r="F231" i="128"/>
  <c r="I230" i="128"/>
  <c r="L230" i="128"/>
  <c r="F230" i="128"/>
  <c r="I228" i="128"/>
  <c r="L228" i="128"/>
  <c r="F228" i="128"/>
  <c r="I227" i="128"/>
  <c r="L227" i="128"/>
  <c r="F227" i="128"/>
  <c r="I226" i="128"/>
  <c r="L226" i="128"/>
  <c r="I224" i="128"/>
  <c r="L224" i="128"/>
  <c r="F224" i="128"/>
  <c r="I223" i="128"/>
  <c r="L223" i="128"/>
  <c r="F223" i="128"/>
  <c r="I222" i="128"/>
  <c r="L222" i="128"/>
  <c r="F222" i="128"/>
  <c r="I221" i="128"/>
  <c r="L221" i="128"/>
  <c r="F221" i="128"/>
  <c r="I219" i="128"/>
  <c r="L219" i="128"/>
  <c r="F219" i="128"/>
  <c r="I218" i="128"/>
  <c r="L218" i="128"/>
  <c r="F218" i="128"/>
  <c r="I217" i="128"/>
  <c r="L217" i="128"/>
  <c r="F217" i="128"/>
  <c r="I216" i="128"/>
  <c r="L216" i="128"/>
  <c r="F216" i="128"/>
  <c r="I215" i="128"/>
  <c r="L215" i="128"/>
  <c r="F215" i="128"/>
  <c r="I214" i="128"/>
  <c r="L214" i="128"/>
  <c r="F214" i="128"/>
  <c r="I213" i="128"/>
  <c r="L213" i="128"/>
  <c r="F213" i="128"/>
  <c r="I212" i="128"/>
  <c r="L212" i="128"/>
  <c r="F212" i="128"/>
  <c r="I211" i="128"/>
  <c r="L211" i="128"/>
  <c r="F211" i="128"/>
  <c r="I210" i="128"/>
  <c r="L210" i="128"/>
  <c r="F210" i="128"/>
  <c r="I208" i="128"/>
  <c r="L208" i="128"/>
  <c r="F208" i="128"/>
  <c r="I207" i="128"/>
  <c r="L207" i="128"/>
  <c r="F207" i="128"/>
  <c r="I206" i="128"/>
  <c r="L206" i="128"/>
  <c r="F206" i="128"/>
  <c r="I203" i="128"/>
  <c r="L203" i="128"/>
  <c r="F203" i="128"/>
  <c r="I202" i="128"/>
  <c r="L202" i="128"/>
  <c r="F202" i="128"/>
  <c r="I201" i="128"/>
  <c r="L201" i="128"/>
  <c r="F201" i="128"/>
  <c r="I200" i="128"/>
  <c r="L200" i="128"/>
  <c r="F200" i="128"/>
  <c r="I199" i="128"/>
  <c r="L199" i="128"/>
  <c r="F199" i="128"/>
  <c r="I198" i="128"/>
  <c r="L198" i="128"/>
  <c r="F198" i="128"/>
  <c r="I197" i="128"/>
  <c r="L197" i="128"/>
  <c r="F197" i="128"/>
  <c r="I196" i="128"/>
  <c r="L196" i="128"/>
  <c r="F196" i="128"/>
  <c r="I195" i="128"/>
  <c r="L195" i="128"/>
  <c r="F195" i="128"/>
  <c r="I194" i="128"/>
  <c r="L194" i="128"/>
  <c r="F194" i="128"/>
  <c r="I193" i="128"/>
  <c r="L193" i="128"/>
  <c r="F193" i="128"/>
  <c r="I192" i="128"/>
  <c r="L192" i="128"/>
  <c r="F192" i="128"/>
  <c r="I191" i="128"/>
  <c r="L191" i="128"/>
  <c r="F191" i="128"/>
  <c r="I190" i="128"/>
  <c r="L190" i="128"/>
  <c r="F190" i="128"/>
  <c r="I189" i="128"/>
  <c r="L189" i="128"/>
  <c r="F189" i="128"/>
  <c r="I188" i="128"/>
  <c r="L188" i="128"/>
  <c r="F188" i="128"/>
  <c r="I187" i="128"/>
  <c r="L187" i="128"/>
  <c r="F187" i="128"/>
  <c r="I186" i="128"/>
  <c r="L186" i="128"/>
  <c r="F186" i="128"/>
  <c r="I185" i="128"/>
  <c r="L185" i="128"/>
  <c r="F185" i="128"/>
  <c r="I184" i="128"/>
  <c r="L184" i="128"/>
  <c r="F184" i="128"/>
  <c r="I183" i="128"/>
  <c r="L183" i="128"/>
  <c r="I181" i="128"/>
  <c r="L181" i="128"/>
  <c r="F181" i="128"/>
  <c r="I180" i="128"/>
  <c r="L180" i="128"/>
  <c r="F180" i="128"/>
  <c r="I179" i="128"/>
  <c r="L179" i="128"/>
  <c r="F179" i="128"/>
  <c r="I178" i="128"/>
  <c r="L178" i="128"/>
  <c r="F178" i="128"/>
  <c r="I177" i="128"/>
  <c r="L177" i="128"/>
  <c r="F177" i="128"/>
  <c r="I176" i="128"/>
  <c r="L176" i="128"/>
  <c r="F176" i="128"/>
  <c r="I175" i="128"/>
  <c r="L175" i="128"/>
  <c r="F175" i="128"/>
  <c r="I174" i="128"/>
  <c r="L174" i="128"/>
  <c r="F174" i="128"/>
  <c r="I173" i="128"/>
  <c r="L173" i="128"/>
  <c r="F173" i="128"/>
  <c r="I172" i="128"/>
  <c r="L172" i="128"/>
  <c r="F172" i="128"/>
  <c r="I171" i="128"/>
  <c r="L171" i="128"/>
  <c r="F171" i="128"/>
  <c r="I170" i="128"/>
  <c r="L170" i="128"/>
  <c r="F170" i="128"/>
  <c r="I169" i="128"/>
  <c r="L169" i="128"/>
  <c r="F169" i="128"/>
  <c r="I168" i="128"/>
  <c r="L168" i="128"/>
  <c r="F168" i="128"/>
  <c r="I167" i="128"/>
  <c r="L167" i="128"/>
  <c r="F167" i="128"/>
  <c r="I166" i="128"/>
  <c r="L166" i="128"/>
  <c r="F166" i="128"/>
  <c r="I165" i="128"/>
  <c r="L165" i="128"/>
  <c r="F165" i="128"/>
  <c r="I164" i="128"/>
  <c r="L164" i="128"/>
  <c r="F164" i="128"/>
  <c r="I163" i="128"/>
  <c r="L163" i="128"/>
  <c r="F163" i="128"/>
  <c r="I160" i="128"/>
  <c r="L160" i="128"/>
  <c r="F160" i="128"/>
  <c r="I159" i="128"/>
  <c r="L159" i="128"/>
  <c r="F159" i="128"/>
  <c r="I158" i="128"/>
  <c r="L158" i="128"/>
  <c r="F158" i="128"/>
  <c r="I157" i="128"/>
  <c r="L157" i="128"/>
  <c r="F157" i="128"/>
  <c r="I156" i="128"/>
  <c r="L156" i="128"/>
  <c r="F156" i="128"/>
  <c r="I155" i="128"/>
  <c r="L155" i="128"/>
  <c r="F155" i="128"/>
  <c r="I154" i="128"/>
  <c r="L154" i="128"/>
  <c r="F154" i="128"/>
  <c r="I153" i="128"/>
  <c r="L153" i="128"/>
  <c r="F153" i="128"/>
  <c r="I152" i="128"/>
  <c r="L152" i="128"/>
  <c r="F152" i="128"/>
  <c r="I151" i="128"/>
  <c r="L151" i="128"/>
  <c r="I150" i="128"/>
  <c r="L150" i="128"/>
  <c r="F150" i="128"/>
  <c r="I149" i="128"/>
  <c r="L149" i="128"/>
  <c r="F149" i="128"/>
  <c r="I148" i="128"/>
  <c r="L148" i="128"/>
  <c r="F148" i="128"/>
  <c r="I147" i="128"/>
  <c r="L147" i="128"/>
  <c r="F147" i="128"/>
  <c r="I146" i="128"/>
  <c r="L146" i="128"/>
  <c r="F146" i="128"/>
  <c r="I145" i="128"/>
  <c r="L145" i="128"/>
  <c r="F145" i="128"/>
  <c r="I144" i="128"/>
  <c r="L144" i="128"/>
  <c r="F144" i="128"/>
  <c r="I143" i="128"/>
  <c r="L143" i="128"/>
  <c r="F143" i="128"/>
  <c r="I142" i="128"/>
  <c r="L142" i="128"/>
  <c r="F142" i="128"/>
  <c r="I141" i="128"/>
  <c r="L141" i="128"/>
  <c r="F141" i="128"/>
  <c r="I140" i="128"/>
  <c r="L140" i="128"/>
  <c r="F140" i="128"/>
  <c r="I139" i="128"/>
  <c r="L139" i="128"/>
  <c r="F139" i="128"/>
  <c r="I138" i="128"/>
  <c r="L138" i="128"/>
  <c r="F138" i="128"/>
  <c r="I182" i="128"/>
  <c r="L182" i="128"/>
  <c r="H234" i="128"/>
  <c r="K234" i="128"/>
  <c r="E234" i="128"/>
  <c r="H233" i="128"/>
  <c r="K233" i="128"/>
  <c r="E233" i="128"/>
  <c r="H232" i="128"/>
  <c r="K232" i="128"/>
  <c r="E232" i="128"/>
  <c r="H231" i="128"/>
  <c r="K231" i="128"/>
  <c r="E231" i="128"/>
  <c r="H230" i="128"/>
  <c r="K230" i="128"/>
  <c r="E230" i="128"/>
  <c r="H228" i="128"/>
  <c r="K228" i="128"/>
  <c r="E228" i="128"/>
  <c r="H227" i="128"/>
  <c r="K227" i="128"/>
  <c r="E227" i="128"/>
  <c r="H226" i="128"/>
  <c r="K226" i="128"/>
  <c r="E226" i="128"/>
  <c r="H224" i="128"/>
  <c r="K224" i="128"/>
  <c r="E224" i="128"/>
  <c r="H223" i="128"/>
  <c r="K223" i="128"/>
  <c r="E223" i="128"/>
  <c r="H222" i="128"/>
  <c r="K222" i="128"/>
  <c r="E222" i="128"/>
  <c r="H221" i="128"/>
  <c r="K221" i="128"/>
  <c r="E221" i="128"/>
  <c r="H219" i="128"/>
  <c r="K219" i="128"/>
  <c r="E219" i="128"/>
  <c r="H218" i="128"/>
  <c r="K218" i="128"/>
  <c r="E218" i="128"/>
  <c r="H217" i="128"/>
  <c r="K217" i="128"/>
  <c r="E217" i="128"/>
  <c r="H216" i="128"/>
  <c r="K216" i="128"/>
  <c r="E216" i="128"/>
  <c r="H215" i="128"/>
  <c r="K215" i="128"/>
  <c r="E215" i="128"/>
  <c r="H214" i="128"/>
  <c r="K214" i="128"/>
  <c r="E214" i="128"/>
  <c r="H213" i="128"/>
  <c r="K213" i="128"/>
  <c r="E213" i="128"/>
  <c r="H212" i="128"/>
  <c r="K212" i="128"/>
  <c r="E212" i="128"/>
  <c r="H211" i="128"/>
  <c r="K211" i="128"/>
  <c r="E211" i="128"/>
  <c r="H210" i="128"/>
  <c r="K210" i="128"/>
  <c r="E210" i="128"/>
  <c r="H208" i="128"/>
  <c r="K208" i="128"/>
  <c r="E208" i="128"/>
  <c r="H207" i="128"/>
  <c r="K207" i="128"/>
  <c r="E207" i="128"/>
  <c r="H206" i="128"/>
  <c r="K206" i="128"/>
  <c r="E206" i="128"/>
  <c r="H203" i="128"/>
  <c r="K203" i="128"/>
  <c r="E203" i="128"/>
  <c r="H202" i="128"/>
  <c r="K202" i="128"/>
  <c r="E202" i="128"/>
  <c r="H201" i="128"/>
  <c r="K201" i="128"/>
  <c r="E201" i="128"/>
  <c r="H200" i="128"/>
  <c r="K200" i="128"/>
  <c r="E200" i="128"/>
  <c r="H199" i="128"/>
  <c r="K199" i="128"/>
  <c r="E199" i="128"/>
  <c r="H198" i="128"/>
  <c r="K198" i="128"/>
  <c r="E198" i="128"/>
  <c r="H197" i="128"/>
  <c r="K197" i="128"/>
  <c r="E197" i="128"/>
  <c r="H196" i="128"/>
  <c r="K196" i="128"/>
  <c r="E196" i="128"/>
  <c r="H195" i="128"/>
  <c r="K195" i="128"/>
  <c r="E195" i="128"/>
  <c r="H194" i="128"/>
  <c r="K194" i="128"/>
  <c r="E194" i="128"/>
  <c r="H193" i="128"/>
  <c r="K193" i="128"/>
  <c r="E193" i="128"/>
  <c r="H192" i="128"/>
  <c r="K192" i="128"/>
  <c r="E192" i="128"/>
  <c r="H191" i="128"/>
  <c r="K191" i="128"/>
  <c r="E191" i="128"/>
  <c r="H190" i="128"/>
  <c r="K190" i="128"/>
  <c r="E190" i="128"/>
  <c r="H189" i="128"/>
  <c r="K189" i="128"/>
  <c r="E189" i="128"/>
  <c r="H188" i="128"/>
  <c r="K188" i="128"/>
  <c r="E188" i="128"/>
  <c r="H187" i="128"/>
  <c r="K187" i="128"/>
  <c r="E187" i="128"/>
  <c r="H186" i="128"/>
  <c r="K186" i="128"/>
  <c r="E186" i="128"/>
  <c r="H185" i="128"/>
  <c r="K185" i="128"/>
  <c r="E185" i="128"/>
  <c r="H184" i="128"/>
  <c r="K184" i="128"/>
  <c r="E184" i="128"/>
  <c r="H183" i="128"/>
  <c r="K183" i="128"/>
  <c r="H181" i="128"/>
  <c r="K181" i="128"/>
  <c r="E181" i="128"/>
  <c r="H180" i="128"/>
  <c r="K180" i="128"/>
  <c r="E180" i="128"/>
  <c r="H179" i="128"/>
  <c r="K179" i="128"/>
  <c r="E179" i="128"/>
  <c r="H178" i="128"/>
  <c r="K178" i="128"/>
  <c r="E178" i="128"/>
  <c r="H177" i="128"/>
  <c r="K177" i="128"/>
  <c r="E177" i="128"/>
  <c r="H176" i="128"/>
  <c r="K176" i="128"/>
  <c r="E176" i="128"/>
  <c r="H175" i="128"/>
  <c r="K175" i="128"/>
  <c r="E175" i="128"/>
  <c r="H174" i="128"/>
  <c r="K174" i="128"/>
  <c r="E174" i="128"/>
  <c r="H173" i="128"/>
  <c r="K173" i="128"/>
  <c r="E173" i="128"/>
  <c r="H172" i="128"/>
  <c r="K172" i="128"/>
  <c r="E172" i="128"/>
  <c r="H171" i="128"/>
  <c r="K171" i="128"/>
  <c r="E171" i="128"/>
  <c r="H170" i="128"/>
  <c r="K170" i="128"/>
  <c r="E170" i="128"/>
  <c r="H169" i="128"/>
  <c r="K169" i="128"/>
  <c r="E169" i="128"/>
  <c r="H168" i="128"/>
  <c r="K168" i="128"/>
  <c r="E168" i="128"/>
  <c r="H167" i="128"/>
  <c r="K167" i="128"/>
  <c r="E167" i="128"/>
  <c r="H166" i="128"/>
  <c r="K166" i="128"/>
  <c r="E166" i="128"/>
  <c r="H165" i="128"/>
  <c r="K165" i="128"/>
  <c r="E165" i="128"/>
  <c r="H164" i="128"/>
  <c r="K164" i="128"/>
  <c r="E164" i="128"/>
  <c r="H163" i="128"/>
  <c r="K163" i="128"/>
  <c r="E163" i="128"/>
  <c r="H160" i="128"/>
  <c r="K160" i="128"/>
  <c r="E160" i="128"/>
  <c r="H159" i="128"/>
  <c r="K159" i="128"/>
  <c r="E159" i="128"/>
  <c r="H158" i="128"/>
  <c r="K158" i="128"/>
  <c r="E158" i="128"/>
  <c r="H157" i="128"/>
  <c r="K157" i="128"/>
  <c r="E157" i="128"/>
  <c r="H156" i="128"/>
  <c r="K156" i="128"/>
  <c r="E156" i="128"/>
  <c r="H155" i="128"/>
  <c r="K155" i="128"/>
  <c r="E155" i="128"/>
  <c r="H154" i="128"/>
  <c r="K154" i="128"/>
  <c r="E154" i="128"/>
  <c r="H153" i="128"/>
  <c r="K153" i="128"/>
  <c r="E153" i="128"/>
  <c r="H152" i="128"/>
  <c r="K152" i="128"/>
  <c r="E152" i="128"/>
  <c r="H151" i="128"/>
  <c r="K151" i="128"/>
  <c r="H150" i="128"/>
  <c r="K150" i="128"/>
  <c r="E150" i="128"/>
  <c r="H149" i="128"/>
  <c r="K149" i="128"/>
  <c r="E149" i="128"/>
  <c r="H148" i="128"/>
  <c r="K148" i="128"/>
  <c r="E148" i="128"/>
  <c r="H147" i="128"/>
  <c r="K147" i="128"/>
  <c r="E147" i="128"/>
  <c r="H146" i="128"/>
  <c r="K146" i="128"/>
  <c r="E146" i="128"/>
  <c r="H145" i="128"/>
  <c r="K145" i="128"/>
  <c r="E145" i="128"/>
  <c r="H144" i="128"/>
  <c r="K144" i="128"/>
  <c r="E144" i="128"/>
  <c r="H143" i="128"/>
  <c r="K143" i="128"/>
  <c r="E143" i="128"/>
  <c r="H142" i="128"/>
  <c r="K142" i="128"/>
  <c r="E142" i="128"/>
  <c r="H141" i="128"/>
  <c r="K141" i="128"/>
  <c r="E141" i="128"/>
  <c r="H140" i="128"/>
  <c r="K140" i="128"/>
  <c r="E140" i="128"/>
  <c r="H139" i="128"/>
  <c r="K139" i="128"/>
  <c r="E139" i="128"/>
  <c r="H138" i="128"/>
  <c r="K138" i="128"/>
  <c r="E138" i="128"/>
  <c r="H182" i="128"/>
  <c r="K182" i="128"/>
  <c r="I226" i="120"/>
  <c r="L226" i="120"/>
  <c r="F226" i="120"/>
  <c r="H226" i="120"/>
  <c r="K226" i="120"/>
  <c r="E226" i="120"/>
  <c r="I225" i="120"/>
  <c r="L225" i="120"/>
  <c r="F225" i="120"/>
  <c r="H225" i="120"/>
  <c r="K225" i="120"/>
  <c r="E225" i="120"/>
  <c r="I224" i="120"/>
  <c r="L224" i="120"/>
  <c r="F224" i="120"/>
  <c r="H224" i="120"/>
  <c r="K224" i="120"/>
  <c r="E224" i="120"/>
  <c r="I223" i="120"/>
  <c r="L223" i="120"/>
  <c r="F223" i="120"/>
  <c r="H223" i="120"/>
  <c r="K223" i="120"/>
  <c r="E223" i="120"/>
  <c r="I222" i="120"/>
  <c r="L222" i="120"/>
  <c r="F222" i="120"/>
  <c r="H222" i="120"/>
  <c r="K222" i="120"/>
  <c r="E222" i="120"/>
  <c r="I220" i="120"/>
  <c r="L220" i="120"/>
  <c r="F220" i="120"/>
  <c r="H220" i="120"/>
  <c r="K220" i="120"/>
  <c r="E220" i="120"/>
  <c r="I219" i="120"/>
  <c r="L219" i="120"/>
  <c r="F219" i="120"/>
  <c r="H219" i="120"/>
  <c r="K219" i="120"/>
  <c r="E219" i="120"/>
  <c r="I218" i="120"/>
  <c r="L218" i="120"/>
  <c r="H218" i="120"/>
  <c r="K218" i="120"/>
  <c r="E218" i="120"/>
  <c r="I216" i="120"/>
  <c r="L216" i="120"/>
  <c r="F216" i="120"/>
  <c r="H216" i="120"/>
  <c r="K216" i="120"/>
  <c r="E216" i="120"/>
  <c r="I215" i="120"/>
  <c r="L215" i="120"/>
  <c r="F215" i="120"/>
  <c r="H215" i="120"/>
  <c r="K215" i="120"/>
  <c r="E215" i="120"/>
  <c r="I214" i="120"/>
  <c r="L214" i="120"/>
  <c r="F214" i="120"/>
  <c r="H214" i="120"/>
  <c r="K214" i="120"/>
  <c r="E214" i="120"/>
  <c r="I213" i="120"/>
  <c r="L213" i="120"/>
  <c r="F213" i="120"/>
  <c r="H213" i="120"/>
  <c r="K213" i="120"/>
  <c r="E213" i="120"/>
  <c r="I211" i="120"/>
  <c r="L211" i="120"/>
  <c r="F211" i="120"/>
  <c r="H211" i="120"/>
  <c r="K211" i="120"/>
  <c r="E211" i="120"/>
  <c r="I210" i="120"/>
  <c r="L210" i="120"/>
  <c r="F210" i="120"/>
  <c r="H210" i="120"/>
  <c r="K210" i="120"/>
  <c r="E210" i="120"/>
  <c r="I209" i="120"/>
  <c r="L209" i="120"/>
  <c r="F209" i="120"/>
  <c r="H209" i="120"/>
  <c r="K209" i="120"/>
  <c r="E209" i="120"/>
  <c r="I208" i="120"/>
  <c r="L208" i="120"/>
  <c r="F208" i="120"/>
  <c r="H208" i="120"/>
  <c r="K208" i="120"/>
  <c r="E208" i="120"/>
  <c r="I207" i="120"/>
  <c r="L207" i="120"/>
  <c r="F207" i="120"/>
  <c r="H207" i="120"/>
  <c r="K207" i="120"/>
  <c r="E207" i="120"/>
  <c r="I206" i="120"/>
  <c r="L206" i="120"/>
  <c r="F206" i="120"/>
  <c r="H206" i="120"/>
  <c r="K206" i="120"/>
  <c r="E206" i="120"/>
  <c r="I205" i="120"/>
  <c r="L205" i="120"/>
  <c r="F205" i="120"/>
  <c r="H205" i="120"/>
  <c r="K205" i="120"/>
  <c r="E205" i="120"/>
  <c r="I204" i="120"/>
  <c r="L204" i="120"/>
  <c r="F204" i="120"/>
  <c r="H204" i="120"/>
  <c r="K204" i="120"/>
  <c r="E204" i="120"/>
  <c r="I203" i="120"/>
  <c r="L203" i="120"/>
  <c r="F203" i="120"/>
  <c r="H203" i="120"/>
  <c r="K203" i="120"/>
  <c r="E203" i="120"/>
  <c r="I202" i="120"/>
  <c r="L202" i="120"/>
  <c r="F202" i="120"/>
  <c r="H202" i="120"/>
  <c r="K202" i="120"/>
  <c r="E202" i="120"/>
  <c r="I200" i="120"/>
  <c r="L200" i="120"/>
  <c r="F200" i="120"/>
  <c r="H200" i="120"/>
  <c r="K200" i="120"/>
  <c r="E200" i="120"/>
  <c r="I199" i="120"/>
  <c r="L199" i="120"/>
  <c r="F199" i="120"/>
  <c r="H199" i="120"/>
  <c r="K199" i="120"/>
  <c r="E199" i="120"/>
  <c r="I198" i="120"/>
  <c r="L198" i="120"/>
  <c r="F198" i="120"/>
  <c r="H198" i="120"/>
  <c r="K198" i="120"/>
  <c r="E198" i="120"/>
  <c r="I195" i="120"/>
  <c r="L195" i="120"/>
  <c r="F195" i="120"/>
  <c r="H195" i="120"/>
  <c r="K195" i="120"/>
  <c r="E195" i="120"/>
  <c r="I194" i="120"/>
  <c r="L194" i="120"/>
  <c r="F194" i="120"/>
  <c r="H194" i="120"/>
  <c r="K194" i="120"/>
  <c r="E194" i="120"/>
  <c r="I193" i="120"/>
  <c r="L193" i="120"/>
  <c r="F193" i="120"/>
  <c r="H193" i="120"/>
  <c r="K193" i="120"/>
  <c r="E193" i="120"/>
  <c r="I192" i="120"/>
  <c r="L192" i="120"/>
  <c r="F192" i="120"/>
  <c r="H192" i="120"/>
  <c r="K192" i="120"/>
  <c r="E192" i="120"/>
  <c r="I191" i="120"/>
  <c r="L191" i="120"/>
  <c r="F191" i="120"/>
  <c r="H191" i="120"/>
  <c r="K191" i="120"/>
  <c r="E191" i="120"/>
  <c r="I190" i="120"/>
  <c r="L190" i="120"/>
  <c r="F190" i="120"/>
  <c r="H190" i="120"/>
  <c r="K190" i="120"/>
  <c r="E190" i="120"/>
  <c r="I189" i="120"/>
  <c r="L189" i="120"/>
  <c r="F189" i="120"/>
  <c r="H189" i="120"/>
  <c r="K189" i="120"/>
  <c r="E189" i="120"/>
  <c r="I188" i="120"/>
  <c r="L188" i="120"/>
  <c r="F188" i="120"/>
  <c r="H188" i="120"/>
  <c r="K188" i="120"/>
  <c r="E188" i="120"/>
  <c r="I187" i="120"/>
  <c r="L187" i="120"/>
  <c r="F187" i="120"/>
  <c r="H187" i="120"/>
  <c r="K187" i="120"/>
  <c r="E187" i="120"/>
  <c r="I186" i="120"/>
  <c r="L186" i="120"/>
  <c r="F186" i="120"/>
  <c r="H186" i="120"/>
  <c r="K186" i="120"/>
  <c r="E186" i="120"/>
  <c r="I185" i="120"/>
  <c r="L185" i="120"/>
  <c r="F185" i="120"/>
  <c r="H185" i="120"/>
  <c r="K185" i="120"/>
  <c r="E185" i="120"/>
  <c r="I184" i="120"/>
  <c r="L184" i="120"/>
  <c r="F184" i="120"/>
  <c r="H184" i="120"/>
  <c r="K184" i="120"/>
  <c r="E184" i="120"/>
  <c r="I183" i="120"/>
  <c r="L183" i="120"/>
  <c r="F183" i="120"/>
  <c r="H183" i="120"/>
  <c r="K183" i="120"/>
  <c r="E183" i="120"/>
  <c r="I182" i="120"/>
  <c r="L182" i="120"/>
  <c r="F182" i="120"/>
  <c r="H182" i="120"/>
  <c r="K182" i="120"/>
  <c r="E182" i="120"/>
  <c r="I181" i="120"/>
  <c r="L181" i="120"/>
  <c r="F181" i="120"/>
  <c r="H181" i="120"/>
  <c r="K181" i="120"/>
  <c r="E181" i="120"/>
  <c r="I180" i="120"/>
  <c r="L180" i="120"/>
  <c r="F180" i="120"/>
  <c r="H180" i="120"/>
  <c r="K180" i="120"/>
  <c r="E180" i="120"/>
  <c r="I179" i="120"/>
  <c r="L179" i="120"/>
  <c r="F179" i="120"/>
  <c r="H179" i="120"/>
  <c r="K179" i="120"/>
  <c r="E179" i="120"/>
  <c r="I178" i="120"/>
  <c r="L178" i="120"/>
  <c r="F178" i="120"/>
  <c r="H178" i="120"/>
  <c r="K178" i="120"/>
  <c r="E178" i="120"/>
  <c r="I177" i="120"/>
  <c r="L177" i="120"/>
  <c r="F177" i="120"/>
  <c r="H177" i="120"/>
  <c r="K177" i="120"/>
  <c r="E177" i="120"/>
  <c r="I176" i="120"/>
  <c r="L176" i="120"/>
  <c r="F176" i="120"/>
  <c r="H176" i="120"/>
  <c r="K176" i="120"/>
  <c r="E176" i="120"/>
  <c r="I175" i="120"/>
  <c r="L175" i="120"/>
  <c r="H175" i="120"/>
  <c r="K175" i="120"/>
  <c r="I173" i="120"/>
  <c r="L173" i="120"/>
  <c r="F173" i="120"/>
  <c r="H173" i="120"/>
  <c r="K173" i="120"/>
  <c r="E173" i="120"/>
  <c r="I172" i="120"/>
  <c r="L172" i="120"/>
  <c r="F172" i="120"/>
  <c r="H172" i="120"/>
  <c r="K172" i="120"/>
  <c r="E172" i="120"/>
  <c r="I171" i="120"/>
  <c r="L171" i="120"/>
  <c r="F171" i="120"/>
  <c r="H171" i="120"/>
  <c r="K171" i="120"/>
  <c r="E171" i="120"/>
  <c r="I170" i="120"/>
  <c r="L170" i="120"/>
  <c r="F170" i="120"/>
  <c r="H170" i="120"/>
  <c r="K170" i="120"/>
  <c r="E170" i="120"/>
  <c r="I169" i="120"/>
  <c r="L169" i="120"/>
  <c r="F169" i="120"/>
  <c r="H169" i="120"/>
  <c r="K169" i="120"/>
  <c r="E169" i="120"/>
  <c r="I168" i="120"/>
  <c r="L168" i="120"/>
  <c r="F168" i="120"/>
  <c r="H168" i="120"/>
  <c r="K168" i="120"/>
  <c r="E168" i="120"/>
  <c r="I167" i="120"/>
  <c r="L167" i="120"/>
  <c r="F167" i="120"/>
  <c r="H167" i="120"/>
  <c r="K167" i="120"/>
  <c r="E167" i="120"/>
  <c r="I166" i="120"/>
  <c r="L166" i="120"/>
  <c r="F166" i="120"/>
  <c r="H166" i="120"/>
  <c r="K166" i="120"/>
  <c r="E166" i="120"/>
  <c r="I165" i="120"/>
  <c r="L165" i="120"/>
  <c r="F165" i="120"/>
  <c r="H165" i="120"/>
  <c r="K165" i="120"/>
  <c r="E165" i="120"/>
  <c r="I164" i="120"/>
  <c r="L164" i="120"/>
  <c r="F164" i="120"/>
  <c r="H164" i="120"/>
  <c r="K164" i="120"/>
  <c r="E164" i="120"/>
  <c r="I163" i="120"/>
  <c r="L163" i="120"/>
  <c r="F163" i="120"/>
  <c r="H163" i="120"/>
  <c r="K163" i="120"/>
  <c r="E163" i="120"/>
  <c r="I162" i="120"/>
  <c r="L162" i="120"/>
  <c r="F162" i="120"/>
  <c r="H162" i="120"/>
  <c r="K162" i="120"/>
  <c r="E162" i="120"/>
  <c r="I161" i="120"/>
  <c r="L161" i="120"/>
  <c r="F161" i="120"/>
  <c r="H161" i="120"/>
  <c r="K161" i="120"/>
  <c r="E161" i="120"/>
  <c r="I160" i="120"/>
  <c r="L160" i="120"/>
  <c r="F160" i="120"/>
  <c r="H160" i="120"/>
  <c r="K160" i="120"/>
  <c r="E160" i="120"/>
  <c r="I159" i="120"/>
  <c r="L159" i="120"/>
  <c r="F159" i="120"/>
  <c r="H159" i="120"/>
  <c r="K159" i="120"/>
  <c r="E159" i="120"/>
  <c r="I158" i="120"/>
  <c r="L158" i="120"/>
  <c r="F158" i="120"/>
  <c r="H158" i="120"/>
  <c r="K158" i="120"/>
  <c r="E158" i="120"/>
  <c r="I157" i="120"/>
  <c r="L157" i="120"/>
  <c r="F157" i="120"/>
  <c r="H157" i="120"/>
  <c r="K157" i="120"/>
  <c r="E157" i="120"/>
  <c r="I156" i="120"/>
  <c r="L156" i="120"/>
  <c r="F156" i="120"/>
  <c r="H156" i="120"/>
  <c r="K156" i="120"/>
  <c r="E156" i="120"/>
  <c r="I155" i="120"/>
  <c r="L155" i="120"/>
  <c r="F155" i="120"/>
  <c r="H155" i="120"/>
  <c r="K155" i="120"/>
  <c r="E155" i="120"/>
  <c r="I152" i="120"/>
  <c r="L152" i="120"/>
  <c r="F152" i="120"/>
  <c r="H152" i="120"/>
  <c r="K152" i="120"/>
  <c r="E152" i="120"/>
  <c r="I151" i="120"/>
  <c r="L151" i="120"/>
  <c r="F151" i="120"/>
  <c r="H151" i="120"/>
  <c r="K151" i="120"/>
  <c r="E151" i="120"/>
  <c r="I150" i="120"/>
  <c r="L150" i="120"/>
  <c r="F150" i="120"/>
  <c r="H150" i="120"/>
  <c r="K150" i="120"/>
  <c r="E150" i="120"/>
  <c r="I149" i="120"/>
  <c r="L149" i="120"/>
  <c r="F149" i="120"/>
  <c r="H149" i="120"/>
  <c r="K149" i="120"/>
  <c r="E149" i="120"/>
  <c r="I148" i="120"/>
  <c r="L148" i="120"/>
  <c r="F148" i="120"/>
  <c r="H148" i="120"/>
  <c r="K148" i="120"/>
  <c r="E148" i="120"/>
  <c r="I147" i="120"/>
  <c r="L147" i="120"/>
  <c r="F147" i="120"/>
  <c r="H147" i="120"/>
  <c r="K147" i="120"/>
  <c r="E147" i="120"/>
  <c r="I146" i="120"/>
  <c r="L146" i="120"/>
  <c r="F146" i="120"/>
  <c r="H146" i="120"/>
  <c r="K146" i="120"/>
  <c r="E146" i="120"/>
  <c r="I145" i="120"/>
  <c r="L145" i="120"/>
  <c r="F145" i="120"/>
  <c r="H145" i="120"/>
  <c r="K145" i="120"/>
  <c r="E145" i="120"/>
  <c r="I144" i="120"/>
  <c r="L144" i="120"/>
  <c r="F144" i="120"/>
  <c r="H144" i="120"/>
  <c r="K144" i="120"/>
  <c r="E144" i="120"/>
  <c r="I143" i="120"/>
  <c r="L143" i="120"/>
  <c r="H143" i="120"/>
  <c r="K143" i="120"/>
  <c r="I142" i="120"/>
  <c r="L142" i="120"/>
  <c r="F142" i="120"/>
  <c r="H142" i="120"/>
  <c r="K142" i="120"/>
  <c r="E142" i="120"/>
  <c r="I141" i="120"/>
  <c r="L141" i="120"/>
  <c r="F141" i="120"/>
  <c r="H141" i="120"/>
  <c r="K141" i="120"/>
  <c r="E141" i="120"/>
  <c r="I140" i="120"/>
  <c r="L140" i="120"/>
  <c r="F140" i="120"/>
  <c r="H140" i="120"/>
  <c r="K140" i="120"/>
  <c r="E140" i="120"/>
  <c r="I139" i="120"/>
  <c r="L139" i="120"/>
  <c r="F139" i="120"/>
  <c r="H139" i="120"/>
  <c r="K139" i="120"/>
  <c r="E139" i="120"/>
  <c r="I138" i="120"/>
  <c r="L138" i="120"/>
  <c r="F138" i="120"/>
  <c r="H138" i="120"/>
  <c r="K138" i="120"/>
  <c r="E138" i="120"/>
  <c r="I137" i="120"/>
  <c r="L137" i="120"/>
  <c r="F137" i="120"/>
  <c r="H137" i="120"/>
  <c r="K137" i="120"/>
  <c r="E137" i="120"/>
  <c r="I136" i="120"/>
  <c r="L136" i="120"/>
  <c r="F136" i="120"/>
  <c r="H136" i="120"/>
  <c r="K136" i="120"/>
  <c r="E136" i="120"/>
  <c r="I135" i="120"/>
  <c r="L135" i="120"/>
  <c r="F135" i="120"/>
  <c r="H135" i="120"/>
  <c r="K135" i="120"/>
  <c r="E135" i="120"/>
  <c r="I134" i="120"/>
  <c r="L134" i="120"/>
  <c r="F134" i="120"/>
  <c r="H134" i="120"/>
  <c r="K134" i="120"/>
  <c r="E134" i="120"/>
  <c r="I133" i="120"/>
  <c r="L133" i="120"/>
  <c r="F133" i="120"/>
  <c r="I132" i="120"/>
  <c r="L132" i="120"/>
  <c r="F132" i="120"/>
  <c r="H132" i="120"/>
  <c r="K132" i="120"/>
  <c r="E132" i="120"/>
  <c r="I131" i="120"/>
  <c r="L131" i="120"/>
  <c r="F131" i="120"/>
  <c r="H131" i="120"/>
  <c r="K131" i="120"/>
  <c r="E131" i="120"/>
  <c r="I130" i="120"/>
  <c r="L130" i="120"/>
  <c r="F130" i="120"/>
  <c r="I174" i="120"/>
  <c r="L174" i="120"/>
  <c r="H174" i="120"/>
  <c r="K174" i="120"/>
  <c r="H130" i="120"/>
  <c r="K130" i="120"/>
  <c r="E130" i="120"/>
  <c r="H133" i="120"/>
  <c r="K133" i="120"/>
  <c r="E133" i="120"/>
  <c r="M15" i="117"/>
  <c r="N15" i="117"/>
  <c r="M15" i="130"/>
  <c r="N15" i="130"/>
  <c r="M15" i="118"/>
  <c r="N15" i="118"/>
  <c r="M15" i="127"/>
  <c r="N15" i="127"/>
  <c r="M15" i="119"/>
  <c r="N15" i="119"/>
  <c r="M15" i="124"/>
  <c r="N15" i="124"/>
  <c r="K45" i="114"/>
  <c r="M45" i="114"/>
  <c r="W75" i="120"/>
  <c r="P174" i="120"/>
  <c r="P173" i="120"/>
  <c r="E174" i="120"/>
  <c r="AB75" i="120"/>
  <c r="Q174" i="120"/>
  <c r="Q173" i="120"/>
  <c r="F174" i="120"/>
  <c r="F218" i="120"/>
  <c r="N218" i="120"/>
  <c r="W75" i="128"/>
  <c r="P182" i="128"/>
  <c r="P181" i="128"/>
  <c r="E182" i="128"/>
  <c r="AB75" i="128"/>
  <c r="Q182" i="128"/>
  <c r="Q181" i="128"/>
  <c r="F182" i="128"/>
  <c r="F226" i="128"/>
  <c r="N226" i="128"/>
  <c r="W75" i="122"/>
  <c r="P177" i="122"/>
  <c r="P176" i="122"/>
  <c r="E177" i="122"/>
  <c r="AB75" i="122"/>
  <c r="Q177" i="122"/>
  <c r="Q176" i="122"/>
  <c r="F177" i="122"/>
  <c r="F221" i="122"/>
  <c r="N221" i="122"/>
  <c r="K45" i="117"/>
  <c r="M45" i="117"/>
  <c r="O33" i="117"/>
  <c r="O34" i="117"/>
  <c r="E128" i="117"/>
  <c r="F217" i="117"/>
  <c r="N217" i="117"/>
  <c r="AB75" i="117"/>
  <c r="Q173" i="117"/>
  <c r="Q172" i="117"/>
  <c r="F173" i="117"/>
  <c r="W75" i="117"/>
  <c r="P173" i="117"/>
  <c r="P172" i="117"/>
  <c r="E173" i="117"/>
  <c r="O33" i="118"/>
  <c r="O34" i="118"/>
  <c r="E128" i="118"/>
  <c r="K45" i="118"/>
  <c r="M45" i="118"/>
  <c r="A42" i="118"/>
  <c r="A43" i="118"/>
  <c r="F217" i="118"/>
  <c r="N217" i="118"/>
  <c r="AB75" i="118"/>
  <c r="Q173" i="118"/>
  <c r="Q172" i="118"/>
  <c r="F173" i="118"/>
  <c r="W75" i="118"/>
  <c r="P173" i="118"/>
  <c r="P172" i="118"/>
  <c r="E173" i="118"/>
  <c r="K45" i="127"/>
  <c r="M45" i="127"/>
  <c r="O33" i="127"/>
  <c r="O34" i="127"/>
  <c r="E137" i="127"/>
  <c r="A42" i="127"/>
  <c r="A43" i="127"/>
  <c r="F226" i="127"/>
  <c r="N226" i="127"/>
  <c r="AB75" i="127"/>
  <c r="Q182" i="127"/>
  <c r="Q181" i="127"/>
  <c r="F182" i="127"/>
  <c r="W75" i="127"/>
  <c r="P182" i="127"/>
  <c r="P181" i="127"/>
  <c r="E182" i="127"/>
  <c r="O33" i="119"/>
  <c r="O34" i="119"/>
  <c r="E129" i="119"/>
  <c r="K45" i="119"/>
  <c r="M45" i="119"/>
  <c r="A42" i="119"/>
  <c r="A43" i="119"/>
  <c r="F218" i="119"/>
  <c r="N218" i="119"/>
  <c r="AB75" i="119"/>
  <c r="Q174" i="119"/>
  <c r="Q173" i="119"/>
  <c r="F174" i="119"/>
  <c r="W75" i="119"/>
  <c r="P174" i="119"/>
  <c r="P173" i="119"/>
  <c r="E174" i="119"/>
  <c r="O33" i="130"/>
  <c r="O34" i="130"/>
  <c r="E137" i="130"/>
  <c r="K45" i="130"/>
  <c r="M45" i="130"/>
  <c r="BC95" i="130"/>
  <c r="E68" i="130"/>
  <c r="F226" i="130"/>
  <c r="N226" i="130"/>
  <c r="AB75" i="130"/>
  <c r="Q182" i="130"/>
  <c r="Q181" i="130"/>
  <c r="F182" i="130"/>
  <c r="W75" i="130"/>
  <c r="P182" i="130"/>
  <c r="P181" i="130"/>
  <c r="E182" i="130"/>
  <c r="K45" i="124"/>
  <c r="M45" i="124"/>
  <c r="O33" i="124"/>
  <c r="O34" i="124"/>
  <c r="E132" i="124"/>
  <c r="F221" i="124"/>
  <c r="N221" i="124"/>
  <c r="AB75" i="124"/>
  <c r="Q177" i="124"/>
  <c r="Q176" i="124"/>
  <c r="F177" i="124"/>
  <c r="W75" i="124"/>
  <c r="P177" i="124"/>
  <c r="P176" i="124"/>
  <c r="E177" i="124"/>
  <c r="K45" i="116"/>
  <c r="M45" i="116"/>
  <c r="BC86" i="116"/>
  <c r="E68" i="116"/>
  <c r="O33" i="116"/>
  <c r="O34" i="116"/>
  <c r="E128" i="116"/>
  <c r="F217" i="116"/>
  <c r="N217" i="116"/>
  <c r="AB75" i="116"/>
  <c r="Q173" i="116"/>
  <c r="Q172" i="116"/>
  <c r="F173" i="116"/>
  <c r="W75" i="116"/>
  <c r="P173" i="116"/>
  <c r="P172" i="116"/>
  <c r="E173" i="116"/>
  <c r="J46" i="133"/>
  <c r="M46" i="133"/>
  <c r="T163" i="114"/>
  <c r="T171" i="114"/>
  <c r="T173" i="114"/>
  <c r="T93" i="114"/>
  <c r="T87" i="114"/>
  <c r="T166" i="114"/>
  <c r="T165" i="114"/>
  <c r="T162" i="114"/>
  <c r="T161" i="114"/>
  <c r="T90" i="114"/>
  <c r="N15" i="114"/>
  <c r="G34" i="132"/>
  <c r="F246" i="114"/>
  <c r="N246" i="114"/>
  <c r="AB75" i="114"/>
  <c r="Q201" i="114"/>
  <c r="Q202" i="114"/>
  <c r="F202" i="114"/>
  <c r="W75" i="114"/>
  <c r="P201" i="114"/>
  <c r="P202" i="114"/>
  <c r="E202" i="114"/>
  <c r="I177" i="121"/>
  <c r="L177" i="121"/>
  <c r="I133" i="121"/>
  <c r="L133" i="121"/>
  <c r="F133" i="121"/>
  <c r="I134" i="121"/>
  <c r="L134" i="121"/>
  <c r="F134" i="121"/>
  <c r="I135" i="121"/>
  <c r="L135" i="121"/>
  <c r="F135" i="121"/>
  <c r="I136" i="121"/>
  <c r="L136" i="121"/>
  <c r="F136" i="121"/>
  <c r="I137" i="121"/>
  <c r="L137" i="121"/>
  <c r="F137" i="121"/>
  <c r="I138" i="121"/>
  <c r="L138" i="121"/>
  <c r="F138" i="121"/>
  <c r="I139" i="121"/>
  <c r="L139" i="121"/>
  <c r="F139" i="121"/>
  <c r="I140" i="121"/>
  <c r="L140" i="121"/>
  <c r="F140" i="121"/>
  <c r="I141" i="121"/>
  <c r="L141" i="121"/>
  <c r="F141" i="121"/>
  <c r="I142" i="121"/>
  <c r="L142" i="121"/>
  <c r="F142" i="121"/>
  <c r="I143" i="121"/>
  <c r="L143" i="121"/>
  <c r="F143" i="121"/>
  <c r="I144" i="121"/>
  <c r="L144" i="121"/>
  <c r="F144" i="121"/>
  <c r="I145" i="121"/>
  <c r="L145" i="121"/>
  <c r="F145" i="121"/>
  <c r="I146" i="121"/>
  <c r="L146" i="121"/>
  <c r="I147" i="121"/>
  <c r="L147" i="121"/>
  <c r="F147" i="121"/>
  <c r="I148" i="121"/>
  <c r="L148" i="121"/>
  <c r="F148" i="121"/>
  <c r="I149" i="121"/>
  <c r="L149" i="121"/>
  <c r="F149" i="121"/>
  <c r="I150" i="121"/>
  <c r="L150" i="121"/>
  <c r="F150" i="121"/>
  <c r="I151" i="121"/>
  <c r="L151" i="121"/>
  <c r="F151" i="121"/>
  <c r="I152" i="121"/>
  <c r="L152" i="121"/>
  <c r="F152" i="121"/>
  <c r="I153" i="121"/>
  <c r="L153" i="121"/>
  <c r="F153" i="121"/>
  <c r="I154" i="121"/>
  <c r="L154" i="121"/>
  <c r="F154" i="121"/>
  <c r="I155" i="121"/>
  <c r="L155" i="121"/>
  <c r="F155" i="121"/>
  <c r="I158" i="121"/>
  <c r="L158" i="121"/>
  <c r="F158" i="121"/>
  <c r="I159" i="121"/>
  <c r="L159" i="121"/>
  <c r="F159" i="121"/>
  <c r="I160" i="121"/>
  <c r="L160" i="121"/>
  <c r="F160" i="121"/>
  <c r="I161" i="121"/>
  <c r="L161" i="121"/>
  <c r="F161" i="121"/>
  <c r="I162" i="121"/>
  <c r="L162" i="121"/>
  <c r="F162" i="121"/>
  <c r="I163" i="121"/>
  <c r="L163" i="121"/>
  <c r="F163" i="121"/>
  <c r="I164" i="121"/>
  <c r="L164" i="121"/>
  <c r="F164" i="121"/>
  <c r="I165" i="121"/>
  <c r="L165" i="121"/>
  <c r="F165" i="121"/>
  <c r="I166" i="121"/>
  <c r="L166" i="121"/>
  <c r="F166" i="121"/>
  <c r="I167" i="121"/>
  <c r="L167" i="121"/>
  <c r="F167" i="121"/>
  <c r="I168" i="121"/>
  <c r="L168" i="121"/>
  <c r="F168" i="121"/>
  <c r="I169" i="121"/>
  <c r="L169" i="121"/>
  <c r="F169" i="121"/>
  <c r="I170" i="121"/>
  <c r="L170" i="121"/>
  <c r="F170" i="121"/>
  <c r="I171" i="121"/>
  <c r="L171" i="121"/>
  <c r="F171" i="121"/>
  <c r="I172" i="121"/>
  <c r="L172" i="121"/>
  <c r="F172" i="121"/>
  <c r="I173" i="121"/>
  <c r="L173" i="121"/>
  <c r="F173" i="121"/>
  <c r="I174" i="121"/>
  <c r="L174" i="121"/>
  <c r="F174" i="121"/>
  <c r="I175" i="121"/>
  <c r="L175" i="121"/>
  <c r="F175" i="121"/>
  <c r="I176" i="121"/>
  <c r="L176" i="121"/>
  <c r="F176" i="121"/>
  <c r="I178" i="121"/>
  <c r="L178" i="121"/>
  <c r="I179" i="121"/>
  <c r="L179" i="121"/>
  <c r="F179" i="121"/>
  <c r="I180" i="121"/>
  <c r="L180" i="121"/>
  <c r="F180" i="121"/>
  <c r="I181" i="121"/>
  <c r="L181" i="121"/>
  <c r="F181" i="121"/>
  <c r="I182" i="121"/>
  <c r="L182" i="121"/>
  <c r="F182" i="121"/>
  <c r="I183" i="121"/>
  <c r="L183" i="121"/>
  <c r="F183" i="121"/>
  <c r="I184" i="121"/>
  <c r="L184" i="121"/>
  <c r="F184" i="121"/>
  <c r="I185" i="121"/>
  <c r="L185" i="121"/>
  <c r="F185" i="121"/>
  <c r="I186" i="121"/>
  <c r="L186" i="121"/>
  <c r="F186" i="121"/>
  <c r="I187" i="121"/>
  <c r="L187" i="121"/>
  <c r="F187" i="121"/>
  <c r="I188" i="121"/>
  <c r="L188" i="121"/>
  <c r="F188" i="121"/>
  <c r="I189" i="121"/>
  <c r="L189" i="121"/>
  <c r="F189" i="121"/>
  <c r="I190" i="121"/>
  <c r="L190" i="121"/>
  <c r="F190" i="121"/>
  <c r="I191" i="121"/>
  <c r="L191" i="121"/>
  <c r="F191" i="121"/>
  <c r="I192" i="121"/>
  <c r="L192" i="121"/>
  <c r="F192" i="121"/>
  <c r="I193" i="121"/>
  <c r="L193" i="121"/>
  <c r="F193" i="121"/>
  <c r="I194" i="121"/>
  <c r="L194" i="121"/>
  <c r="F194" i="121"/>
  <c r="I195" i="121"/>
  <c r="L195" i="121"/>
  <c r="F195" i="121"/>
  <c r="I196" i="121"/>
  <c r="L196" i="121"/>
  <c r="F196" i="121"/>
  <c r="I197" i="121"/>
  <c r="L197" i="121"/>
  <c r="F197" i="121"/>
  <c r="I198" i="121"/>
  <c r="L198" i="121"/>
  <c r="F198" i="121"/>
  <c r="I201" i="121"/>
  <c r="L201" i="121"/>
  <c r="F201" i="121"/>
  <c r="I202" i="121"/>
  <c r="L202" i="121"/>
  <c r="F202" i="121"/>
  <c r="I203" i="121"/>
  <c r="L203" i="121"/>
  <c r="F203" i="121"/>
  <c r="I205" i="121"/>
  <c r="L205" i="121"/>
  <c r="F205" i="121"/>
  <c r="I206" i="121"/>
  <c r="L206" i="121"/>
  <c r="F206" i="121"/>
  <c r="I207" i="121"/>
  <c r="L207" i="121"/>
  <c r="F207" i="121"/>
  <c r="I208" i="121"/>
  <c r="L208" i="121"/>
  <c r="F208" i="121"/>
  <c r="I209" i="121"/>
  <c r="L209" i="121"/>
  <c r="F209" i="121"/>
  <c r="I210" i="121"/>
  <c r="L210" i="121"/>
  <c r="F210" i="121"/>
  <c r="I211" i="121"/>
  <c r="L211" i="121"/>
  <c r="F211" i="121"/>
  <c r="I212" i="121"/>
  <c r="L212" i="121"/>
  <c r="F212" i="121"/>
  <c r="I213" i="121"/>
  <c r="L213" i="121"/>
  <c r="F213" i="121"/>
  <c r="I214" i="121"/>
  <c r="L214" i="121"/>
  <c r="F214" i="121"/>
  <c r="I216" i="121"/>
  <c r="L216" i="121"/>
  <c r="F216" i="121"/>
  <c r="I217" i="121"/>
  <c r="L217" i="121"/>
  <c r="F217" i="121"/>
  <c r="I218" i="121"/>
  <c r="L218" i="121"/>
  <c r="F218" i="121"/>
  <c r="I219" i="121"/>
  <c r="L219" i="121"/>
  <c r="F219" i="121"/>
  <c r="I221" i="121"/>
  <c r="L221" i="121"/>
  <c r="I222" i="121"/>
  <c r="L222" i="121"/>
  <c r="F222" i="121"/>
  <c r="I223" i="121"/>
  <c r="L223" i="121"/>
  <c r="F223" i="121"/>
  <c r="I225" i="121"/>
  <c r="L225" i="121"/>
  <c r="F225" i="121"/>
  <c r="I226" i="121"/>
  <c r="L226" i="121"/>
  <c r="F226" i="121"/>
  <c r="I227" i="121"/>
  <c r="L227" i="121"/>
  <c r="F227" i="121"/>
  <c r="I228" i="121"/>
  <c r="L228" i="121"/>
  <c r="F228" i="121"/>
  <c r="I229" i="121"/>
  <c r="L229" i="121"/>
  <c r="F229" i="121"/>
  <c r="I177" i="123"/>
  <c r="L177" i="123"/>
  <c r="I133" i="123"/>
  <c r="L133" i="123"/>
  <c r="F133" i="123"/>
  <c r="I134" i="123"/>
  <c r="L134" i="123"/>
  <c r="F134" i="123"/>
  <c r="I135" i="123"/>
  <c r="L135" i="123"/>
  <c r="F135" i="123"/>
  <c r="I136" i="123"/>
  <c r="L136" i="123"/>
  <c r="F136" i="123"/>
  <c r="I137" i="123"/>
  <c r="L137" i="123"/>
  <c r="F137" i="123"/>
  <c r="I138" i="123"/>
  <c r="L138" i="123"/>
  <c r="F138" i="123"/>
  <c r="I139" i="123"/>
  <c r="L139" i="123"/>
  <c r="F139" i="123"/>
  <c r="I140" i="123"/>
  <c r="L140" i="123"/>
  <c r="F140" i="123"/>
  <c r="I141" i="123"/>
  <c r="L141" i="123"/>
  <c r="F141" i="123"/>
  <c r="I142" i="123"/>
  <c r="L142" i="123"/>
  <c r="F142" i="123"/>
  <c r="I143" i="123"/>
  <c r="L143" i="123"/>
  <c r="F143" i="123"/>
  <c r="I144" i="123"/>
  <c r="L144" i="123"/>
  <c r="F144" i="123"/>
  <c r="I145" i="123"/>
  <c r="L145" i="123"/>
  <c r="F145" i="123"/>
  <c r="I146" i="123"/>
  <c r="L146" i="123"/>
  <c r="I147" i="123"/>
  <c r="L147" i="123"/>
  <c r="F147" i="123"/>
  <c r="I148" i="123"/>
  <c r="L148" i="123"/>
  <c r="F148" i="123"/>
  <c r="I149" i="123"/>
  <c r="L149" i="123"/>
  <c r="F149" i="123"/>
  <c r="I150" i="123"/>
  <c r="L150" i="123"/>
  <c r="F150" i="123"/>
  <c r="I151" i="123"/>
  <c r="L151" i="123"/>
  <c r="F151" i="123"/>
  <c r="I152" i="123"/>
  <c r="L152" i="123"/>
  <c r="F152" i="123"/>
  <c r="I153" i="123"/>
  <c r="L153" i="123"/>
  <c r="F153" i="123"/>
  <c r="I154" i="123"/>
  <c r="L154" i="123"/>
  <c r="F154" i="123"/>
  <c r="I155" i="123"/>
  <c r="L155" i="123"/>
  <c r="F155" i="123"/>
  <c r="I158" i="123"/>
  <c r="L158" i="123"/>
  <c r="F158" i="123"/>
  <c r="I159" i="123"/>
  <c r="L159" i="123"/>
  <c r="F159" i="123"/>
  <c r="I160" i="123"/>
  <c r="L160" i="123"/>
  <c r="F160" i="123"/>
  <c r="I161" i="123"/>
  <c r="L161" i="123"/>
  <c r="F161" i="123"/>
  <c r="I162" i="123"/>
  <c r="L162" i="123"/>
  <c r="F162" i="123"/>
  <c r="I163" i="123"/>
  <c r="L163" i="123"/>
  <c r="F163" i="123"/>
  <c r="I164" i="123"/>
  <c r="L164" i="123"/>
  <c r="F164" i="123"/>
  <c r="I165" i="123"/>
  <c r="L165" i="123"/>
  <c r="F165" i="123"/>
  <c r="I166" i="123"/>
  <c r="L166" i="123"/>
  <c r="F166" i="123"/>
  <c r="I167" i="123"/>
  <c r="L167" i="123"/>
  <c r="F167" i="123"/>
  <c r="I168" i="123"/>
  <c r="L168" i="123"/>
  <c r="F168" i="123"/>
  <c r="I169" i="123"/>
  <c r="L169" i="123"/>
  <c r="F169" i="123"/>
  <c r="I170" i="123"/>
  <c r="L170" i="123"/>
  <c r="F170" i="123"/>
  <c r="I171" i="123"/>
  <c r="L171" i="123"/>
  <c r="F171" i="123"/>
  <c r="I172" i="123"/>
  <c r="L172" i="123"/>
  <c r="F172" i="123"/>
  <c r="I173" i="123"/>
  <c r="L173" i="123"/>
  <c r="F173" i="123"/>
  <c r="I174" i="123"/>
  <c r="L174" i="123"/>
  <c r="F174" i="123"/>
  <c r="I175" i="123"/>
  <c r="L175" i="123"/>
  <c r="F175" i="123"/>
  <c r="I176" i="123"/>
  <c r="L176" i="123"/>
  <c r="F176" i="123"/>
  <c r="I178" i="123"/>
  <c r="L178" i="123"/>
  <c r="I179" i="123"/>
  <c r="L179" i="123"/>
  <c r="F179" i="123"/>
  <c r="I180" i="123"/>
  <c r="L180" i="123"/>
  <c r="F180" i="123"/>
  <c r="I181" i="123"/>
  <c r="L181" i="123"/>
  <c r="F181" i="123"/>
  <c r="I182" i="123"/>
  <c r="L182" i="123"/>
  <c r="F182" i="123"/>
  <c r="I183" i="123"/>
  <c r="L183" i="123"/>
  <c r="F183" i="123"/>
  <c r="I184" i="123"/>
  <c r="L184" i="123"/>
  <c r="F184" i="123"/>
  <c r="I185" i="123"/>
  <c r="L185" i="123"/>
  <c r="F185" i="123"/>
  <c r="I186" i="123"/>
  <c r="L186" i="123"/>
  <c r="F186" i="123"/>
  <c r="I187" i="123"/>
  <c r="L187" i="123"/>
  <c r="F187" i="123"/>
  <c r="I188" i="123"/>
  <c r="L188" i="123"/>
  <c r="F188" i="123"/>
  <c r="I189" i="123"/>
  <c r="L189" i="123"/>
  <c r="F189" i="123"/>
  <c r="I190" i="123"/>
  <c r="L190" i="123"/>
  <c r="F190" i="123"/>
  <c r="I191" i="123"/>
  <c r="L191" i="123"/>
  <c r="F191" i="123"/>
  <c r="I192" i="123"/>
  <c r="L192" i="123"/>
  <c r="F192" i="123"/>
  <c r="I193" i="123"/>
  <c r="L193" i="123"/>
  <c r="F193" i="123"/>
  <c r="I194" i="123"/>
  <c r="L194" i="123"/>
  <c r="F194" i="123"/>
  <c r="I195" i="123"/>
  <c r="L195" i="123"/>
  <c r="F195" i="123"/>
  <c r="I196" i="123"/>
  <c r="L196" i="123"/>
  <c r="F196" i="123"/>
  <c r="I197" i="123"/>
  <c r="L197" i="123"/>
  <c r="F197" i="123"/>
  <c r="I198" i="123"/>
  <c r="L198" i="123"/>
  <c r="F198" i="123"/>
  <c r="I201" i="123"/>
  <c r="L201" i="123"/>
  <c r="F201" i="123"/>
  <c r="I202" i="123"/>
  <c r="L202" i="123"/>
  <c r="F202" i="123"/>
  <c r="I203" i="123"/>
  <c r="L203" i="123"/>
  <c r="F203" i="123"/>
  <c r="I205" i="123"/>
  <c r="L205" i="123"/>
  <c r="F205" i="123"/>
  <c r="I206" i="123"/>
  <c r="L206" i="123"/>
  <c r="F206" i="123"/>
  <c r="I207" i="123"/>
  <c r="L207" i="123"/>
  <c r="F207" i="123"/>
  <c r="I208" i="123"/>
  <c r="L208" i="123"/>
  <c r="F208" i="123"/>
  <c r="I209" i="123"/>
  <c r="L209" i="123"/>
  <c r="F209" i="123"/>
  <c r="I210" i="123"/>
  <c r="L210" i="123"/>
  <c r="F210" i="123"/>
  <c r="I211" i="123"/>
  <c r="L211" i="123"/>
  <c r="F211" i="123"/>
  <c r="I212" i="123"/>
  <c r="L212" i="123"/>
  <c r="F212" i="123"/>
  <c r="I213" i="123"/>
  <c r="L213" i="123"/>
  <c r="F213" i="123"/>
  <c r="I214" i="123"/>
  <c r="L214" i="123"/>
  <c r="F214" i="123"/>
  <c r="I216" i="123"/>
  <c r="L216" i="123"/>
  <c r="F216" i="123"/>
  <c r="I217" i="123"/>
  <c r="L217" i="123"/>
  <c r="F217" i="123"/>
  <c r="I218" i="123"/>
  <c r="L218" i="123"/>
  <c r="F218" i="123"/>
  <c r="I219" i="123"/>
  <c r="L219" i="123"/>
  <c r="F219" i="123"/>
  <c r="I221" i="123"/>
  <c r="L221" i="123"/>
  <c r="I222" i="123"/>
  <c r="L222" i="123"/>
  <c r="F222" i="123"/>
  <c r="I223" i="123"/>
  <c r="L223" i="123"/>
  <c r="F223" i="123"/>
  <c r="I225" i="123"/>
  <c r="L225" i="123"/>
  <c r="F225" i="123"/>
  <c r="I226" i="123"/>
  <c r="L226" i="123"/>
  <c r="F226" i="123"/>
  <c r="I227" i="123"/>
  <c r="L227" i="123"/>
  <c r="F227" i="123"/>
  <c r="I228" i="123"/>
  <c r="L228" i="123"/>
  <c r="F228" i="123"/>
  <c r="I229" i="123"/>
  <c r="L229" i="123"/>
  <c r="F229" i="123"/>
  <c r="I173" i="115"/>
  <c r="L173" i="115"/>
  <c r="I129" i="115"/>
  <c r="L129" i="115"/>
  <c r="F129" i="115"/>
  <c r="I130" i="115"/>
  <c r="L130" i="115"/>
  <c r="F130" i="115"/>
  <c r="I131" i="115"/>
  <c r="L131" i="115"/>
  <c r="F131" i="115"/>
  <c r="I132" i="115"/>
  <c r="L132" i="115"/>
  <c r="F132" i="115"/>
  <c r="I133" i="115"/>
  <c r="L133" i="115"/>
  <c r="F133" i="115"/>
  <c r="I134" i="115"/>
  <c r="L134" i="115"/>
  <c r="F134" i="115"/>
  <c r="I135" i="115"/>
  <c r="L135" i="115"/>
  <c r="F135" i="115"/>
  <c r="I136" i="115"/>
  <c r="L136" i="115"/>
  <c r="F136" i="115"/>
  <c r="I137" i="115"/>
  <c r="L137" i="115"/>
  <c r="F137" i="115"/>
  <c r="I138" i="115"/>
  <c r="L138" i="115"/>
  <c r="F138" i="115"/>
  <c r="I139" i="115"/>
  <c r="L139" i="115"/>
  <c r="F139" i="115"/>
  <c r="I140" i="115"/>
  <c r="L140" i="115"/>
  <c r="F140" i="115"/>
  <c r="I141" i="115"/>
  <c r="L141" i="115"/>
  <c r="F141" i="115"/>
  <c r="I142" i="115"/>
  <c r="L142" i="115"/>
  <c r="I143" i="115"/>
  <c r="L143" i="115"/>
  <c r="F143" i="115"/>
  <c r="I144" i="115"/>
  <c r="L144" i="115"/>
  <c r="F144" i="115"/>
  <c r="I145" i="115"/>
  <c r="L145" i="115"/>
  <c r="F145" i="115"/>
  <c r="I146" i="115"/>
  <c r="L146" i="115"/>
  <c r="F146" i="115"/>
  <c r="I147" i="115"/>
  <c r="L147" i="115"/>
  <c r="F147" i="115"/>
  <c r="I148" i="115"/>
  <c r="L148" i="115"/>
  <c r="F148" i="115"/>
  <c r="I149" i="115"/>
  <c r="L149" i="115"/>
  <c r="F149" i="115"/>
  <c r="I150" i="115"/>
  <c r="L150" i="115"/>
  <c r="F150" i="115"/>
  <c r="I151" i="115"/>
  <c r="L151" i="115"/>
  <c r="F151" i="115"/>
  <c r="I154" i="115"/>
  <c r="L154" i="115"/>
  <c r="F154" i="115"/>
  <c r="I155" i="115"/>
  <c r="L155" i="115"/>
  <c r="F155" i="115"/>
  <c r="I156" i="115"/>
  <c r="L156" i="115"/>
  <c r="F156" i="115"/>
  <c r="I157" i="115"/>
  <c r="L157" i="115"/>
  <c r="F157" i="115"/>
  <c r="I158" i="115"/>
  <c r="L158" i="115"/>
  <c r="F158" i="115"/>
  <c r="I159" i="115"/>
  <c r="L159" i="115"/>
  <c r="F159" i="115"/>
  <c r="I160" i="115"/>
  <c r="L160" i="115"/>
  <c r="F160" i="115"/>
  <c r="I161" i="115"/>
  <c r="L161" i="115"/>
  <c r="F161" i="115"/>
  <c r="I162" i="115"/>
  <c r="L162" i="115"/>
  <c r="F162" i="115"/>
  <c r="I163" i="115"/>
  <c r="L163" i="115"/>
  <c r="F163" i="115"/>
  <c r="I164" i="115"/>
  <c r="L164" i="115"/>
  <c r="F164" i="115"/>
  <c r="I165" i="115"/>
  <c r="L165" i="115"/>
  <c r="F165" i="115"/>
  <c r="I166" i="115"/>
  <c r="L166" i="115"/>
  <c r="F166" i="115"/>
  <c r="I167" i="115"/>
  <c r="L167" i="115"/>
  <c r="F167" i="115"/>
  <c r="I168" i="115"/>
  <c r="L168" i="115"/>
  <c r="F168" i="115"/>
  <c r="I169" i="115"/>
  <c r="L169" i="115"/>
  <c r="F169" i="115"/>
  <c r="I170" i="115"/>
  <c r="L170" i="115"/>
  <c r="F170" i="115"/>
  <c r="I171" i="115"/>
  <c r="L171" i="115"/>
  <c r="F171" i="115"/>
  <c r="I172" i="115"/>
  <c r="L172" i="115"/>
  <c r="F172" i="115"/>
  <c r="I174" i="115"/>
  <c r="L174" i="115"/>
  <c r="I175" i="115"/>
  <c r="L175" i="115"/>
  <c r="F175" i="115"/>
  <c r="I176" i="115"/>
  <c r="L176" i="115"/>
  <c r="F176" i="115"/>
  <c r="I177" i="115"/>
  <c r="L177" i="115"/>
  <c r="F177" i="115"/>
  <c r="I178" i="115"/>
  <c r="L178" i="115"/>
  <c r="F178" i="115"/>
  <c r="I179" i="115"/>
  <c r="L179" i="115"/>
  <c r="F179" i="115"/>
  <c r="I180" i="115"/>
  <c r="L180" i="115"/>
  <c r="F180" i="115"/>
  <c r="I181" i="115"/>
  <c r="L181" i="115"/>
  <c r="F181" i="115"/>
  <c r="I182" i="115"/>
  <c r="L182" i="115"/>
  <c r="F182" i="115"/>
  <c r="I183" i="115"/>
  <c r="L183" i="115"/>
  <c r="F183" i="115"/>
  <c r="I184" i="115"/>
  <c r="L184" i="115"/>
  <c r="F184" i="115"/>
  <c r="I185" i="115"/>
  <c r="L185" i="115"/>
  <c r="F185" i="115"/>
  <c r="I186" i="115"/>
  <c r="L186" i="115"/>
  <c r="F186" i="115"/>
  <c r="I187" i="115"/>
  <c r="L187" i="115"/>
  <c r="F187" i="115"/>
  <c r="I188" i="115"/>
  <c r="L188" i="115"/>
  <c r="F188" i="115"/>
  <c r="I189" i="115"/>
  <c r="L189" i="115"/>
  <c r="F189" i="115"/>
  <c r="I190" i="115"/>
  <c r="L190" i="115"/>
  <c r="F190" i="115"/>
  <c r="I191" i="115"/>
  <c r="L191" i="115"/>
  <c r="F191" i="115"/>
  <c r="I192" i="115"/>
  <c r="L192" i="115"/>
  <c r="F192" i="115"/>
  <c r="I193" i="115"/>
  <c r="L193" i="115"/>
  <c r="F193" i="115"/>
  <c r="I194" i="115"/>
  <c r="L194" i="115"/>
  <c r="F194" i="115"/>
  <c r="I197" i="115"/>
  <c r="L197" i="115"/>
  <c r="F197" i="115"/>
  <c r="I198" i="115"/>
  <c r="L198" i="115"/>
  <c r="F198" i="115"/>
  <c r="I199" i="115"/>
  <c r="L199" i="115"/>
  <c r="F199" i="115"/>
  <c r="I201" i="115"/>
  <c r="L201" i="115"/>
  <c r="F201" i="115"/>
  <c r="I202" i="115"/>
  <c r="L202" i="115"/>
  <c r="F202" i="115"/>
  <c r="I203" i="115"/>
  <c r="L203" i="115"/>
  <c r="F203" i="115"/>
  <c r="I204" i="115"/>
  <c r="L204" i="115"/>
  <c r="F204" i="115"/>
  <c r="I205" i="115"/>
  <c r="L205" i="115"/>
  <c r="F205" i="115"/>
  <c r="I206" i="115"/>
  <c r="L206" i="115"/>
  <c r="F206" i="115"/>
  <c r="I207" i="115"/>
  <c r="L207" i="115"/>
  <c r="F207" i="115"/>
  <c r="I208" i="115"/>
  <c r="L208" i="115"/>
  <c r="F208" i="115"/>
  <c r="I209" i="115"/>
  <c r="L209" i="115"/>
  <c r="F209" i="115"/>
  <c r="I210" i="115"/>
  <c r="L210" i="115"/>
  <c r="F210" i="115"/>
  <c r="I212" i="115"/>
  <c r="L212" i="115"/>
  <c r="F212" i="115"/>
  <c r="I213" i="115"/>
  <c r="L213" i="115"/>
  <c r="F213" i="115"/>
  <c r="I214" i="115"/>
  <c r="L214" i="115"/>
  <c r="F214" i="115"/>
  <c r="I215" i="115"/>
  <c r="L215" i="115"/>
  <c r="F215" i="115"/>
  <c r="I217" i="115"/>
  <c r="L217" i="115"/>
  <c r="I218" i="115"/>
  <c r="L218" i="115"/>
  <c r="F218" i="115"/>
  <c r="I219" i="115"/>
  <c r="L219" i="115"/>
  <c r="F219" i="115"/>
  <c r="I221" i="115"/>
  <c r="L221" i="115"/>
  <c r="F221" i="115"/>
  <c r="I222" i="115"/>
  <c r="L222" i="115"/>
  <c r="F222" i="115"/>
  <c r="I223" i="115"/>
  <c r="L223" i="115"/>
  <c r="F223" i="115"/>
  <c r="I224" i="115"/>
  <c r="L224" i="115"/>
  <c r="F224" i="115"/>
  <c r="I225" i="115"/>
  <c r="L225" i="115"/>
  <c r="F225" i="115"/>
  <c r="I182" i="126"/>
  <c r="L182" i="126"/>
  <c r="I138" i="126"/>
  <c r="L138" i="126"/>
  <c r="F138" i="126"/>
  <c r="I139" i="126"/>
  <c r="L139" i="126"/>
  <c r="F139" i="126"/>
  <c r="I140" i="126"/>
  <c r="L140" i="126"/>
  <c r="F140" i="126"/>
  <c r="I141" i="126"/>
  <c r="L141" i="126"/>
  <c r="F141" i="126"/>
  <c r="I142" i="126"/>
  <c r="L142" i="126"/>
  <c r="F142" i="126"/>
  <c r="I143" i="126"/>
  <c r="L143" i="126"/>
  <c r="F143" i="126"/>
  <c r="I144" i="126"/>
  <c r="L144" i="126"/>
  <c r="F144" i="126"/>
  <c r="I145" i="126"/>
  <c r="L145" i="126"/>
  <c r="F145" i="126"/>
  <c r="I146" i="126"/>
  <c r="L146" i="126"/>
  <c r="F146" i="126"/>
  <c r="I147" i="126"/>
  <c r="L147" i="126"/>
  <c r="F147" i="126"/>
  <c r="I148" i="126"/>
  <c r="L148" i="126"/>
  <c r="F148" i="126"/>
  <c r="I149" i="126"/>
  <c r="L149" i="126"/>
  <c r="F149" i="126"/>
  <c r="I150" i="126"/>
  <c r="L150" i="126"/>
  <c r="F150" i="126"/>
  <c r="I151" i="126"/>
  <c r="L151" i="126"/>
  <c r="I152" i="126"/>
  <c r="L152" i="126"/>
  <c r="F152" i="126"/>
  <c r="I153" i="126"/>
  <c r="L153" i="126"/>
  <c r="F153" i="126"/>
  <c r="I154" i="126"/>
  <c r="L154" i="126"/>
  <c r="F154" i="126"/>
  <c r="I155" i="126"/>
  <c r="L155" i="126"/>
  <c r="F155" i="126"/>
  <c r="I156" i="126"/>
  <c r="L156" i="126"/>
  <c r="F156" i="126"/>
  <c r="I157" i="126"/>
  <c r="L157" i="126"/>
  <c r="F157" i="126"/>
  <c r="I158" i="126"/>
  <c r="L158" i="126"/>
  <c r="F158" i="126"/>
  <c r="I159" i="126"/>
  <c r="L159" i="126"/>
  <c r="F159" i="126"/>
  <c r="I160" i="126"/>
  <c r="L160" i="126"/>
  <c r="F160" i="126"/>
  <c r="I163" i="126"/>
  <c r="L163" i="126"/>
  <c r="F163" i="126"/>
  <c r="I164" i="126"/>
  <c r="L164" i="126"/>
  <c r="F164" i="126"/>
  <c r="I165" i="126"/>
  <c r="L165" i="126"/>
  <c r="F165" i="126"/>
  <c r="I166" i="126"/>
  <c r="L166" i="126"/>
  <c r="F166" i="126"/>
  <c r="I167" i="126"/>
  <c r="L167" i="126"/>
  <c r="F167" i="126"/>
  <c r="I168" i="126"/>
  <c r="L168" i="126"/>
  <c r="F168" i="126"/>
  <c r="I169" i="126"/>
  <c r="L169" i="126"/>
  <c r="F169" i="126"/>
  <c r="I170" i="126"/>
  <c r="L170" i="126"/>
  <c r="F170" i="126"/>
  <c r="I171" i="126"/>
  <c r="L171" i="126"/>
  <c r="F171" i="126"/>
  <c r="I172" i="126"/>
  <c r="L172" i="126"/>
  <c r="F172" i="126"/>
  <c r="I173" i="126"/>
  <c r="L173" i="126"/>
  <c r="F173" i="126"/>
  <c r="I174" i="126"/>
  <c r="L174" i="126"/>
  <c r="F174" i="126"/>
  <c r="I175" i="126"/>
  <c r="L175" i="126"/>
  <c r="F175" i="126"/>
  <c r="I176" i="126"/>
  <c r="L176" i="126"/>
  <c r="F176" i="126"/>
  <c r="I177" i="126"/>
  <c r="L177" i="126"/>
  <c r="F177" i="126"/>
  <c r="I178" i="126"/>
  <c r="L178" i="126"/>
  <c r="F178" i="126"/>
  <c r="I179" i="126"/>
  <c r="L179" i="126"/>
  <c r="F179" i="126"/>
  <c r="I180" i="126"/>
  <c r="L180" i="126"/>
  <c r="F180" i="126"/>
  <c r="I181" i="126"/>
  <c r="L181" i="126"/>
  <c r="F181" i="126"/>
  <c r="I183" i="126"/>
  <c r="L183" i="126"/>
  <c r="I184" i="126"/>
  <c r="L184" i="126"/>
  <c r="F184" i="126"/>
  <c r="I185" i="126"/>
  <c r="L185" i="126"/>
  <c r="F185" i="126"/>
  <c r="I186" i="126"/>
  <c r="L186" i="126"/>
  <c r="F186" i="126"/>
  <c r="I187" i="126"/>
  <c r="L187" i="126"/>
  <c r="F187" i="126"/>
  <c r="I188" i="126"/>
  <c r="L188" i="126"/>
  <c r="F188" i="126"/>
  <c r="I189" i="126"/>
  <c r="L189" i="126"/>
  <c r="F189" i="126"/>
  <c r="I190" i="126"/>
  <c r="L190" i="126"/>
  <c r="F190" i="126"/>
  <c r="I191" i="126"/>
  <c r="L191" i="126"/>
  <c r="F191" i="126"/>
  <c r="I192" i="126"/>
  <c r="L192" i="126"/>
  <c r="F192" i="126"/>
  <c r="I193" i="126"/>
  <c r="L193" i="126"/>
  <c r="F193" i="126"/>
  <c r="I194" i="126"/>
  <c r="L194" i="126"/>
  <c r="F194" i="126"/>
  <c r="I195" i="126"/>
  <c r="L195" i="126"/>
  <c r="F195" i="126"/>
  <c r="I196" i="126"/>
  <c r="L196" i="126"/>
  <c r="F196" i="126"/>
  <c r="I197" i="126"/>
  <c r="L197" i="126"/>
  <c r="F197" i="126"/>
  <c r="I198" i="126"/>
  <c r="L198" i="126"/>
  <c r="F198" i="126"/>
  <c r="I199" i="126"/>
  <c r="L199" i="126"/>
  <c r="F199" i="126"/>
  <c r="I200" i="126"/>
  <c r="L200" i="126"/>
  <c r="F200" i="126"/>
  <c r="I201" i="126"/>
  <c r="L201" i="126"/>
  <c r="F201" i="126"/>
  <c r="I202" i="126"/>
  <c r="L202" i="126"/>
  <c r="F202" i="126"/>
  <c r="I203" i="126"/>
  <c r="L203" i="126"/>
  <c r="F203" i="126"/>
  <c r="I206" i="126"/>
  <c r="L206" i="126"/>
  <c r="F206" i="126"/>
  <c r="I207" i="126"/>
  <c r="L207" i="126"/>
  <c r="F207" i="126"/>
  <c r="I208" i="126"/>
  <c r="L208" i="126"/>
  <c r="F208" i="126"/>
  <c r="I210" i="126"/>
  <c r="L210" i="126"/>
  <c r="F210" i="126"/>
  <c r="I211" i="126"/>
  <c r="L211" i="126"/>
  <c r="F211" i="126"/>
  <c r="I212" i="126"/>
  <c r="L212" i="126"/>
  <c r="F212" i="126"/>
  <c r="I213" i="126"/>
  <c r="L213" i="126"/>
  <c r="F213" i="126"/>
  <c r="I214" i="126"/>
  <c r="L214" i="126"/>
  <c r="F214" i="126"/>
  <c r="I215" i="126"/>
  <c r="L215" i="126"/>
  <c r="F215" i="126"/>
  <c r="I216" i="126"/>
  <c r="L216" i="126"/>
  <c r="F216" i="126"/>
  <c r="I217" i="126"/>
  <c r="L217" i="126"/>
  <c r="F217" i="126"/>
  <c r="I218" i="126"/>
  <c r="L218" i="126"/>
  <c r="F218" i="126"/>
  <c r="I219" i="126"/>
  <c r="L219" i="126"/>
  <c r="F219" i="126"/>
  <c r="I221" i="126"/>
  <c r="L221" i="126"/>
  <c r="F221" i="126"/>
  <c r="I222" i="126"/>
  <c r="L222" i="126"/>
  <c r="F222" i="126"/>
  <c r="I223" i="126"/>
  <c r="L223" i="126"/>
  <c r="F223" i="126"/>
  <c r="I224" i="126"/>
  <c r="L224" i="126"/>
  <c r="F224" i="126"/>
  <c r="I226" i="126"/>
  <c r="L226" i="126"/>
  <c r="I227" i="126"/>
  <c r="L227" i="126"/>
  <c r="F227" i="126"/>
  <c r="I228" i="126"/>
  <c r="L228" i="126"/>
  <c r="F228" i="126"/>
  <c r="I230" i="126"/>
  <c r="L230" i="126"/>
  <c r="F230" i="126"/>
  <c r="I231" i="126"/>
  <c r="L231" i="126"/>
  <c r="F231" i="126"/>
  <c r="I232" i="126"/>
  <c r="L232" i="126"/>
  <c r="F232" i="126"/>
  <c r="I233" i="126"/>
  <c r="L233" i="126"/>
  <c r="F233" i="126"/>
  <c r="I234" i="126"/>
  <c r="L234" i="126"/>
  <c r="F234" i="126"/>
  <c r="K59" i="117"/>
  <c r="M59" i="117"/>
  <c r="K59" i="130"/>
  <c r="M59" i="130"/>
  <c r="F59" i="118"/>
  <c r="K59" i="118"/>
  <c r="M59" i="118"/>
  <c r="K59" i="127"/>
  <c r="M59" i="127"/>
  <c r="K59" i="119"/>
  <c r="M59" i="119"/>
  <c r="K59" i="124"/>
  <c r="M59" i="124"/>
  <c r="I141" i="129"/>
  <c r="L141" i="129"/>
  <c r="F141" i="129"/>
  <c r="I138" i="129"/>
  <c r="L138" i="129"/>
  <c r="F138" i="129"/>
  <c r="I182" i="129"/>
  <c r="L182" i="129"/>
  <c r="I139" i="129"/>
  <c r="L139" i="129"/>
  <c r="F139" i="129"/>
  <c r="I140" i="129"/>
  <c r="L140" i="129"/>
  <c r="F140" i="129"/>
  <c r="I142" i="129"/>
  <c r="L142" i="129"/>
  <c r="F142" i="129"/>
  <c r="I143" i="129"/>
  <c r="L143" i="129"/>
  <c r="F143" i="129"/>
  <c r="I144" i="129"/>
  <c r="L144" i="129"/>
  <c r="F144" i="129"/>
  <c r="I145" i="129"/>
  <c r="L145" i="129"/>
  <c r="F145" i="129"/>
  <c r="I146" i="129"/>
  <c r="L146" i="129"/>
  <c r="F146" i="129"/>
  <c r="I147" i="129"/>
  <c r="L147" i="129"/>
  <c r="F147" i="129"/>
  <c r="I148" i="129"/>
  <c r="L148" i="129"/>
  <c r="F148" i="129"/>
  <c r="I149" i="129"/>
  <c r="L149" i="129"/>
  <c r="F149" i="129"/>
  <c r="I150" i="129"/>
  <c r="L150" i="129"/>
  <c r="F150" i="129"/>
  <c r="I151" i="129"/>
  <c r="L151" i="129"/>
  <c r="I152" i="129"/>
  <c r="L152" i="129"/>
  <c r="F152" i="129"/>
  <c r="I153" i="129"/>
  <c r="L153" i="129"/>
  <c r="F153" i="129"/>
  <c r="I154" i="129"/>
  <c r="L154" i="129"/>
  <c r="F154" i="129"/>
  <c r="I155" i="129"/>
  <c r="L155" i="129"/>
  <c r="F155" i="129"/>
  <c r="I156" i="129"/>
  <c r="L156" i="129"/>
  <c r="F156" i="129"/>
  <c r="I157" i="129"/>
  <c r="L157" i="129"/>
  <c r="F157" i="129"/>
  <c r="I158" i="129"/>
  <c r="L158" i="129"/>
  <c r="F158" i="129"/>
  <c r="I159" i="129"/>
  <c r="L159" i="129"/>
  <c r="F159" i="129"/>
  <c r="I160" i="129"/>
  <c r="L160" i="129"/>
  <c r="F160" i="129"/>
  <c r="I163" i="129"/>
  <c r="L163" i="129"/>
  <c r="F163" i="129"/>
  <c r="I164" i="129"/>
  <c r="L164" i="129"/>
  <c r="F164" i="129"/>
  <c r="I165" i="129"/>
  <c r="L165" i="129"/>
  <c r="F165" i="129"/>
  <c r="I166" i="129"/>
  <c r="L166" i="129"/>
  <c r="F166" i="129"/>
  <c r="I167" i="129"/>
  <c r="L167" i="129"/>
  <c r="F167" i="129"/>
  <c r="I168" i="129"/>
  <c r="L168" i="129"/>
  <c r="F168" i="129"/>
  <c r="I169" i="129"/>
  <c r="L169" i="129"/>
  <c r="F169" i="129"/>
  <c r="I170" i="129"/>
  <c r="L170" i="129"/>
  <c r="F170" i="129"/>
  <c r="I171" i="129"/>
  <c r="L171" i="129"/>
  <c r="F171" i="129"/>
  <c r="I172" i="129"/>
  <c r="L172" i="129"/>
  <c r="F172" i="129"/>
  <c r="I173" i="129"/>
  <c r="L173" i="129"/>
  <c r="F173" i="129"/>
  <c r="I174" i="129"/>
  <c r="L174" i="129"/>
  <c r="F174" i="129"/>
  <c r="I175" i="129"/>
  <c r="L175" i="129"/>
  <c r="F175" i="129"/>
  <c r="I176" i="129"/>
  <c r="L176" i="129"/>
  <c r="F176" i="129"/>
  <c r="I177" i="129"/>
  <c r="L177" i="129"/>
  <c r="F177" i="129"/>
  <c r="I178" i="129"/>
  <c r="L178" i="129"/>
  <c r="F178" i="129"/>
  <c r="I179" i="129"/>
  <c r="L179" i="129"/>
  <c r="F179" i="129"/>
  <c r="I180" i="129"/>
  <c r="L180" i="129"/>
  <c r="F180" i="129"/>
  <c r="I181" i="129"/>
  <c r="L181" i="129"/>
  <c r="F181" i="129"/>
  <c r="I183" i="129"/>
  <c r="L183" i="129"/>
  <c r="I184" i="129"/>
  <c r="L184" i="129"/>
  <c r="F184" i="129"/>
  <c r="I185" i="129"/>
  <c r="L185" i="129"/>
  <c r="F185" i="129"/>
  <c r="I186" i="129"/>
  <c r="L186" i="129"/>
  <c r="F186" i="129"/>
  <c r="I187" i="129"/>
  <c r="L187" i="129"/>
  <c r="F187" i="129"/>
  <c r="I188" i="129"/>
  <c r="L188" i="129"/>
  <c r="F188" i="129"/>
  <c r="I189" i="129"/>
  <c r="L189" i="129"/>
  <c r="F189" i="129"/>
  <c r="I190" i="129"/>
  <c r="L190" i="129"/>
  <c r="F190" i="129"/>
  <c r="I191" i="129"/>
  <c r="L191" i="129"/>
  <c r="F191" i="129"/>
  <c r="I192" i="129"/>
  <c r="L192" i="129"/>
  <c r="F192" i="129"/>
  <c r="I193" i="129"/>
  <c r="L193" i="129"/>
  <c r="F193" i="129"/>
  <c r="I194" i="129"/>
  <c r="L194" i="129"/>
  <c r="F194" i="129"/>
  <c r="I195" i="129"/>
  <c r="L195" i="129"/>
  <c r="F195" i="129"/>
  <c r="I196" i="129"/>
  <c r="L196" i="129"/>
  <c r="F196" i="129"/>
  <c r="I197" i="129"/>
  <c r="L197" i="129"/>
  <c r="F197" i="129"/>
  <c r="I198" i="129"/>
  <c r="L198" i="129"/>
  <c r="F198" i="129"/>
  <c r="I199" i="129"/>
  <c r="L199" i="129"/>
  <c r="F199" i="129"/>
  <c r="I200" i="129"/>
  <c r="L200" i="129"/>
  <c r="F200" i="129"/>
  <c r="I201" i="129"/>
  <c r="L201" i="129"/>
  <c r="F201" i="129"/>
  <c r="I202" i="129"/>
  <c r="L202" i="129"/>
  <c r="F202" i="129"/>
  <c r="I203" i="129"/>
  <c r="L203" i="129"/>
  <c r="F203" i="129"/>
  <c r="I206" i="129"/>
  <c r="L206" i="129"/>
  <c r="F206" i="129"/>
  <c r="I207" i="129"/>
  <c r="L207" i="129"/>
  <c r="F207" i="129"/>
  <c r="I208" i="129"/>
  <c r="L208" i="129"/>
  <c r="F208" i="129"/>
  <c r="I210" i="129"/>
  <c r="L210" i="129"/>
  <c r="F210" i="129"/>
  <c r="I211" i="129"/>
  <c r="L211" i="129"/>
  <c r="F211" i="129"/>
  <c r="I212" i="129"/>
  <c r="L212" i="129"/>
  <c r="F212" i="129"/>
  <c r="I213" i="129"/>
  <c r="L213" i="129"/>
  <c r="F213" i="129"/>
  <c r="I214" i="129"/>
  <c r="L214" i="129"/>
  <c r="F214" i="129"/>
  <c r="I215" i="129"/>
  <c r="L215" i="129"/>
  <c r="F215" i="129"/>
  <c r="I216" i="129"/>
  <c r="L216" i="129"/>
  <c r="F216" i="129"/>
  <c r="I217" i="129"/>
  <c r="L217" i="129"/>
  <c r="F217" i="129"/>
  <c r="I218" i="129"/>
  <c r="L218" i="129"/>
  <c r="F218" i="129"/>
  <c r="I219" i="129"/>
  <c r="L219" i="129"/>
  <c r="F219" i="129"/>
  <c r="I221" i="129"/>
  <c r="L221" i="129"/>
  <c r="F221" i="129"/>
  <c r="I222" i="129"/>
  <c r="L222" i="129"/>
  <c r="F222" i="129"/>
  <c r="I223" i="129"/>
  <c r="L223" i="129"/>
  <c r="F223" i="129"/>
  <c r="I224" i="129"/>
  <c r="L224" i="129"/>
  <c r="F224" i="129"/>
  <c r="I226" i="129"/>
  <c r="L226" i="129"/>
  <c r="I227" i="129"/>
  <c r="L227" i="129"/>
  <c r="F227" i="129"/>
  <c r="I228" i="129"/>
  <c r="L228" i="129"/>
  <c r="F228" i="129"/>
  <c r="I230" i="129"/>
  <c r="L230" i="129"/>
  <c r="F230" i="129"/>
  <c r="I231" i="129"/>
  <c r="L231" i="129"/>
  <c r="F231" i="129"/>
  <c r="I232" i="129"/>
  <c r="L232" i="129"/>
  <c r="F232" i="129"/>
  <c r="I233" i="129"/>
  <c r="L233" i="129"/>
  <c r="F233" i="129"/>
  <c r="I234" i="129"/>
  <c r="L234" i="129"/>
  <c r="F234" i="129"/>
  <c r="J62" i="133"/>
  <c r="M62" i="133"/>
  <c r="K59" i="125"/>
  <c r="M59" i="125"/>
  <c r="I137" i="125"/>
  <c r="L137" i="125"/>
  <c r="F137" i="125"/>
  <c r="I134" i="125"/>
  <c r="L134" i="125"/>
  <c r="F134" i="125"/>
  <c r="I178" i="125"/>
  <c r="L178" i="125"/>
  <c r="I135" i="125"/>
  <c r="L135" i="125"/>
  <c r="F135" i="125"/>
  <c r="I136" i="125"/>
  <c r="L136" i="125"/>
  <c r="F136" i="125"/>
  <c r="I138" i="125"/>
  <c r="L138" i="125"/>
  <c r="F138" i="125"/>
  <c r="I139" i="125"/>
  <c r="L139" i="125"/>
  <c r="F139" i="125"/>
  <c r="I140" i="125"/>
  <c r="L140" i="125"/>
  <c r="F140" i="125"/>
  <c r="I141" i="125"/>
  <c r="L141" i="125"/>
  <c r="F141" i="125"/>
  <c r="I142" i="125"/>
  <c r="L142" i="125"/>
  <c r="F142" i="125"/>
  <c r="I143" i="125"/>
  <c r="L143" i="125"/>
  <c r="F143" i="125"/>
  <c r="I144" i="125"/>
  <c r="L144" i="125"/>
  <c r="F144" i="125"/>
  <c r="I145" i="125"/>
  <c r="L145" i="125"/>
  <c r="F145" i="125"/>
  <c r="I146" i="125"/>
  <c r="L146" i="125"/>
  <c r="F146" i="125"/>
  <c r="I147" i="125"/>
  <c r="L147" i="125"/>
  <c r="I148" i="125"/>
  <c r="L148" i="125"/>
  <c r="F148" i="125"/>
  <c r="I149" i="125"/>
  <c r="L149" i="125"/>
  <c r="F149" i="125"/>
  <c r="I150" i="125"/>
  <c r="L150" i="125"/>
  <c r="F150" i="125"/>
  <c r="I151" i="125"/>
  <c r="L151" i="125"/>
  <c r="F151" i="125"/>
  <c r="I152" i="125"/>
  <c r="L152" i="125"/>
  <c r="F152" i="125"/>
  <c r="I153" i="125"/>
  <c r="L153" i="125"/>
  <c r="F153" i="125"/>
  <c r="I154" i="125"/>
  <c r="L154" i="125"/>
  <c r="F154" i="125"/>
  <c r="I155" i="125"/>
  <c r="L155" i="125"/>
  <c r="F155" i="125"/>
  <c r="I156" i="125"/>
  <c r="L156" i="125"/>
  <c r="F156" i="125"/>
  <c r="I159" i="125"/>
  <c r="L159" i="125"/>
  <c r="F159" i="125"/>
  <c r="I160" i="125"/>
  <c r="L160" i="125"/>
  <c r="F160" i="125"/>
  <c r="I161" i="125"/>
  <c r="L161" i="125"/>
  <c r="F161" i="125"/>
  <c r="I162" i="125"/>
  <c r="L162" i="125"/>
  <c r="F162" i="125"/>
  <c r="I163" i="125"/>
  <c r="L163" i="125"/>
  <c r="F163" i="125"/>
  <c r="I164" i="125"/>
  <c r="L164" i="125"/>
  <c r="F164" i="125"/>
  <c r="I165" i="125"/>
  <c r="L165" i="125"/>
  <c r="F165" i="125"/>
  <c r="I166" i="125"/>
  <c r="L166" i="125"/>
  <c r="F166" i="125"/>
  <c r="I167" i="125"/>
  <c r="L167" i="125"/>
  <c r="F167" i="125"/>
  <c r="I168" i="125"/>
  <c r="L168" i="125"/>
  <c r="F168" i="125"/>
  <c r="I169" i="125"/>
  <c r="L169" i="125"/>
  <c r="F169" i="125"/>
  <c r="I170" i="125"/>
  <c r="L170" i="125"/>
  <c r="F170" i="125"/>
  <c r="I171" i="125"/>
  <c r="L171" i="125"/>
  <c r="F171" i="125"/>
  <c r="I172" i="125"/>
  <c r="L172" i="125"/>
  <c r="F172" i="125"/>
  <c r="I173" i="125"/>
  <c r="L173" i="125"/>
  <c r="F173" i="125"/>
  <c r="I174" i="125"/>
  <c r="L174" i="125"/>
  <c r="F174" i="125"/>
  <c r="I175" i="125"/>
  <c r="L175" i="125"/>
  <c r="F175" i="125"/>
  <c r="I176" i="125"/>
  <c r="L176" i="125"/>
  <c r="F176" i="125"/>
  <c r="I177" i="125"/>
  <c r="L177" i="125"/>
  <c r="F177" i="125"/>
  <c r="I179" i="125"/>
  <c r="L179" i="125"/>
  <c r="I180" i="125"/>
  <c r="L180" i="125"/>
  <c r="F180" i="125"/>
  <c r="I181" i="125"/>
  <c r="L181" i="125"/>
  <c r="F181" i="125"/>
  <c r="I182" i="125"/>
  <c r="L182" i="125"/>
  <c r="F182" i="125"/>
  <c r="I183" i="125"/>
  <c r="L183" i="125"/>
  <c r="F183" i="125"/>
  <c r="I184" i="125"/>
  <c r="L184" i="125"/>
  <c r="F184" i="125"/>
  <c r="I185" i="125"/>
  <c r="L185" i="125"/>
  <c r="F185" i="125"/>
  <c r="I186" i="125"/>
  <c r="L186" i="125"/>
  <c r="F186" i="125"/>
  <c r="I187" i="125"/>
  <c r="L187" i="125"/>
  <c r="F187" i="125"/>
  <c r="I188" i="125"/>
  <c r="L188" i="125"/>
  <c r="F188" i="125"/>
  <c r="I189" i="125"/>
  <c r="L189" i="125"/>
  <c r="F189" i="125"/>
  <c r="I190" i="125"/>
  <c r="L190" i="125"/>
  <c r="F190" i="125"/>
  <c r="I191" i="125"/>
  <c r="L191" i="125"/>
  <c r="F191" i="125"/>
  <c r="I192" i="125"/>
  <c r="L192" i="125"/>
  <c r="F192" i="125"/>
  <c r="I193" i="125"/>
  <c r="L193" i="125"/>
  <c r="F193" i="125"/>
  <c r="I194" i="125"/>
  <c r="L194" i="125"/>
  <c r="F194" i="125"/>
  <c r="I195" i="125"/>
  <c r="L195" i="125"/>
  <c r="F195" i="125"/>
  <c r="I196" i="125"/>
  <c r="L196" i="125"/>
  <c r="F196" i="125"/>
  <c r="I197" i="125"/>
  <c r="L197" i="125"/>
  <c r="F197" i="125"/>
  <c r="I198" i="125"/>
  <c r="L198" i="125"/>
  <c r="F198" i="125"/>
  <c r="I199" i="125"/>
  <c r="L199" i="125"/>
  <c r="F199" i="125"/>
  <c r="I202" i="125"/>
  <c r="L202" i="125"/>
  <c r="F202" i="125"/>
  <c r="I203" i="125"/>
  <c r="L203" i="125"/>
  <c r="F203" i="125"/>
  <c r="I204" i="125"/>
  <c r="L204" i="125"/>
  <c r="F204" i="125"/>
  <c r="I206" i="125"/>
  <c r="L206" i="125"/>
  <c r="F206" i="125"/>
  <c r="I207" i="125"/>
  <c r="L207" i="125"/>
  <c r="F207" i="125"/>
  <c r="I208" i="125"/>
  <c r="L208" i="125"/>
  <c r="F208" i="125"/>
  <c r="I209" i="125"/>
  <c r="L209" i="125"/>
  <c r="F209" i="125"/>
  <c r="I210" i="125"/>
  <c r="L210" i="125"/>
  <c r="F210" i="125"/>
  <c r="I211" i="125"/>
  <c r="L211" i="125"/>
  <c r="F211" i="125"/>
  <c r="I212" i="125"/>
  <c r="L212" i="125"/>
  <c r="F212" i="125"/>
  <c r="I213" i="125"/>
  <c r="L213" i="125"/>
  <c r="F213" i="125"/>
  <c r="I214" i="125"/>
  <c r="L214" i="125"/>
  <c r="F214" i="125"/>
  <c r="I215" i="125"/>
  <c r="L215" i="125"/>
  <c r="F215" i="125"/>
  <c r="I217" i="125"/>
  <c r="L217" i="125"/>
  <c r="F217" i="125"/>
  <c r="I218" i="125"/>
  <c r="L218" i="125"/>
  <c r="F218" i="125"/>
  <c r="I219" i="125"/>
  <c r="L219" i="125"/>
  <c r="F219" i="125"/>
  <c r="I220" i="125"/>
  <c r="L220" i="125"/>
  <c r="F220" i="125"/>
  <c r="I222" i="125"/>
  <c r="L222" i="125"/>
  <c r="I223" i="125"/>
  <c r="L223" i="125"/>
  <c r="F223" i="125"/>
  <c r="I224" i="125"/>
  <c r="L224" i="125"/>
  <c r="F224" i="125"/>
  <c r="I226" i="125"/>
  <c r="L226" i="125"/>
  <c r="F226" i="125"/>
  <c r="I227" i="125"/>
  <c r="L227" i="125"/>
  <c r="F227" i="125"/>
  <c r="I228" i="125"/>
  <c r="L228" i="125"/>
  <c r="F228" i="125"/>
  <c r="I229" i="125"/>
  <c r="L229" i="125"/>
  <c r="F229" i="125"/>
  <c r="I230" i="125"/>
  <c r="L230" i="125"/>
  <c r="F230" i="125"/>
  <c r="E41" i="126"/>
  <c r="K37" i="126"/>
  <c r="M37" i="126"/>
  <c r="R128" i="126"/>
  <c r="W75" i="126"/>
  <c r="P182" i="126"/>
  <c r="P181" i="126"/>
  <c r="E182" i="126"/>
  <c r="S75" i="126"/>
  <c r="O182" i="126"/>
  <c r="O181" i="126"/>
  <c r="D182" i="126"/>
  <c r="BC95" i="126"/>
  <c r="E68" i="126"/>
  <c r="J68" i="126"/>
  <c r="J32" i="126"/>
  <c r="L32" i="126"/>
  <c r="M15" i="126"/>
  <c r="N15" i="126"/>
  <c r="J205" i="126"/>
  <c r="D205" i="126"/>
  <c r="H205" i="126"/>
  <c r="K205" i="126"/>
  <c r="E205" i="126"/>
  <c r="I205" i="126"/>
  <c r="L205" i="126"/>
  <c r="F205" i="126"/>
  <c r="J209" i="126"/>
  <c r="D209" i="126"/>
  <c r="H209" i="126"/>
  <c r="K209" i="126"/>
  <c r="E209" i="126"/>
  <c r="I209" i="126"/>
  <c r="L209" i="126"/>
  <c r="F209" i="126"/>
  <c r="J220" i="126"/>
  <c r="D220" i="126"/>
  <c r="H220" i="126"/>
  <c r="K220" i="126"/>
  <c r="E220" i="126"/>
  <c r="J196" i="118"/>
  <c r="D196" i="118"/>
  <c r="H196" i="118"/>
  <c r="K196" i="118"/>
  <c r="E196" i="118"/>
  <c r="I196" i="118"/>
  <c r="L196" i="118"/>
  <c r="F196" i="118"/>
  <c r="S75" i="118"/>
  <c r="O173" i="118"/>
  <c r="O172" i="118"/>
  <c r="D173" i="118"/>
  <c r="BC86" i="118"/>
  <c r="E68" i="118"/>
  <c r="J68" i="118"/>
  <c r="J32" i="118"/>
  <c r="L32" i="118"/>
  <c r="F52" i="118"/>
  <c r="K37" i="118"/>
  <c r="M37" i="118"/>
  <c r="E41" i="118"/>
  <c r="R118" i="118"/>
  <c r="R119" i="118"/>
  <c r="J200" i="118"/>
  <c r="D200" i="118"/>
  <c r="I200" i="118"/>
  <c r="L200" i="118"/>
  <c r="F200" i="118"/>
  <c r="H200" i="118"/>
  <c r="K200" i="118"/>
  <c r="E200" i="118"/>
  <c r="J211" i="118"/>
  <c r="D211" i="118"/>
  <c r="H211" i="118"/>
  <c r="K211" i="118"/>
  <c r="E211" i="118"/>
  <c r="J196" i="117"/>
  <c r="D196" i="117"/>
  <c r="H196" i="117"/>
  <c r="K196" i="117"/>
  <c r="E196" i="117"/>
  <c r="I196" i="117"/>
  <c r="L196" i="117"/>
  <c r="F196" i="117"/>
  <c r="S75" i="117"/>
  <c r="O173" i="117"/>
  <c r="O172" i="117"/>
  <c r="D173" i="117"/>
  <c r="BC86" i="117"/>
  <c r="E68" i="117"/>
  <c r="J68" i="117"/>
  <c r="J32" i="117"/>
  <c r="L32" i="117"/>
  <c r="J200" i="117"/>
  <c r="D200" i="117"/>
  <c r="I200" i="117"/>
  <c r="L200" i="117"/>
  <c r="F200" i="117"/>
  <c r="H200" i="117"/>
  <c r="K200" i="117"/>
  <c r="E200" i="117"/>
  <c r="J211" i="117"/>
  <c r="D211" i="117"/>
  <c r="H211" i="117"/>
  <c r="K211" i="117"/>
  <c r="E211" i="117"/>
  <c r="J205" i="127"/>
  <c r="D205" i="127"/>
  <c r="H205" i="127"/>
  <c r="K205" i="127"/>
  <c r="E205" i="127"/>
  <c r="I205" i="127"/>
  <c r="L205" i="127"/>
  <c r="F205" i="127"/>
  <c r="S75" i="127"/>
  <c r="O182" i="127"/>
  <c r="O181" i="127"/>
  <c r="D182" i="127"/>
  <c r="BC95" i="127"/>
  <c r="E68" i="127"/>
  <c r="J68" i="127"/>
  <c r="J32" i="127"/>
  <c r="L32" i="127"/>
  <c r="J209" i="127"/>
  <c r="D209" i="127"/>
  <c r="I209" i="127"/>
  <c r="L209" i="127"/>
  <c r="F209" i="127"/>
  <c r="H209" i="127"/>
  <c r="K209" i="127"/>
  <c r="E209" i="127"/>
  <c r="K37" i="127"/>
  <c r="M37" i="127"/>
  <c r="E41" i="127"/>
  <c r="R128" i="127"/>
  <c r="J220" i="127"/>
  <c r="D220" i="127"/>
  <c r="H220" i="127"/>
  <c r="K220" i="127"/>
  <c r="E220" i="127"/>
  <c r="J197" i="119"/>
  <c r="D197" i="119"/>
  <c r="H197" i="119"/>
  <c r="K197" i="119"/>
  <c r="E197" i="119"/>
  <c r="I197" i="119"/>
  <c r="L197" i="119"/>
  <c r="F197" i="119"/>
  <c r="S75" i="119"/>
  <c r="O174" i="119"/>
  <c r="O173" i="119"/>
  <c r="D174" i="119"/>
  <c r="BC87" i="119"/>
  <c r="E68" i="119"/>
  <c r="J68" i="119"/>
  <c r="J32" i="119"/>
  <c r="L32" i="119"/>
  <c r="J201" i="119"/>
  <c r="D201" i="119"/>
  <c r="I201" i="119"/>
  <c r="L201" i="119"/>
  <c r="F201" i="119"/>
  <c r="H201" i="119"/>
  <c r="K201" i="119"/>
  <c r="E201" i="119"/>
  <c r="K37" i="119"/>
  <c r="M37" i="119"/>
  <c r="E41" i="119"/>
  <c r="R119" i="119"/>
  <c r="R120" i="119"/>
  <c r="J212" i="119"/>
  <c r="D212" i="119"/>
  <c r="H212" i="119"/>
  <c r="K212" i="119"/>
  <c r="E212" i="119"/>
  <c r="W75" i="123"/>
  <c r="P177" i="123"/>
  <c r="P176" i="123"/>
  <c r="E177" i="123"/>
  <c r="S75" i="123"/>
  <c r="O177" i="123"/>
  <c r="O176" i="123"/>
  <c r="D177" i="123"/>
  <c r="BC90" i="123"/>
  <c r="E68" i="123"/>
  <c r="J68" i="123"/>
  <c r="J32" i="123"/>
  <c r="L32" i="123"/>
  <c r="M15" i="123"/>
  <c r="N15" i="123"/>
  <c r="J200" i="123"/>
  <c r="D200" i="123"/>
  <c r="H200" i="123"/>
  <c r="K200" i="123"/>
  <c r="E200" i="123"/>
  <c r="I200" i="123"/>
  <c r="L200" i="123"/>
  <c r="F200" i="123"/>
  <c r="J204" i="123"/>
  <c r="D204" i="123"/>
  <c r="H204" i="123"/>
  <c r="K204" i="123"/>
  <c r="E204" i="123"/>
  <c r="I204" i="123"/>
  <c r="L204" i="123"/>
  <c r="F204" i="123"/>
  <c r="E41" i="123"/>
  <c r="R122" i="123"/>
  <c r="C65" i="123"/>
  <c r="K37" i="123"/>
  <c r="M37" i="123"/>
  <c r="F52" i="123"/>
  <c r="R123" i="123"/>
  <c r="J215" i="123"/>
  <c r="D215" i="123"/>
  <c r="H215" i="123"/>
  <c r="K215" i="123"/>
  <c r="E215" i="123"/>
  <c r="J205" i="130"/>
  <c r="D205" i="130"/>
  <c r="H205" i="130"/>
  <c r="K205" i="130"/>
  <c r="E205" i="130"/>
  <c r="I205" i="130"/>
  <c r="L205" i="130"/>
  <c r="F205" i="130"/>
  <c r="S75" i="130"/>
  <c r="O182" i="130"/>
  <c r="O181" i="130"/>
  <c r="D182" i="130"/>
  <c r="J32" i="130"/>
  <c r="L32" i="130"/>
  <c r="J209" i="130"/>
  <c r="D209" i="130"/>
  <c r="I209" i="130"/>
  <c r="L209" i="130"/>
  <c r="F209" i="130"/>
  <c r="H209" i="130"/>
  <c r="K209" i="130"/>
  <c r="E209" i="130"/>
  <c r="J220" i="130"/>
  <c r="D220" i="130"/>
  <c r="H220" i="130"/>
  <c r="K220" i="130"/>
  <c r="E220" i="130"/>
  <c r="J200" i="124"/>
  <c r="D200" i="124"/>
  <c r="H200" i="124"/>
  <c r="K200" i="124"/>
  <c r="E200" i="124"/>
  <c r="I200" i="124"/>
  <c r="L200" i="124"/>
  <c r="F200" i="124"/>
  <c r="S75" i="124"/>
  <c r="O177" i="124"/>
  <c r="O176" i="124"/>
  <c r="D177" i="124"/>
  <c r="BC90" i="124"/>
  <c r="E68" i="124"/>
  <c r="J68" i="124"/>
  <c r="J32" i="124"/>
  <c r="L32" i="124"/>
  <c r="J204" i="124"/>
  <c r="D204" i="124"/>
  <c r="I204" i="124"/>
  <c r="L204" i="124"/>
  <c r="F204" i="124"/>
  <c r="H204" i="124"/>
  <c r="K204" i="124"/>
  <c r="E204" i="124"/>
  <c r="J215" i="124"/>
  <c r="D215" i="124"/>
  <c r="H215" i="124"/>
  <c r="K215" i="124"/>
  <c r="E215" i="124"/>
  <c r="J200" i="116"/>
  <c r="D200" i="116"/>
  <c r="H200" i="116"/>
  <c r="K200" i="116"/>
  <c r="E200" i="116"/>
  <c r="I200" i="116"/>
  <c r="L200" i="116"/>
  <c r="F200" i="116"/>
  <c r="J196" i="116"/>
  <c r="D196" i="116"/>
  <c r="H196" i="116"/>
  <c r="K196" i="116"/>
  <c r="E196" i="116"/>
  <c r="I196" i="116"/>
  <c r="L196" i="116"/>
  <c r="F196" i="116"/>
  <c r="S75" i="116"/>
  <c r="O173" i="116"/>
  <c r="O172" i="116"/>
  <c r="D173" i="116"/>
  <c r="J32" i="116"/>
  <c r="L32" i="116"/>
  <c r="T159" i="114"/>
  <c r="M15" i="116"/>
  <c r="N15" i="116"/>
  <c r="J211" i="116"/>
  <c r="D211" i="116"/>
  <c r="H211" i="116"/>
  <c r="K211" i="116"/>
  <c r="E211" i="116"/>
  <c r="W75" i="129"/>
  <c r="P182" i="129"/>
  <c r="P181" i="129"/>
  <c r="E182" i="129"/>
  <c r="J205" i="129"/>
  <c r="D205" i="129"/>
  <c r="H205" i="129"/>
  <c r="K205" i="129"/>
  <c r="E205" i="129"/>
  <c r="I205" i="129"/>
  <c r="L205" i="129"/>
  <c r="F205" i="129"/>
  <c r="S75" i="129"/>
  <c r="O182" i="129"/>
  <c r="O181" i="129"/>
  <c r="D182" i="129"/>
  <c r="J68" i="129"/>
  <c r="BC95" i="129"/>
  <c r="E68" i="129"/>
  <c r="J32" i="129"/>
  <c r="L32" i="129"/>
  <c r="J209" i="129"/>
  <c r="D209" i="129"/>
  <c r="I209" i="129"/>
  <c r="L209" i="129"/>
  <c r="F209" i="129"/>
  <c r="H209" i="129"/>
  <c r="K209" i="129"/>
  <c r="E209" i="129"/>
  <c r="T160" i="114"/>
  <c r="M15" i="129"/>
  <c r="N15" i="129"/>
  <c r="J220" i="129"/>
  <c r="D220" i="129"/>
  <c r="H220" i="129"/>
  <c r="K220" i="129"/>
  <c r="E220" i="129"/>
  <c r="R147" i="114"/>
  <c r="R148" i="114"/>
  <c r="K37" i="114"/>
  <c r="J23" i="133"/>
  <c r="M37" i="114"/>
  <c r="M23" i="133"/>
  <c r="J201" i="125"/>
  <c r="D201" i="125"/>
  <c r="H201" i="125"/>
  <c r="K201" i="125"/>
  <c r="E201" i="125"/>
  <c r="I201" i="125"/>
  <c r="L201" i="125"/>
  <c r="F201" i="125"/>
  <c r="W75" i="125"/>
  <c r="P178" i="125"/>
  <c r="P177" i="125"/>
  <c r="E178" i="125"/>
  <c r="S75" i="125"/>
  <c r="O178" i="125"/>
  <c r="O177" i="125"/>
  <c r="D178" i="125"/>
  <c r="BC91" i="125"/>
  <c r="E68" i="125"/>
  <c r="J68" i="125"/>
  <c r="J32" i="125"/>
  <c r="L32" i="125"/>
  <c r="J205" i="125"/>
  <c r="D205" i="125"/>
  <c r="I205" i="125"/>
  <c r="L205" i="125"/>
  <c r="F205" i="125"/>
  <c r="H205" i="125"/>
  <c r="K205" i="125"/>
  <c r="E205" i="125"/>
  <c r="F52" i="125"/>
  <c r="E41" i="125"/>
  <c r="K37" i="125"/>
  <c r="M37" i="125"/>
  <c r="R123" i="125"/>
  <c r="R124" i="125"/>
  <c r="J216" i="125"/>
  <c r="D216" i="125"/>
  <c r="H216" i="125"/>
  <c r="K216" i="125"/>
  <c r="E216" i="125"/>
  <c r="R118" i="115"/>
  <c r="C65" i="115"/>
  <c r="C64" i="115"/>
  <c r="K37" i="115"/>
  <c r="M37" i="115"/>
  <c r="E41" i="115"/>
  <c r="F52" i="115"/>
  <c r="R119" i="115"/>
  <c r="W75" i="115"/>
  <c r="P173" i="115"/>
  <c r="P172" i="115"/>
  <c r="E173" i="115"/>
  <c r="M15" i="115"/>
  <c r="N15" i="115"/>
  <c r="S75" i="115"/>
  <c r="O173" i="115"/>
  <c r="O172" i="115"/>
  <c r="D173" i="115"/>
  <c r="BC86" i="115"/>
  <c r="E68" i="115"/>
  <c r="J68" i="115"/>
  <c r="J32" i="115"/>
  <c r="L32" i="115"/>
  <c r="J200" i="115"/>
  <c r="D200" i="115"/>
  <c r="H200" i="115"/>
  <c r="K200" i="115"/>
  <c r="E200" i="115"/>
  <c r="I200" i="115"/>
  <c r="L200" i="115"/>
  <c r="F200" i="115"/>
  <c r="J196" i="115"/>
  <c r="D196" i="115"/>
  <c r="H196" i="115"/>
  <c r="K196" i="115"/>
  <c r="E196" i="115"/>
  <c r="I196" i="115"/>
  <c r="L196" i="115"/>
  <c r="F196" i="115"/>
  <c r="J211" i="115"/>
  <c r="D211" i="115"/>
  <c r="H211" i="115"/>
  <c r="K211" i="115"/>
  <c r="E211" i="115"/>
  <c r="R123" i="121"/>
  <c r="C65" i="121"/>
  <c r="E41" i="121"/>
  <c r="R122" i="121"/>
  <c r="K37" i="121"/>
  <c r="M37" i="121"/>
  <c r="F52" i="121"/>
  <c r="W75" i="121"/>
  <c r="P177" i="121"/>
  <c r="P176" i="121"/>
  <c r="E177" i="121"/>
  <c r="S75" i="121"/>
  <c r="O177" i="121"/>
  <c r="O176" i="121"/>
  <c r="D177" i="121"/>
  <c r="BC90" i="121"/>
  <c r="E68" i="121"/>
  <c r="J68" i="121"/>
  <c r="J32" i="121"/>
  <c r="L32" i="121"/>
  <c r="M15" i="121"/>
  <c r="N15" i="121"/>
  <c r="J204" i="121"/>
  <c r="D204" i="121"/>
  <c r="H204" i="121"/>
  <c r="K204" i="121"/>
  <c r="E204" i="121"/>
  <c r="I204" i="121"/>
  <c r="L204" i="121"/>
  <c r="F204" i="121"/>
  <c r="J200" i="121"/>
  <c r="D200" i="121"/>
  <c r="H200" i="121"/>
  <c r="K200" i="121"/>
  <c r="E200" i="121"/>
  <c r="I200" i="121"/>
  <c r="L200" i="121"/>
  <c r="F200" i="121"/>
  <c r="J215" i="121"/>
  <c r="D215" i="121"/>
  <c r="H215" i="121"/>
  <c r="K215" i="121"/>
  <c r="E215" i="121"/>
  <c r="J197" i="120"/>
  <c r="D197" i="120"/>
  <c r="H197" i="120"/>
  <c r="K197" i="120"/>
  <c r="E197" i="120"/>
  <c r="I197" i="120"/>
  <c r="L197" i="120"/>
  <c r="F197" i="120"/>
  <c r="S75" i="120"/>
  <c r="O174" i="120"/>
  <c r="O173" i="120"/>
  <c r="D174" i="120"/>
  <c r="BC87" i="120"/>
  <c r="E68" i="120"/>
  <c r="J68" i="120"/>
  <c r="J32" i="120"/>
  <c r="L32" i="120"/>
  <c r="M15" i="120"/>
  <c r="N15" i="120"/>
  <c r="J201" i="120"/>
  <c r="D201" i="120"/>
  <c r="H201" i="120"/>
  <c r="K201" i="120"/>
  <c r="E201" i="120"/>
  <c r="I201" i="120"/>
  <c r="L201" i="120"/>
  <c r="F201" i="120"/>
  <c r="F52" i="120"/>
  <c r="E41" i="120"/>
  <c r="K37" i="120"/>
  <c r="M37" i="120"/>
  <c r="R119" i="120"/>
  <c r="R120" i="120"/>
  <c r="J212" i="120"/>
  <c r="D212" i="120"/>
  <c r="H212" i="120"/>
  <c r="K212" i="120"/>
  <c r="E212" i="120"/>
  <c r="J209" i="128"/>
  <c r="D209" i="128"/>
  <c r="H209" i="128"/>
  <c r="K209" i="128"/>
  <c r="E209" i="128"/>
  <c r="I209" i="128"/>
  <c r="L209" i="128"/>
  <c r="F209" i="128"/>
  <c r="J205" i="128"/>
  <c r="D205" i="128"/>
  <c r="H205" i="128"/>
  <c r="K205" i="128"/>
  <c r="E205" i="128"/>
  <c r="I205" i="128"/>
  <c r="L205" i="128"/>
  <c r="F205" i="128"/>
  <c r="S75" i="128"/>
  <c r="O182" i="128"/>
  <c r="O181" i="128"/>
  <c r="D182" i="128"/>
  <c r="BC95" i="128"/>
  <c r="E68" i="128"/>
  <c r="J68" i="128"/>
  <c r="J32" i="128"/>
  <c r="L32" i="128"/>
  <c r="M15" i="128"/>
  <c r="N15" i="128"/>
  <c r="K37" i="128"/>
  <c r="M37" i="128"/>
  <c r="R128" i="128"/>
  <c r="J220" i="128"/>
  <c r="D220" i="128"/>
  <c r="H220" i="128"/>
  <c r="K220" i="128"/>
  <c r="E220" i="128"/>
  <c r="J200" i="122"/>
  <c r="D200" i="122"/>
  <c r="H200" i="122"/>
  <c r="K200" i="122"/>
  <c r="E200" i="122"/>
  <c r="I200" i="122"/>
  <c r="L200" i="122"/>
  <c r="F200" i="122"/>
  <c r="S75" i="122"/>
  <c r="O177" i="122"/>
  <c r="O176" i="122"/>
  <c r="D177" i="122"/>
  <c r="BC90" i="122"/>
  <c r="E68" i="122"/>
  <c r="J68" i="122"/>
  <c r="J32" i="122"/>
  <c r="L32" i="122"/>
  <c r="M15" i="122"/>
  <c r="N15" i="122"/>
  <c r="J204" i="122"/>
  <c r="D204" i="122"/>
  <c r="H204" i="122"/>
  <c r="K204" i="122"/>
  <c r="E204" i="122"/>
  <c r="I204" i="122"/>
  <c r="L204" i="122"/>
  <c r="F204" i="122"/>
  <c r="F52" i="122"/>
  <c r="E41" i="122"/>
  <c r="K37" i="122"/>
  <c r="M37" i="122"/>
  <c r="R122" i="122"/>
  <c r="R123" i="122"/>
  <c r="J215" i="122"/>
  <c r="D215" i="122"/>
  <c r="H215" i="122"/>
  <c r="K215" i="122"/>
  <c r="E215" i="122"/>
  <c r="I220" i="126"/>
  <c r="L220" i="126"/>
  <c r="F220" i="126"/>
  <c r="O19" i="118"/>
  <c r="O18" i="118"/>
  <c r="O17" i="118"/>
  <c r="O19" i="117"/>
  <c r="O18" i="117"/>
  <c r="O17" i="117"/>
  <c r="F37" i="117"/>
  <c r="O19" i="127"/>
  <c r="O18" i="127"/>
  <c r="O17" i="127"/>
  <c r="O19" i="119"/>
  <c r="O18" i="119"/>
  <c r="O17" i="119"/>
  <c r="I215" i="123"/>
  <c r="L215" i="123"/>
  <c r="F215" i="123"/>
  <c r="O19" i="130"/>
  <c r="O18" i="130"/>
  <c r="O17" i="130"/>
  <c r="O19" i="124"/>
  <c r="O18" i="124"/>
  <c r="O17" i="124"/>
  <c r="F37" i="124"/>
  <c r="F37" i="116"/>
  <c r="I220" i="129"/>
  <c r="L220" i="129"/>
  <c r="F220" i="129"/>
  <c r="O19" i="125"/>
  <c r="O18" i="125"/>
  <c r="O17" i="125"/>
  <c r="O16" i="125"/>
  <c r="O15" i="125"/>
  <c r="I216" i="125"/>
  <c r="L216" i="125"/>
  <c r="F216" i="125"/>
  <c r="I211" i="115"/>
  <c r="L211" i="115"/>
  <c r="F211" i="115"/>
  <c r="I215" i="121"/>
  <c r="L215" i="121"/>
  <c r="F215" i="121"/>
  <c r="M15" i="125"/>
  <c r="N15" i="125"/>
  <c r="K37" i="129"/>
  <c r="M37" i="129"/>
  <c r="E41" i="129"/>
  <c r="R128" i="129"/>
  <c r="F52" i="116"/>
  <c r="K37" i="116"/>
  <c r="M37" i="116"/>
  <c r="E41" i="116"/>
  <c r="R118" i="116"/>
  <c r="R119" i="116"/>
  <c r="F52" i="124"/>
  <c r="K37" i="124"/>
  <c r="M37" i="124"/>
  <c r="E41" i="124"/>
  <c r="R122" i="124"/>
  <c r="R123" i="124"/>
  <c r="K37" i="130"/>
  <c r="M37" i="130"/>
  <c r="E41" i="130"/>
  <c r="R128" i="130"/>
  <c r="F52" i="117"/>
  <c r="K37" i="117"/>
  <c r="M37" i="117"/>
  <c r="E41" i="117"/>
  <c r="R118" i="117"/>
  <c r="R119" i="117"/>
  <c r="C41" i="122"/>
  <c r="E42" i="122"/>
  <c r="D41" i="122"/>
  <c r="K42" i="122"/>
  <c r="M42" i="122"/>
  <c r="F61" i="122"/>
  <c r="H52" i="122"/>
  <c r="J52" i="122"/>
  <c r="S7" i="122"/>
  <c r="U7" i="122"/>
  <c r="D41" i="128"/>
  <c r="K42" i="128"/>
  <c r="M42" i="128"/>
  <c r="H52" i="128"/>
  <c r="J52" i="128"/>
  <c r="Q7" i="128"/>
  <c r="S7" i="128"/>
  <c r="U7" i="128"/>
  <c r="C41" i="120"/>
  <c r="E42" i="120"/>
  <c r="D41" i="120"/>
  <c r="K42" i="120"/>
  <c r="M42" i="120"/>
  <c r="F61" i="120"/>
  <c r="H52" i="120"/>
  <c r="J52" i="120"/>
  <c r="Q7" i="120"/>
  <c r="S7" i="120"/>
  <c r="U7" i="120"/>
  <c r="S7" i="121"/>
  <c r="U7" i="121"/>
  <c r="H52" i="121"/>
  <c r="J52" i="121"/>
  <c r="F61" i="121"/>
  <c r="C41" i="121"/>
  <c r="D41" i="121"/>
  <c r="K42" i="121"/>
  <c r="M42" i="121"/>
  <c r="C64" i="121"/>
  <c r="E104" i="121"/>
  <c r="J104" i="121"/>
  <c r="Q7" i="115"/>
  <c r="S7" i="115"/>
  <c r="U7" i="115"/>
  <c r="H52" i="115"/>
  <c r="J52" i="115"/>
  <c r="F61" i="115"/>
  <c r="C41" i="115"/>
  <c r="D41" i="115"/>
  <c r="K42" i="115"/>
  <c r="M42" i="115"/>
  <c r="F72" i="115"/>
  <c r="H64" i="115"/>
  <c r="J64" i="115"/>
  <c r="H65" i="115"/>
  <c r="N66" i="115"/>
  <c r="D41" i="125"/>
  <c r="E42" i="125"/>
  <c r="C41" i="125"/>
  <c r="K42" i="125"/>
  <c r="M42" i="125"/>
  <c r="F61" i="125"/>
  <c r="H52" i="125"/>
  <c r="J52" i="125"/>
  <c r="C41" i="114"/>
  <c r="K42" i="114"/>
  <c r="M42" i="114"/>
  <c r="Q86" i="114"/>
  <c r="Q158" i="114"/>
  <c r="AF158" i="114"/>
  <c r="AH158" i="114"/>
  <c r="H52" i="114"/>
  <c r="J52" i="114"/>
  <c r="H47" i="133"/>
  <c r="Q7" i="129"/>
  <c r="M75" i="129"/>
  <c r="S7" i="129"/>
  <c r="U7" i="129"/>
  <c r="AF160" i="114"/>
  <c r="AH160" i="114"/>
  <c r="O19" i="135"/>
  <c r="Y160" i="114"/>
  <c r="AD160" i="114"/>
  <c r="R19" i="135"/>
  <c r="Q7" i="116"/>
  <c r="M75" i="116"/>
  <c r="S7" i="116"/>
  <c r="U7" i="116"/>
  <c r="AF159" i="114"/>
  <c r="AH159" i="114"/>
  <c r="O18" i="135"/>
  <c r="Y159" i="114"/>
  <c r="AD159" i="114"/>
  <c r="R18" i="135"/>
  <c r="H52" i="123"/>
  <c r="J52" i="123"/>
  <c r="F61" i="123"/>
  <c r="C41" i="123"/>
  <c r="D41" i="123"/>
  <c r="K42" i="123"/>
  <c r="M42" i="123"/>
  <c r="Q7" i="123"/>
  <c r="S7" i="123"/>
  <c r="U7" i="123"/>
  <c r="C41" i="119"/>
  <c r="D41" i="119"/>
  <c r="K42" i="119"/>
  <c r="M42" i="119"/>
  <c r="H52" i="119"/>
  <c r="J52" i="119"/>
  <c r="C41" i="127"/>
  <c r="D41" i="127"/>
  <c r="K42" i="127"/>
  <c r="M42" i="127"/>
  <c r="H52" i="127"/>
  <c r="J52" i="127"/>
  <c r="C41" i="118"/>
  <c r="D41" i="118"/>
  <c r="K42" i="118"/>
  <c r="M42" i="118"/>
  <c r="F61" i="118"/>
  <c r="H52" i="118"/>
  <c r="J52" i="118"/>
  <c r="Q7" i="126"/>
  <c r="S7" i="126"/>
  <c r="U7" i="126"/>
  <c r="C41" i="126"/>
  <c r="D41" i="126"/>
  <c r="K42" i="126"/>
  <c r="M42" i="126"/>
  <c r="H52" i="126"/>
  <c r="J52" i="126"/>
  <c r="F222" i="125"/>
  <c r="N222" i="125"/>
  <c r="AB75" i="125"/>
  <c r="Q178" i="125"/>
  <c r="Q177" i="125"/>
  <c r="F178" i="125"/>
  <c r="F226" i="129"/>
  <c r="N226" i="129"/>
  <c r="AB75" i="129"/>
  <c r="Q182" i="129"/>
  <c r="Q181" i="129"/>
  <c r="F182" i="129"/>
  <c r="F226" i="126"/>
  <c r="N226" i="126"/>
  <c r="AB75" i="126"/>
  <c r="Q182" i="126"/>
  <c r="Q181" i="126"/>
  <c r="F182" i="126"/>
  <c r="F217" i="115"/>
  <c r="N217" i="115"/>
  <c r="AB75" i="115"/>
  <c r="Q173" i="115"/>
  <c r="Q172" i="115"/>
  <c r="F173" i="115"/>
  <c r="F221" i="123"/>
  <c r="N221" i="123"/>
  <c r="AB75" i="123"/>
  <c r="Q177" i="123"/>
  <c r="Q176" i="123"/>
  <c r="F177" i="123"/>
  <c r="F221" i="121"/>
  <c r="N221" i="121"/>
  <c r="AB75" i="121"/>
  <c r="Q177" i="121"/>
  <c r="Q176" i="121"/>
  <c r="F177" i="121"/>
  <c r="E34" i="132"/>
  <c r="U7" i="114"/>
  <c r="Y90" i="114"/>
  <c r="AD90" i="114"/>
  <c r="Y161" i="114"/>
  <c r="AD161" i="114"/>
  <c r="Y162" i="114"/>
  <c r="AD162" i="114"/>
  <c r="Y165" i="114"/>
  <c r="AD165" i="114"/>
  <c r="Y166" i="114"/>
  <c r="AD166" i="114"/>
  <c r="Y87" i="114"/>
  <c r="AD87" i="114"/>
  <c r="T92" i="114"/>
  <c r="W100" i="114"/>
  <c r="X100" i="114"/>
  <c r="T91" i="114"/>
  <c r="Y93" i="114"/>
  <c r="AD93" i="114"/>
  <c r="Y173" i="114"/>
  <c r="AD173" i="114"/>
  <c r="Y171" i="114"/>
  <c r="AD171" i="114"/>
  <c r="AF172" i="114"/>
  <c r="AH172" i="114"/>
  <c r="Y172" i="114"/>
  <c r="AD172" i="114"/>
  <c r="Y163" i="114"/>
  <c r="AD163" i="114"/>
  <c r="AF164" i="114"/>
  <c r="AH164" i="114"/>
  <c r="Y164" i="114"/>
  <c r="AD164" i="114"/>
  <c r="Q7" i="124"/>
  <c r="M75" i="124"/>
  <c r="S7" i="124"/>
  <c r="U7" i="124"/>
  <c r="U7" i="119"/>
  <c r="M75" i="119"/>
  <c r="Q7" i="119"/>
  <c r="S7" i="119"/>
  <c r="S7" i="127"/>
  <c r="M75" i="127"/>
  <c r="Q7" i="127"/>
  <c r="U7" i="127"/>
  <c r="S7" i="118"/>
  <c r="M75" i="118"/>
  <c r="Q7" i="118"/>
  <c r="U7" i="118"/>
  <c r="Q7" i="130"/>
  <c r="M75" i="130"/>
  <c r="S7" i="130"/>
  <c r="U7" i="130"/>
  <c r="Q7" i="117"/>
  <c r="M75" i="117"/>
  <c r="S7" i="117"/>
  <c r="U7" i="117"/>
  <c r="M79" i="117"/>
  <c r="K106" i="114"/>
  <c r="M78" i="117"/>
  <c r="M80" i="117"/>
  <c r="M81" i="117"/>
  <c r="M82" i="117"/>
  <c r="M91" i="130"/>
  <c r="M78" i="130"/>
  <c r="N78" i="130"/>
  <c r="I78" i="130"/>
  <c r="M79" i="130"/>
  <c r="N79" i="130"/>
  <c r="M80" i="130"/>
  <c r="N80" i="130"/>
  <c r="I80" i="130"/>
  <c r="M81" i="130"/>
  <c r="N81" i="130"/>
  <c r="I81" i="130"/>
  <c r="M82" i="130"/>
  <c r="N82" i="130"/>
  <c r="I82" i="130"/>
  <c r="M83" i="130"/>
  <c r="N83" i="130"/>
  <c r="I83" i="130"/>
  <c r="M84" i="130"/>
  <c r="N84" i="130"/>
  <c r="I84" i="130"/>
  <c r="M85" i="130"/>
  <c r="N85" i="130"/>
  <c r="I85" i="130"/>
  <c r="M86" i="130"/>
  <c r="N86" i="130"/>
  <c r="M87" i="130"/>
  <c r="N87" i="130"/>
  <c r="M88" i="130"/>
  <c r="N88" i="130"/>
  <c r="I88" i="130"/>
  <c r="M89" i="130"/>
  <c r="N89" i="130"/>
  <c r="I89" i="130"/>
  <c r="M90" i="130"/>
  <c r="N90" i="130"/>
  <c r="I90" i="130"/>
  <c r="M80" i="118"/>
  <c r="K97" i="114"/>
  <c r="M78" i="118"/>
  <c r="M79" i="118"/>
  <c r="M81" i="118"/>
  <c r="M82" i="118"/>
  <c r="M80" i="127"/>
  <c r="N80" i="127"/>
  <c r="I80" i="127"/>
  <c r="M89" i="127"/>
  <c r="M78" i="127"/>
  <c r="N78" i="127"/>
  <c r="I78" i="127"/>
  <c r="M79" i="127"/>
  <c r="N79" i="127"/>
  <c r="M81" i="127"/>
  <c r="N81" i="127"/>
  <c r="I81" i="127"/>
  <c r="M82" i="127"/>
  <c r="N82" i="127"/>
  <c r="I82" i="127"/>
  <c r="M83" i="127"/>
  <c r="N83" i="127"/>
  <c r="I83" i="127"/>
  <c r="M84" i="127"/>
  <c r="N84" i="127"/>
  <c r="I84" i="127"/>
  <c r="M85" i="127"/>
  <c r="N85" i="127"/>
  <c r="I85" i="127"/>
  <c r="M86" i="127"/>
  <c r="N86" i="127"/>
  <c r="M87" i="127"/>
  <c r="N87" i="127"/>
  <c r="M88" i="127"/>
  <c r="N88" i="127"/>
  <c r="I88" i="127"/>
  <c r="M90" i="127"/>
  <c r="N90" i="127"/>
  <c r="I90" i="127"/>
  <c r="M91" i="127"/>
  <c r="N91" i="127"/>
  <c r="M82" i="119"/>
  <c r="M81" i="119"/>
  <c r="K96" i="114"/>
  <c r="M78" i="119"/>
  <c r="M79" i="119"/>
  <c r="M80" i="119"/>
  <c r="M86" i="124"/>
  <c r="M85" i="124"/>
  <c r="N85" i="124"/>
  <c r="I85" i="124"/>
  <c r="M79" i="124"/>
  <c r="N79" i="124"/>
  <c r="M78" i="124"/>
  <c r="N78" i="124"/>
  <c r="I78" i="124"/>
  <c r="M80" i="124"/>
  <c r="N80" i="124"/>
  <c r="I80" i="124"/>
  <c r="M81" i="124"/>
  <c r="N81" i="124"/>
  <c r="I81" i="124"/>
  <c r="M82" i="124"/>
  <c r="N82" i="124"/>
  <c r="I82" i="124"/>
  <c r="M83" i="124"/>
  <c r="N83" i="124"/>
  <c r="I83" i="124"/>
  <c r="M84" i="124"/>
  <c r="N84" i="124"/>
  <c r="I84" i="124"/>
  <c r="N23" i="135"/>
  <c r="O23" i="135"/>
  <c r="N12" i="135"/>
  <c r="O12" i="135"/>
  <c r="AD92" i="114"/>
  <c r="AD91" i="114"/>
  <c r="Y92" i="114"/>
  <c r="Y91" i="114"/>
  <c r="N25" i="134"/>
  <c r="Z100" i="114"/>
  <c r="L25" i="134"/>
  <c r="Y100" i="114"/>
  <c r="H61" i="126"/>
  <c r="J61" i="126"/>
  <c r="F109" i="126"/>
  <c r="E133" i="126"/>
  <c r="J130" i="126"/>
  <c r="C133" i="126"/>
  <c r="I130" i="126"/>
  <c r="I131" i="126"/>
  <c r="Q129" i="126"/>
  <c r="Q117" i="118"/>
  <c r="C65" i="118"/>
  <c r="C64" i="118"/>
  <c r="H61" i="118"/>
  <c r="J61" i="118"/>
  <c r="F100" i="118"/>
  <c r="E124" i="118"/>
  <c r="J121" i="118"/>
  <c r="C124" i="118"/>
  <c r="I121" i="118"/>
  <c r="I122" i="118"/>
  <c r="Q120" i="118"/>
  <c r="H61" i="127"/>
  <c r="J61" i="127"/>
  <c r="F109" i="127"/>
  <c r="E133" i="127"/>
  <c r="J130" i="127"/>
  <c r="C133" i="127"/>
  <c r="I130" i="127"/>
  <c r="I131" i="127"/>
  <c r="Q129" i="127"/>
  <c r="J125" i="119"/>
  <c r="F109" i="119"/>
  <c r="O108" i="119"/>
  <c r="E71" i="119"/>
  <c r="Q121" i="119"/>
  <c r="C65" i="119"/>
  <c r="C64" i="119"/>
  <c r="J61" i="119"/>
  <c r="F101" i="119"/>
  <c r="Q118" i="119"/>
  <c r="C125" i="119"/>
  <c r="I122" i="119"/>
  <c r="I123" i="119"/>
  <c r="E125" i="119"/>
  <c r="J122" i="119"/>
  <c r="J123" i="119"/>
  <c r="H61" i="123"/>
  <c r="J61" i="123"/>
  <c r="F103" i="123"/>
  <c r="F104" i="123"/>
  <c r="E128" i="123"/>
  <c r="J125" i="123"/>
  <c r="C128" i="123"/>
  <c r="I125" i="123"/>
  <c r="I126" i="123"/>
  <c r="Q121" i="123"/>
  <c r="Q124" i="123"/>
  <c r="M79" i="116"/>
  <c r="K99" i="114"/>
  <c r="M78" i="116"/>
  <c r="M80" i="116"/>
  <c r="M81" i="116"/>
  <c r="M82" i="116"/>
  <c r="M91" i="129"/>
  <c r="M79" i="129"/>
  <c r="N79" i="129"/>
  <c r="M78" i="129"/>
  <c r="N78" i="129"/>
  <c r="I78" i="129"/>
  <c r="M80" i="129"/>
  <c r="N80" i="129"/>
  <c r="I80" i="129"/>
  <c r="M81" i="129"/>
  <c r="N81" i="129"/>
  <c r="I81" i="129"/>
  <c r="M82" i="129"/>
  <c r="N82" i="129"/>
  <c r="I82" i="129"/>
  <c r="M83" i="129"/>
  <c r="N83" i="129"/>
  <c r="I83" i="129"/>
  <c r="M84" i="129"/>
  <c r="N84" i="129"/>
  <c r="I84" i="129"/>
  <c r="M85" i="129"/>
  <c r="N85" i="129"/>
  <c r="I85" i="129"/>
  <c r="M86" i="129"/>
  <c r="N86" i="129"/>
  <c r="M87" i="129"/>
  <c r="N87" i="129"/>
  <c r="M88" i="129"/>
  <c r="N88" i="129"/>
  <c r="I88" i="129"/>
  <c r="M89" i="129"/>
  <c r="N89" i="129"/>
  <c r="I89" i="129"/>
  <c r="M90" i="129"/>
  <c r="N90" i="129"/>
  <c r="I90" i="129"/>
  <c r="J47" i="133"/>
  <c r="M47" i="133"/>
  <c r="Q163" i="114"/>
  <c r="Q171" i="114"/>
  <c r="E151" i="114"/>
  <c r="AB6" i="114"/>
  <c r="AO21" i="114"/>
  <c r="AQ21" i="114"/>
  <c r="AR21" i="114"/>
  <c r="F128" i="114"/>
  <c r="F129" i="114"/>
  <c r="C152" i="114"/>
  <c r="I148" i="114"/>
  <c r="E152" i="114"/>
  <c r="J148" i="114"/>
  <c r="Q166" i="114"/>
  <c r="Q165" i="114"/>
  <c r="AB8" i="114"/>
  <c r="AB9" i="114"/>
  <c r="AO11" i="114"/>
  <c r="AQ11" i="114"/>
  <c r="AO12" i="114"/>
  <c r="AQ12" i="114"/>
  <c r="AO13" i="114"/>
  <c r="AQ13" i="114"/>
  <c r="AO14" i="114"/>
  <c r="AO15" i="114"/>
  <c r="AQ15" i="114"/>
  <c r="AO16" i="114"/>
  <c r="AQ16" i="114"/>
  <c r="AO17" i="114"/>
  <c r="AQ17" i="114"/>
  <c r="AO18" i="114"/>
  <c r="AQ18" i="114"/>
  <c r="AO19" i="114"/>
  <c r="AQ19" i="114"/>
  <c r="AO20" i="114"/>
  <c r="AQ20" i="114"/>
  <c r="H68" i="133"/>
  <c r="J61" i="114"/>
  <c r="N16" i="134"/>
  <c r="V86" i="114"/>
  <c r="AA158" i="114"/>
  <c r="V158" i="114"/>
  <c r="AA86" i="114"/>
  <c r="H61" i="125"/>
  <c r="J61" i="125"/>
  <c r="F104" i="125"/>
  <c r="E129" i="125"/>
  <c r="J126" i="125"/>
  <c r="C129" i="125"/>
  <c r="I126" i="125"/>
  <c r="I127" i="125"/>
  <c r="Q122" i="125"/>
  <c r="Q125" i="125"/>
  <c r="E43" i="125"/>
  <c r="E44" i="125"/>
  <c r="H42" i="125"/>
  <c r="J65" i="115"/>
  <c r="M65" i="115"/>
  <c r="H78" i="115"/>
  <c r="O76" i="115"/>
  <c r="O75" i="115"/>
  <c r="M75" i="115"/>
  <c r="H79" i="115"/>
  <c r="H82" i="115"/>
  <c r="H81" i="115"/>
  <c r="H80" i="115"/>
  <c r="H61" i="115"/>
  <c r="J61" i="115"/>
  <c r="F100" i="115"/>
  <c r="E124" i="115"/>
  <c r="J121" i="115"/>
  <c r="C124" i="115"/>
  <c r="I121" i="115"/>
  <c r="I122" i="115"/>
  <c r="Q117" i="115"/>
  <c r="Q120" i="115"/>
  <c r="F72" i="121"/>
  <c r="H65" i="121"/>
  <c r="N66" i="121"/>
  <c r="H64" i="121"/>
  <c r="J64" i="121"/>
  <c r="H61" i="121"/>
  <c r="J61" i="121"/>
  <c r="F104" i="121"/>
  <c r="F103" i="121"/>
  <c r="E128" i="121"/>
  <c r="J125" i="121"/>
  <c r="C128" i="121"/>
  <c r="I125" i="121"/>
  <c r="I126" i="121"/>
  <c r="Q121" i="121"/>
  <c r="Q124" i="121"/>
  <c r="H61" i="120"/>
  <c r="J61" i="120"/>
  <c r="E125" i="120"/>
  <c r="J122" i="120"/>
  <c r="C125" i="120"/>
  <c r="I122" i="120"/>
  <c r="I123" i="120"/>
  <c r="Q118" i="120"/>
  <c r="Q121" i="120"/>
  <c r="E43" i="120"/>
  <c r="E44" i="120"/>
  <c r="H42" i="120"/>
  <c r="H61" i="128"/>
  <c r="J61" i="128"/>
  <c r="E133" i="128"/>
  <c r="J130" i="128"/>
  <c r="C133" i="128"/>
  <c r="I130" i="128"/>
  <c r="I131" i="128"/>
  <c r="Q129" i="128"/>
  <c r="H42" i="128"/>
  <c r="H61" i="122"/>
  <c r="J61" i="122"/>
  <c r="F103" i="122"/>
  <c r="E128" i="122"/>
  <c r="J125" i="122"/>
  <c r="C128" i="122"/>
  <c r="I125" i="122"/>
  <c r="I126" i="122"/>
  <c r="Q121" i="122"/>
  <c r="Q124" i="122"/>
  <c r="E43" i="122"/>
  <c r="E44" i="122"/>
  <c r="H42" i="122"/>
  <c r="C41" i="117"/>
  <c r="D41" i="117"/>
  <c r="K42" i="117"/>
  <c r="M42" i="117"/>
  <c r="F61" i="117"/>
  <c r="H52" i="117"/>
  <c r="J52" i="117"/>
  <c r="C41" i="130"/>
  <c r="D41" i="130"/>
  <c r="K42" i="130"/>
  <c r="M42" i="130"/>
  <c r="H52" i="130"/>
  <c r="J52" i="130"/>
  <c r="C41" i="124"/>
  <c r="D41" i="124"/>
  <c r="K42" i="124"/>
  <c r="M42" i="124"/>
  <c r="F61" i="124"/>
  <c r="H52" i="124"/>
  <c r="J52" i="124"/>
  <c r="C41" i="116"/>
  <c r="D41" i="116"/>
  <c r="K42" i="116"/>
  <c r="M42" i="116"/>
  <c r="F61" i="116"/>
  <c r="H52" i="116"/>
  <c r="J52" i="116"/>
  <c r="C41" i="129"/>
  <c r="D41" i="129"/>
  <c r="K42" i="129"/>
  <c r="M42" i="129"/>
  <c r="H52" i="129"/>
  <c r="J52" i="129"/>
  <c r="S7" i="125"/>
  <c r="U7" i="125"/>
  <c r="H61" i="129"/>
  <c r="J61" i="129"/>
  <c r="F109" i="129"/>
  <c r="E133" i="129"/>
  <c r="J130" i="129"/>
  <c r="C133" i="129"/>
  <c r="I130" i="129"/>
  <c r="I131" i="129"/>
  <c r="Q129" i="129"/>
  <c r="Q117" i="116"/>
  <c r="C65" i="116"/>
  <c r="C64" i="116"/>
  <c r="H61" i="116"/>
  <c r="J61" i="116"/>
  <c r="F100" i="116"/>
  <c r="E124" i="116"/>
  <c r="J121" i="116"/>
  <c r="C124" i="116"/>
  <c r="I121" i="116"/>
  <c r="I122" i="116"/>
  <c r="Q120" i="116"/>
  <c r="F103" i="124"/>
  <c r="H61" i="124"/>
  <c r="J61" i="124"/>
  <c r="Q121" i="124"/>
  <c r="C65" i="124"/>
  <c r="F104" i="124"/>
  <c r="E128" i="124"/>
  <c r="J125" i="124"/>
  <c r="C128" i="124"/>
  <c r="I125" i="124"/>
  <c r="I126" i="124"/>
  <c r="Q124" i="124"/>
  <c r="H61" i="130"/>
  <c r="J61" i="130"/>
  <c r="F109" i="130"/>
  <c r="E133" i="130"/>
  <c r="J130" i="130"/>
  <c r="C133" i="130"/>
  <c r="I130" i="130"/>
  <c r="I131" i="130"/>
  <c r="Q129" i="130"/>
  <c r="Q117" i="117"/>
  <c r="C65" i="117"/>
  <c r="C64" i="117"/>
  <c r="H61" i="117"/>
  <c r="J61" i="117"/>
  <c r="F100" i="117"/>
  <c r="E124" i="117"/>
  <c r="J121" i="117"/>
  <c r="C124" i="117"/>
  <c r="I121" i="117"/>
  <c r="I122" i="117"/>
  <c r="Q120" i="117"/>
  <c r="H44" i="122"/>
  <c r="O44" i="122"/>
  <c r="H43" i="122"/>
  <c r="O43" i="122"/>
  <c r="F112" i="122"/>
  <c r="J126" i="122"/>
  <c r="E103" i="122"/>
  <c r="H103" i="122"/>
  <c r="J102" i="122"/>
  <c r="L103" i="122"/>
  <c r="M103" i="122"/>
  <c r="H44" i="128"/>
  <c r="O44" i="128"/>
  <c r="H43" i="128"/>
  <c r="O43" i="128"/>
  <c r="F117" i="128"/>
  <c r="J131" i="128"/>
  <c r="H44" i="120"/>
  <c r="O44" i="120"/>
  <c r="H43" i="120"/>
  <c r="O43" i="120"/>
  <c r="F109" i="120"/>
  <c r="J123" i="120"/>
  <c r="F112" i="121"/>
  <c r="J126" i="121"/>
  <c r="E103" i="121"/>
  <c r="H103" i="121"/>
  <c r="J102" i="121"/>
  <c r="N68" i="121"/>
  <c r="N69" i="121"/>
  <c r="L103" i="121"/>
  <c r="M103" i="121"/>
  <c r="J65" i="121"/>
  <c r="M65" i="121"/>
  <c r="H83" i="121"/>
  <c r="O82" i="121"/>
  <c r="H86" i="121"/>
  <c r="H85" i="121"/>
  <c r="H84" i="121"/>
  <c r="H82" i="121"/>
  <c r="H81" i="121"/>
  <c r="H80" i="121"/>
  <c r="H79" i="121"/>
  <c r="H78" i="121"/>
  <c r="J122" i="115"/>
  <c r="F108" i="115"/>
  <c r="M78" i="115"/>
  <c r="K100" i="114"/>
  <c r="M82" i="115"/>
  <c r="M81" i="115"/>
  <c r="M80" i="115"/>
  <c r="M79" i="115"/>
  <c r="N78" i="115"/>
  <c r="G100" i="114"/>
  <c r="H44" i="125"/>
  <c r="O44" i="125"/>
  <c r="H43" i="125"/>
  <c r="O43" i="125"/>
  <c r="F113" i="125"/>
  <c r="J127" i="125"/>
  <c r="E104" i="125"/>
  <c r="H104" i="125"/>
  <c r="L104" i="125"/>
  <c r="M104" i="125"/>
  <c r="J68" i="133"/>
  <c r="M68" i="133"/>
  <c r="J16" i="134"/>
  <c r="V165" i="114"/>
  <c r="AA165" i="114"/>
  <c r="V166" i="114"/>
  <c r="AA166" i="114"/>
  <c r="E128" i="114"/>
  <c r="H128" i="114"/>
  <c r="L128" i="114"/>
  <c r="M128" i="114"/>
  <c r="N128" i="114"/>
  <c r="N77" i="114"/>
  <c r="E153" i="114"/>
  <c r="J153" i="114"/>
  <c r="J147" i="114"/>
  <c r="J151" i="114"/>
  <c r="AF171" i="114"/>
  <c r="AH171" i="114"/>
  <c r="H11" i="135"/>
  <c r="R11" i="135"/>
  <c r="V171" i="114"/>
  <c r="AA171" i="114"/>
  <c r="AC6" i="114"/>
  <c r="F137" i="114"/>
  <c r="AC8" i="114"/>
  <c r="AC9" i="114"/>
  <c r="L16" i="134"/>
  <c r="AF163" i="114"/>
  <c r="AH163" i="114"/>
  <c r="H22" i="135"/>
  <c r="V163" i="114"/>
  <c r="AA163" i="114"/>
  <c r="I91" i="129"/>
  <c r="H104" i="114"/>
  <c r="I79" i="129"/>
  <c r="I86" i="129"/>
  <c r="I87" i="129"/>
  <c r="N91" i="129"/>
  <c r="L104" i="114"/>
  <c r="K104" i="114"/>
  <c r="F112" i="123"/>
  <c r="J126" i="123"/>
  <c r="E103" i="123"/>
  <c r="H103" i="123"/>
  <c r="L103" i="123"/>
  <c r="M103" i="123"/>
  <c r="N103" i="123"/>
  <c r="F72" i="119"/>
  <c r="H64" i="119"/>
  <c r="J64" i="119"/>
  <c r="H65" i="119"/>
  <c r="N66" i="119"/>
  <c r="C81" i="119"/>
  <c r="C78" i="119"/>
  <c r="C79" i="119"/>
  <c r="C80" i="119"/>
  <c r="C82" i="119"/>
  <c r="F117" i="127"/>
  <c r="J131" i="127"/>
  <c r="F108" i="118"/>
  <c r="J122" i="118"/>
  <c r="F72" i="118"/>
  <c r="H64" i="118"/>
  <c r="J64" i="118"/>
  <c r="H65" i="118"/>
  <c r="N66" i="118"/>
  <c r="F117" i="126"/>
  <c r="J131" i="126"/>
  <c r="N86" i="124"/>
  <c r="L110" i="114"/>
  <c r="K110" i="114"/>
  <c r="N89" i="127"/>
  <c r="K102" i="114"/>
  <c r="N91" i="130"/>
  <c r="L105" i="114"/>
  <c r="K105" i="114"/>
  <c r="F104" i="122"/>
  <c r="R120" i="122"/>
  <c r="Q120" i="122"/>
  <c r="C65" i="122"/>
  <c r="Q169" i="114"/>
  <c r="F109" i="128"/>
  <c r="R125" i="128"/>
  <c r="Q125" i="128"/>
  <c r="C65" i="128"/>
  <c r="C64" i="128"/>
  <c r="F101" i="120"/>
  <c r="R117" i="120"/>
  <c r="Q117" i="120"/>
  <c r="C65" i="120"/>
  <c r="C64" i="120"/>
  <c r="Q167" i="114"/>
  <c r="N80" i="115"/>
  <c r="I80" i="115"/>
  <c r="N81" i="115"/>
  <c r="I81" i="115"/>
  <c r="N82" i="115"/>
  <c r="I82" i="115"/>
  <c r="N79" i="115"/>
  <c r="F105" i="125"/>
  <c r="R121" i="125"/>
  <c r="Q121" i="125"/>
  <c r="C65" i="125"/>
  <c r="C64" i="125"/>
  <c r="Q170" i="114"/>
  <c r="V170" i="114"/>
  <c r="AA170" i="114"/>
  <c r="F72" i="125"/>
  <c r="H64" i="125"/>
  <c r="J64" i="125"/>
  <c r="H65" i="125"/>
  <c r="N66" i="125"/>
  <c r="V167" i="114"/>
  <c r="AA167" i="114"/>
  <c r="F72" i="120"/>
  <c r="H64" i="120"/>
  <c r="J64" i="120"/>
  <c r="H65" i="120"/>
  <c r="N66" i="120"/>
  <c r="F72" i="128"/>
  <c r="H65" i="128"/>
  <c r="N66" i="128"/>
  <c r="H64" i="128"/>
  <c r="J64" i="128"/>
  <c r="V169" i="114"/>
  <c r="AA169" i="114"/>
  <c r="C64" i="122"/>
  <c r="E104" i="122"/>
  <c r="J104" i="122"/>
  <c r="N68" i="122"/>
  <c r="N69" i="122"/>
  <c r="M105" i="114"/>
  <c r="A105" i="114"/>
  <c r="L102" i="114"/>
  <c r="I89" i="127"/>
  <c r="H102" i="114"/>
  <c r="M110" i="114"/>
  <c r="A110" i="114"/>
  <c r="J65" i="118"/>
  <c r="M65" i="118"/>
  <c r="H80" i="118"/>
  <c r="O76" i="118"/>
  <c r="O75" i="118"/>
  <c r="H78" i="118"/>
  <c r="N78" i="118"/>
  <c r="I78" i="118"/>
  <c r="H79" i="118"/>
  <c r="N79" i="118"/>
  <c r="H81" i="118"/>
  <c r="N81" i="118"/>
  <c r="I81" i="118"/>
  <c r="H82" i="118"/>
  <c r="N82" i="118"/>
  <c r="I82" i="118"/>
  <c r="E96" i="114"/>
  <c r="J65" i="119"/>
  <c r="M65" i="119"/>
  <c r="H82" i="119"/>
  <c r="H81" i="119"/>
  <c r="G96" i="114"/>
  <c r="O76" i="119"/>
  <c r="O75" i="119"/>
  <c r="H78" i="119"/>
  <c r="H79" i="119"/>
  <c r="H80" i="119"/>
  <c r="J102" i="123"/>
  <c r="N68" i="123"/>
  <c r="N69" i="123"/>
  <c r="J103" i="123"/>
  <c r="M104" i="114"/>
  <c r="A104" i="114"/>
  <c r="R22" i="135"/>
  <c r="M22" i="135"/>
  <c r="N22" i="135"/>
  <c r="O22" i="135"/>
  <c r="V90" i="114"/>
  <c r="AA90" i="114"/>
  <c r="V87" i="114"/>
  <c r="V93" i="114"/>
  <c r="V92" i="114"/>
  <c r="Y97" i="114"/>
  <c r="L20" i="134"/>
  <c r="AA87" i="114"/>
  <c r="AA93" i="114"/>
  <c r="AA92" i="114"/>
  <c r="Z97" i="114"/>
  <c r="N20" i="134"/>
  <c r="W97" i="114"/>
  <c r="AD9" i="114"/>
  <c r="AE9" i="114"/>
  <c r="AD8" i="114"/>
  <c r="AE8" i="114"/>
  <c r="Q173" i="114"/>
  <c r="AD6" i="114"/>
  <c r="AE6" i="114"/>
  <c r="AD7" i="114"/>
  <c r="AE7" i="114"/>
  <c r="M11" i="135"/>
  <c r="N11" i="135"/>
  <c r="O11" i="135"/>
  <c r="I151" i="114"/>
  <c r="M152" i="114"/>
  <c r="N78" i="114"/>
  <c r="L82" i="133"/>
  <c r="K35" i="134"/>
  <c r="J127" i="114"/>
  <c r="J128" i="114"/>
  <c r="J43" i="125"/>
  <c r="M43" i="125"/>
  <c r="J44" i="125"/>
  <c r="M44" i="125"/>
  <c r="L100" i="114"/>
  <c r="I78" i="115"/>
  <c r="H100" i="114"/>
  <c r="O75" i="121"/>
  <c r="M75" i="121"/>
  <c r="Q7" i="121"/>
  <c r="G107" i="114"/>
  <c r="J43" i="120"/>
  <c r="M43" i="120"/>
  <c r="J44" i="120"/>
  <c r="M44" i="120"/>
  <c r="J43" i="128"/>
  <c r="M43" i="128"/>
  <c r="J44" i="128"/>
  <c r="M44" i="128"/>
  <c r="J43" i="122"/>
  <c r="M43" i="122"/>
  <c r="J44" i="122"/>
  <c r="M44" i="122"/>
  <c r="F108" i="117"/>
  <c r="J122" i="117"/>
  <c r="F72" i="117"/>
  <c r="H64" i="117"/>
  <c r="J64" i="117"/>
  <c r="H65" i="117"/>
  <c r="N66" i="117"/>
  <c r="F117" i="130"/>
  <c r="J131" i="130"/>
  <c r="F112" i="124"/>
  <c r="J126" i="124"/>
  <c r="L103" i="124"/>
  <c r="M103" i="124"/>
  <c r="N103" i="124"/>
  <c r="N70" i="124"/>
  <c r="N71" i="124"/>
  <c r="E103" i="124"/>
  <c r="H103" i="124"/>
  <c r="F108" i="116"/>
  <c r="J122" i="116"/>
  <c r="F72" i="116"/>
  <c r="H64" i="116"/>
  <c r="J64" i="116"/>
  <c r="H65" i="116"/>
  <c r="N66" i="116"/>
  <c r="F117" i="129"/>
  <c r="J131" i="129"/>
  <c r="N82" i="119"/>
  <c r="I82" i="119"/>
  <c r="N80" i="119"/>
  <c r="I80" i="119"/>
  <c r="N79" i="119"/>
  <c r="N78" i="119"/>
  <c r="I78" i="119"/>
  <c r="J65" i="116"/>
  <c r="M65" i="116"/>
  <c r="H79" i="116"/>
  <c r="O76" i="116"/>
  <c r="O75" i="116"/>
  <c r="H78" i="116"/>
  <c r="N78" i="116"/>
  <c r="I78" i="116"/>
  <c r="H80" i="116"/>
  <c r="N80" i="116"/>
  <c r="I80" i="116"/>
  <c r="H81" i="116"/>
  <c r="N81" i="116"/>
  <c r="I81" i="116"/>
  <c r="H82" i="116"/>
  <c r="N82" i="116"/>
  <c r="I82" i="116"/>
  <c r="J103" i="124"/>
  <c r="N68" i="124"/>
  <c r="N69" i="124"/>
  <c r="J102" i="124"/>
  <c r="J65" i="117"/>
  <c r="M65" i="117"/>
  <c r="H79" i="117"/>
  <c r="O82" i="117"/>
  <c r="O75" i="117"/>
  <c r="H78" i="117"/>
  <c r="N78" i="117"/>
  <c r="I78" i="117"/>
  <c r="H80" i="117"/>
  <c r="N80" i="117"/>
  <c r="I80" i="117"/>
  <c r="H81" i="117"/>
  <c r="N81" i="117"/>
  <c r="I81" i="117"/>
  <c r="H82" i="117"/>
  <c r="N82" i="117"/>
  <c r="I82" i="117"/>
  <c r="M83" i="121"/>
  <c r="M86" i="121"/>
  <c r="N86" i="121"/>
  <c r="M85" i="121"/>
  <c r="N85" i="121"/>
  <c r="I85" i="121"/>
  <c r="M84" i="121"/>
  <c r="N84" i="121"/>
  <c r="I84" i="121"/>
  <c r="M82" i="121"/>
  <c r="N82" i="121"/>
  <c r="I82" i="121"/>
  <c r="M81" i="121"/>
  <c r="N81" i="121"/>
  <c r="I81" i="121"/>
  <c r="M80" i="121"/>
  <c r="N80" i="121"/>
  <c r="I80" i="121"/>
  <c r="M79" i="121"/>
  <c r="N79" i="121"/>
  <c r="M78" i="121"/>
  <c r="N78" i="121"/>
  <c r="I78" i="121"/>
  <c r="M100" i="114"/>
  <c r="A100" i="114"/>
  <c r="L77" i="133"/>
  <c r="L76" i="133"/>
  <c r="L83" i="133"/>
  <c r="M35" i="134"/>
  <c r="V173" i="114"/>
  <c r="Q91" i="114"/>
  <c r="AA173" i="114"/>
  <c r="X97" i="114"/>
  <c r="W102" i="114"/>
  <c r="AB11" i="114"/>
  <c r="C85" i="114"/>
  <c r="B85" i="114"/>
  <c r="D50" i="134"/>
  <c r="N80" i="118"/>
  <c r="G97" i="114"/>
  <c r="C91" i="114"/>
  <c r="B91" i="114"/>
  <c r="D56" i="134"/>
  <c r="M102" i="114"/>
  <c r="A102" i="114"/>
  <c r="C86" i="114"/>
  <c r="B86" i="114"/>
  <c r="D51" i="134"/>
  <c r="F72" i="122"/>
  <c r="H64" i="122"/>
  <c r="J64" i="122"/>
  <c r="H65" i="122"/>
  <c r="N66" i="122"/>
  <c r="J65" i="128"/>
  <c r="M65" i="128"/>
  <c r="T168" i="114"/>
  <c r="H90" i="128"/>
  <c r="O76" i="128"/>
  <c r="O75" i="128"/>
  <c r="M75" i="128"/>
  <c r="H91" i="128"/>
  <c r="H89" i="128"/>
  <c r="H88" i="128"/>
  <c r="H87" i="128"/>
  <c r="H86" i="128"/>
  <c r="H85" i="128"/>
  <c r="H84" i="128"/>
  <c r="H83" i="128"/>
  <c r="H82" i="128"/>
  <c r="H81" i="128"/>
  <c r="H80" i="128"/>
  <c r="H79" i="128"/>
  <c r="H78" i="128"/>
  <c r="J65" i="120"/>
  <c r="M65" i="120"/>
  <c r="T167" i="114"/>
  <c r="H82" i="120"/>
  <c r="O83" i="120"/>
  <c r="O75" i="120"/>
  <c r="M75" i="120"/>
  <c r="H78" i="120"/>
  <c r="H79" i="120"/>
  <c r="H80" i="120"/>
  <c r="H81" i="120"/>
  <c r="J65" i="125"/>
  <c r="M65" i="125"/>
  <c r="T170" i="114"/>
  <c r="H87" i="125"/>
  <c r="O76" i="125"/>
  <c r="H78" i="125"/>
  <c r="H79" i="125"/>
  <c r="H80" i="125"/>
  <c r="H81" i="125"/>
  <c r="H82" i="125"/>
  <c r="H83" i="125"/>
  <c r="H84" i="125"/>
  <c r="H85" i="125"/>
  <c r="H86" i="125"/>
  <c r="N81" i="119"/>
  <c r="L96" i="114"/>
  <c r="I81" i="119"/>
  <c r="H96" i="114"/>
  <c r="O75" i="125"/>
  <c r="M75" i="125"/>
  <c r="Q7" i="125"/>
  <c r="G111" i="114"/>
  <c r="Y170" i="114"/>
  <c r="AD170" i="114"/>
  <c r="AF170" i="114"/>
  <c r="AH170" i="114"/>
  <c r="H24" i="135"/>
  <c r="M82" i="120"/>
  <c r="K98" i="114"/>
  <c r="M78" i="120"/>
  <c r="M79" i="120"/>
  <c r="M80" i="120"/>
  <c r="M81" i="120"/>
  <c r="N82" i="120"/>
  <c r="G98" i="114"/>
  <c r="Y167" i="114"/>
  <c r="AD167" i="114"/>
  <c r="AF167" i="114"/>
  <c r="AH167" i="114"/>
  <c r="M90" i="128"/>
  <c r="K103" i="114"/>
  <c r="M91" i="128"/>
  <c r="M89" i="128"/>
  <c r="M88" i="128"/>
  <c r="M87" i="128"/>
  <c r="M86" i="128"/>
  <c r="M85" i="128"/>
  <c r="M84" i="128"/>
  <c r="M83" i="128"/>
  <c r="M82" i="128"/>
  <c r="M81" i="128"/>
  <c r="M80" i="128"/>
  <c r="M79" i="128"/>
  <c r="M78" i="128"/>
  <c r="N90" i="128"/>
  <c r="G103" i="114"/>
  <c r="AF168" i="114"/>
  <c r="AH168" i="114"/>
  <c r="Y168" i="114"/>
  <c r="AD168" i="114"/>
  <c r="J65" i="122"/>
  <c r="M65" i="122"/>
  <c r="T169" i="114"/>
  <c r="H84" i="122"/>
  <c r="O76" i="122"/>
  <c r="H78" i="122"/>
  <c r="H79" i="122"/>
  <c r="H80" i="122"/>
  <c r="H81" i="122"/>
  <c r="H82" i="122"/>
  <c r="H83" i="122"/>
  <c r="H85" i="122"/>
  <c r="H86" i="122"/>
  <c r="G51" i="134"/>
  <c r="A86" i="114"/>
  <c r="F86" i="114"/>
  <c r="J51" i="134"/>
  <c r="C83" i="114"/>
  <c r="B83" i="114"/>
  <c r="D48" i="134"/>
  <c r="G56" i="134"/>
  <c r="A91" i="114"/>
  <c r="F91" i="114"/>
  <c r="J56" i="134"/>
  <c r="L97" i="114"/>
  <c r="I80" i="118"/>
  <c r="H97" i="114"/>
  <c r="G50" i="134"/>
  <c r="A85" i="114"/>
  <c r="F85" i="114"/>
  <c r="J50" i="134"/>
  <c r="AB15" i="114"/>
  <c r="AD15" i="114"/>
  <c r="AB16" i="114"/>
  <c r="AD16" i="114"/>
  <c r="AB17" i="114"/>
  <c r="AD17" i="114"/>
  <c r="AD12" i="114"/>
  <c r="AG12" i="114"/>
  <c r="AB13" i="114"/>
  <c r="AD13" i="114"/>
  <c r="AB14" i="114"/>
  <c r="AD14" i="114"/>
  <c r="AB98" i="114"/>
  <c r="AB99" i="114"/>
  <c r="AB100" i="114"/>
  <c r="AB101" i="114"/>
  <c r="AB97" i="114"/>
  <c r="K43" i="132"/>
  <c r="AF86" i="114"/>
  <c r="AF89" i="114"/>
  <c r="AF88" i="114"/>
  <c r="AF87" i="114"/>
  <c r="AE91" i="114"/>
  <c r="U91" i="114"/>
  <c r="AF92" i="114"/>
  <c r="AF90" i="114"/>
  <c r="E65" i="114"/>
  <c r="F73" i="133"/>
  <c r="AA91" i="114"/>
  <c r="V91" i="114"/>
  <c r="C81" i="114"/>
  <c r="B81" i="114"/>
  <c r="D46" i="134"/>
  <c r="K107" i="114"/>
  <c r="N83" i="121"/>
  <c r="N79" i="117"/>
  <c r="L106" i="114"/>
  <c r="G106" i="114"/>
  <c r="N79" i="116"/>
  <c r="G99" i="114"/>
  <c r="N81" i="120"/>
  <c r="I81" i="120"/>
  <c r="N80" i="120"/>
  <c r="I80" i="120"/>
  <c r="N79" i="120"/>
  <c r="N78" i="120"/>
  <c r="I78" i="120"/>
  <c r="N78" i="128"/>
  <c r="I78" i="128"/>
  <c r="N79" i="128"/>
  <c r="N80" i="128"/>
  <c r="I80" i="128"/>
  <c r="N81" i="128"/>
  <c r="I81" i="128"/>
  <c r="N82" i="128"/>
  <c r="I82" i="128"/>
  <c r="N83" i="128"/>
  <c r="I83" i="128"/>
  <c r="N84" i="128"/>
  <c r="I84" i="128"/>
  <c r="N85" i="128"/>
  <c r="I85" i="128"/>
  <c r="N86" i="128"/>
  <c r="N87" i="128"/>
  <c r="N88" i="128"/>
  <c r="I88" i="128"/>
  <c r="N89" i="128"/>
  <c r="I89" i="128"/>
  <c r="N91" i="128"/>
  <c r="C51" i="134"/>
  <c r="C56" i="134"/>
  <c r="C50" i="134"/>
  <c r="L99" i="114"/>
  <c r="I79" i="116"/>
  <c r="H99" i="114"/>
  <c r="M106" i="114"/>
  <c r="A106" i="114"/>
  <c r="L107" i="114"/>
  <c r="I83" i="121"/>
  <c r="H107" i="114"/>
  <c r="G46" i="134"/>
  <c r="A81" i="114"/>
  <c r="F81" i="114"/>
  <c r="J46" i="134"/>
  <c r="J73" i="133"/>
  <c r="M73" i="133"/>
  <c r="C80" i="133"/>
  <c r="AG13" i="114"/>
  <c r="AG14" i="114"/>
  <c r="AF93" i="114"/>
  <c r="H85" i="114"/>
  <c r="I85" i="114"/>
  <c r="L50" i="134"/>
  <c r="J85" i="114"/>
  <c r="N50" i="134"/>
  <c r="M97" i="114"/>
  <c r="A97" i="114"/>
  <c r="H91" i="114"/>
  <c r="I91" i="114"/>
  <c r="L56" i="134"/>
  <c r="J91" i="114"/>
  <c r="N56" i="134"/>
  <c r="G48" i="134"/>
  <c r="A83" i="114"/>
  <c r="F83" i="114"/>
  <c r="J48" i="134"/>
  <c r="H86" i="114"/>
  <c r="I86" i="114"/>
  <c r="L51" i="134"/>
  <c r="J86" i="114"/>
  <c r="N51" i="134"/>
  <c r="O75" i="122"/>
  <c r="M75" i="122"/>
  <c r="Q7" i="122"/>
  <c r="G108" i="114"/>
  <c r="Y169" i="114"/>
  <c r="AD169" i="114"/>
  <c r="AF169" i="114"/>
  <c r="AH169" i="114"/>
  <c r="U14" i="135"/>
  <c r="R14" i="135"/>
  <c r="H14" i="135"/>
  <c r="L103" i="114"/>
  <c r="I90" i="128"/>
  <c r="H103" i="114"/>
  <c r="U13" i="135"/>
  <c r="H13" i="135"/>
  <c r="R13" i="135"/>
  <c r="L98" i="114"/>
  <c r="I82" i="120"/>
  <c r="H98" i="114"/>
  <c r="R24" i="135"/>
  <c r="M24" i="135"/>
  <c r="N24" i="135"/>
  <c r="O24" i="135"/>
  <c r="M87" i="125"/>
  <c r="M78" i="125"/>
  <c r="N78" i="125"/>
  <c r="I78" i="125"/>
  <c r="M79" i="125"/>
  <c r="N79" i="125"/>
  <c r="M80" i="125"/>
  <c r="N80" i="125"/>
  <c r="I80" i="125"/>
  <c r="M81" i="125"/>
  <c r="N81" i="125"/>
  <c r="I81" i="125"/>
  <c r="M82" i="125"/>
  <c r="N82" i="125"/>
  <c r="I82" i="125"/>
  <c r="M83" i="125"/>
  <c r="N83" i="125"/>
  <c r="I83" i="125"/>
  <c r="M84" i="125"/>
  <c r="N84" i="125"/>
  <c r="I84" i="125"/>
  <c r="M85" i="125"/>
  <c r="N85" i="125"/>
  <c r="I85" i="125"/>
  <c r="M86" i="125"/>
  <c r="N86" i="125"/>
  <c r="M96" i="114"/>
  <c r="A96" i="114"/>
  <c r="C46" i="134"/>
  <c r="C48" i="134"/>
  <c r="C77" i="114"/>
  <c r="B77" i="114"/>
  <c r="D42" i="134"/>
  <c r="K111" i="114"/>
  <c r="N87" i="125"/>
  <c r="L111" i="114"/>
  <c r="M98" i="114"/>
  <c r="A98" i="114"/>
  <c r="M13" i="135"/>
  <c r="N13" i="135"/>
  <c r="O13" i="135"/>
  <c r="M103" i="114"/>
  <c r="A103" i="114"/>
  <c r="M14" i="135"/>
  <c r="N14" i="135"/>
  <c r="O14" i="135"/>
  <c r="M84" i="122"/>
  <c r="N84" i="122"/>
  <c r="U15" i="135"/>
  <c r="H15" i="135"/>
  <c r="R15" i="135"/>
  <c r="M78" i="122"/>
  <c r="N78" i="122"/>
  <c r="I78" i="122"/>
  <c r="M79" i="122"/>
  <c r="N79" i="122"/>
  <c r="M80" i="122"/>
  <c r="N80" i="122"/>
  <c r="I80" i="122"/>
  <c r="M81" i="122"/>
  <c r="N81" i="122"/>
  <c r="I81" i="122"/>
  <c r="M82" i="122"/>
  <c r="N82" i="122"/>
  <c r="I82" i="122"/>
  <c r="M83" i="122"/>
  <c r="N83" i="122"/>
  <c r="I83" i="122"/>
  <c r="M85" i="122"/>
  <c r="N85" i="122"/>
  <c r="I85" i="122"/>
  <c r="M86" i="122"/>
  <c r="N86" i="122"/>
  <c r="H83" i="114"/>
  <c r="I83" i="114"/>
  <c r="L48" i="134"/>
  <c r="J83" i="114"/>
  <c r="N48" i="134"/>
  <c r="C78" i="114"/>
  <c r="B78" i="114"/>
  <c r="D43" i="134"/>
  <c r="H81" i="114"/>
  <c r="I81" i="114"/>
  <c r="L46" i="134"/>
  <c r="J81" i="114"/>
  <c r="N46" i="134"/>
  <c r="M107" i="114"/>
  <c r="A107" i="114"/>
  <c r="C87" i="114"/>
  <c r="B87" i="114"/>
  <c r="D52" i="134"/>
  <c r="M99" i="114"/>
  <c r="A99" i="114"/>
  <c r="C80" i="114"/>
  <c r="B80" i="114"/>
  <c r="D45" i="134"/>
  <c r="G52" i="134"/>
  <c r="A87" i="114"/>
  <c r="F87" i="114"/>
  <c r="J52" i="134"/>
  <c r="C88" i="114"/>
  <c r="B88" i="114"/>
  <c r="D53" i="134"/>
  <c r="AE173" i="114"/>
  <c r="G43" i="134"/>
  <c r="A78" i="114"/>
  <c r="F78" i="114"/>
  <c r="J43" i="134"/>
  <c r="K108" i="114"/>
  <c r="M15" i="135"/>
  <c r="N15" i="135"/>
  <c r="O15" i="135"/>
  <c r="C84" i="114"/>
  <c r="B84" i="114"/>
  <c r="D49" i="134"/>
  <c r="C79" i="114"/>
  <c r="B79" i="114"/>
  <c r="D44" i="134"/>
  <c r="M111" i="114"/>
  <c r="A111" i="114"/>
  <c r="G42" i="134"/>
  <c r="C42" i="134"/>
  <c r="A77" i="114"/>
  <c r="F77" i="114"/>
  <c r="J42" i="134"/>
  <c r="C52" i="134"/>
  <c r="C43" i="134"/>
  <c r="H77" i="114"/>
  <c r="I77" i="114"/>
  <c r="L42" i="134"/>
  <c r="J77" i="114"/>
  <c r="N42" i="134"/>
  <c r="C92" i="114"/>
  <c r="B92" i="114"/>
  <c r="D57" i="134"/>
  <c r="G44" i="134"/>
  <c r="A79" i="114"/>
  <c r="F79" i="114"/>
  <c r="J44" i="134"/>
  <c r="G49" i="134"/>
  <c r="A84" i="114"/>
  <c r="F84" i="114"/>
  <c r="J49" i="134"/>
  <c r="L108" i="114"/>
  <c r="I84" i="122"/>
  <c r="H108" i="114"/>
  <c r="H78" i="114"/>
  <c r="I78" i="114"/>
  <c r="L43" i="134"/>
  <c r="J78" i="114"/>
  <c r="N43" i="134"/>
  <c r="U173" i="114"/>
  <c r="Z91" i="114"/>
  <c r="AF91" i="114"/>
  <c r="G53" i="134"/>
  <c r="A88" i="114"/>
  <c r="F88" i="114"/>
  <c r="J53" i="134"/>
  <c r="H87" i="114"/>
  <c r="I87" i="114"/>
  <c r="L52" i="134"/>
  <c r="J87" i="114"/>
  <c r="N52" i="134"/>
  <c r="G45" i="134"/>
  <c r="A80" i="114"/>
  <c r="F80" i="114"/>
  <c r="J45" i="134"/>
  <c r="C44" i="134"/>
  <c r="C49" i="134"/>
  <c r="C53" i="134"/>
  <c r="C45" i="134"/>
  <c r="H80" i="114"/>
  <c r="I80" i="114"/>
  <c r="L45" i="134"/>
  <c r="J80" i="114"/>
  <c r="N45" i="134"/>
  <c r="H88" i="114"/>
  <c r="I88" i="114"/>
  <c r="L53" i="134"/>
  <c r="J88" i="114"/>
  <c r="N53" i="134"/>
  <c r="Z173" i="114"/>
  <c r="AF173" i="114"/>
  <c r="AH173" i="114"/>
  <c r="H10" i="135"/>
  <c r="R10" i="135"/>
  <c r="M108" i="114"/>
  <c r="A108" i="114"/>
  <c r="H84" i="114"/>
  <c r="I84" i="114"/>
  <c r="L49" i="134"/>
  <c r="J84" i="114"/>
  <c r="N49" i="134"/>
  <c r="H79" i="114"/>
  <c r="I79" i="114"/>
  <c r="L44" i="134"/>
  <c r="J79" i="114"/>
  <c r="N44" i="134"/>
  <c r="G57" i="134"/>
  <c r="A92" i="114"/>
  <c r="F92" i="114"/>
  <c r="J57" i="134"/>
  <c r="C57" i="134"/>
  <c r="H92" i="114"/>
  <c r="I92" i="114"/>
  <c r="L57" i="134"/>
  <c r="J92" i="114"/>
  <c r="N57" i="134"/>
  <c r="C89" i="114"/>
  <c r="B89" i="114"/>
  <c r="D54" i="134"/>
  <c r="M10" i="135"/>
  <c r="N10" i="135"/>
  <c r="O10" i="135"/>
  <c r="C58" i="134"/>
  <c r="G54" i="134"/>
  <c r="C54" i="134"/>
  <c r="A89" i="114"/>
  <c r="F89" i="114"/>
  <c r="J54" i="134"/>
  <c r="B77" i="134"/>
  <c r="B79" i="134"/>
  <c r="O75" i="114"/>
  <c r="O74" i="114"/>
  <c r="O73" i="114"/>
  <c r="H89" i="114"/>
  <c r="I89" i="114"/>
  <c r="L54" i="134"/>
  <c r="J89" i="114"/>
  <c r="N54" i="134"/>
  <c r="C66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4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4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4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F26" authorId="0" shapeId="0" xr:uid="{00000000-0006-0000-04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04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04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04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04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4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4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G46" authorId="0" shapeId="0" xr:uid="{00000000-0006-0000-04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04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04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4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04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4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72" authorId="0" shapeId="0" xr:uid="{00000000-0006-0000-04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  <comment ref="B73" authorId="0" shapeId="0" xr:uid="{00000000-0006-0000-04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Quando alterar a possibilidade e a modalidade de aposentadoria, obterá a fundamentação legal.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6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6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E37" authorId="0" shapeId="0" xr:uid="{00000000-0006-0000-06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6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6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6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A52" authorId="0" shapeId="0" xr:uid="{00000000-0006-0000-06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E59" authorId="0" shapeId="0" xr:uid="{00000000-0006-0000-06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6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6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7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7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7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8" authorId="0" shapeId="0" xr:uid="{00000000-0006-0000-07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7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9" authorId="0" shapeId="0" xr:uid="{00000000-0006-0000-07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E37" authorId="0" shapeId="0" xr:uid="{00000000-0006-0000-07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7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7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7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A52" authorId="0" shapeId="0" xr:uid="{00000000-0006-0000-07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7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07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7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7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8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8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8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8" authorId="0" shapeId="0" xr:uid="{00000000-0006-0000-08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8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9" authorId="0" shapeId="0" xr:uid="{00000000-0006-0000-08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08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30" authorId="0" shapeId="0" xr:uid="{00000000-0006-0000-08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a(s) declaração (ões) e lance o vr ref. aos períodos não concomitantes.</t>
        </r>
      </text>
    </comment>
    <comment ref="E37" authorId="0" shapeId="0" xr:uid="{00000000-0006-0000-08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8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8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8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A52" authorId="0" shapeId="0" xr:uid="{00000000-0006-0000-08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E59" authorId="0" shapeId="0" xr:uid="{00000000-0006-0000-08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8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8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9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9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G14" authorId="0" shapeId="0" xr:uid="{00000000-0006-0000-09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E37" authorId="0" shapeId="0" xr:uid="{00000000-0006-0000-09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9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9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9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A52" authorId="0" shapeId="0" xr:uid="{00000000-0006-0000-09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8" authorId="0" shapeId="0" xr:uid="{00000000-0006-0000-09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E59" authorId="0" shapeId="0" xr:uid="{00000000-0006-0000-09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J68" authorId="0" shapeId="0" xr:uid="{00000000-0006-0000-09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A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A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A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8" authorId="0" shapeId="0" xr:uid="{00000000-0006-0000-0A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A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9" authorId="0" shapeId="0" xr:uid="{00000000-0006-0000-0A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0A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0A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0A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0A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0A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A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A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A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0A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0A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A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0A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A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A00-00001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B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B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B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8" authorId="0" shapeId="0" xr:uid="{00000000-0006-0000-0B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B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9" authorId="0" shapeId="0" xr:uid="{00000000-0006-0000-0B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0B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0B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0B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0B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0B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0B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B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B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B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0B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0B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B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C57" authorId="0" shapeId="0" xr:uid="{00000000-0006-0000-0B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 menor data é 20/02/2004. Se não, segue a data dos autos.</t>
        </r>
      </text>
    </comment>
    <comment ref="E59" authorId="0" shapeId="0" xr:uid="{00000000-0006-0000-0B00-00001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B00-00001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B00-00001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C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C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C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8" authorId="0" shapeId="0" xr:uid="{00000000-0006-0000-0C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C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9" authorId="0" shapeId="0" xr:uid="{00000000-0006-0000-0C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0C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0C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0C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0C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0C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0C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C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C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C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0C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0C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C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C57" authorId="0" shapeId="0" xr:uid="{00000000-0006-0000-0C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 menor data é 20/02/2004. Se não, segue a data dos autos.</t>
        </r>
      </text>
    </comment>
    <comment ref="E59" authorId="0" shapeId="0" xr:uid="{00000000-0006-0000-0C00-00001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C00-00001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C00-00001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D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D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D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D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0D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0D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0D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0D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0D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D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D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D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0D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0D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D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0D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D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D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E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E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E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E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0E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0E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0E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0E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a(s) declaração (ões) e lance o vr ref. aos períodos não concomitantes.</t>
        </r>
      </text>
    </comment>
    <comment ref="E37" authorId="0" shapeId="0" xr:uid="{00000000-0006-0000-0E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E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E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E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0E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0E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E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0E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E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E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0F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0F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0F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0F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F26" authorId="0" shapeId="0" xr:uid="{00000000-0006-0000-0F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0F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0F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0F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0F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0F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0F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0F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0F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0F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0F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0F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0F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0F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10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10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10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10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10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10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10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10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a(s) declaração (ões) e lance o vr ref. aos períodos não concomitantes.</t>
        </r>
      </text>
    </comment>
    <comment ref="E37" authorId="0" shapeId="0" xr:uid="{00000000-0006-0000-10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10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10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10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10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10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10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10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10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10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11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11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11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8" authorId="0" shapeId="0" xr:uid="{00000000-0006-0000-11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11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9" authorId="0" shapeId="0" xr:uid="{00000000-0006-0000-11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11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11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11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11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11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11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11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11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11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11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11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11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11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1100-00001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1100-00001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12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12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12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8" authorId="0" shapeId="0" xr:uid="{00000000-0006-0000-12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12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N9" authorId="0" shapeId="0" xr:uid="{00000000-0006-0000-12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12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12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12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12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12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12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12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12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12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12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12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12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12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1200-00001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1200-00001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13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13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13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13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13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13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13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13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13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a(s) declaração (ões) e lance o vr ref. aos períodos não concomitantes.</t>
        </r>
      </text>
    </comment>
    <comment ref="E37" authorId="0" shapeId="0" xr:uid="{00000000-0006-0000-13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13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13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13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13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13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13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13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13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13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14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14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14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14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14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14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14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9" authorId="0" shapeId="0" xr:uid="{00000000-0006-0000-14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14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14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14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14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14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14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14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14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14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14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1400-00001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TCERJ</author>
  </authors>
  <commentList>
    <comment ref="E2" authorId="0" shapeId="0" xr:uid="{00000000-0006-0000-1500-00000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</t>
        </r>
        <r>
          <rPr>
            <sz val="8"/>
            <color indexed="81"/>
            <rFont val="Times New Roman"/>
            <family val="1"/>
          </rPr>
          <t>Selecione nesta lista a modalidade da aposentadoria. Você pode fazer simulações de cenários compatibilizando com a fundamentação legal.</t>
        </r>
      </text>
    </comment>
    <comment ref="K2" authorId="0" shapeId="0" xr:uid="{00000000-0006-0000-1500-00000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Sele</t>
        </r>
        <r>
          <rPr>
            <sz val="8"/>
            <color indexed="81"/>
            <rFont val="Times New Roman"/>
            <family val="1"/>
          </rPr>
          <t>cione nesta lista a fundamentação do ato. Você pode fazer simulações de cenários compatibilizando com a modalidade da concessão.</t>
        </r>
      </text>
    </comment>
    <comment ref="J8" authorId="0" shapeId="0" xr:uid="{00000000-0006-0000-1500-000003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J9" authorId="0" shapeId="0" xr:uid="{00000000-0006-0000-1500-000004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As datas devem ser digitadas com / (barras). Ex: 24/06/1966.</t>
        </r>
      </text>
    </comment>
    <comment ref="G14" authorId="0" shapeId="0" xr:uid="{00000000-0006-0000-1500-000005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a opção for pela REGRA PERMANENTE, deve-se informar sobre a redação dada ao Art. 40 da CF/88: se EC 20/98 ou EC 41/03.</t>
        </r>
      </text>
    </comment>
    <comment ref="F26" authorId="0" shapeId="0" xr:uid="{00000000-0006-0000-1500-000006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27" authorId="0" shapeId="0" xr:uid="{00000000-0006-0000-1500-000007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F30" authorId="0" shapeId="0" xr:uid="{00000000-0006-0000-1500-000008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37" authorId="0" shapeId="0" xr:uid="{00000000-0006-0000-1500-000009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A42" authorId="0" shapeId="0" xr:uid="{00000000-0006-0000-1500-00000A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A43" authorId="0" shapeId="0" xr:uid="{00000000-0006-0000-1500-00000B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TRANSIÇÃO EC 20/98</t>
        </r>
      </text>
    </comment>
    <comment ref="F45" authorId="0" shapeId="0" xr:uid="{00000000-0006-0000-1500-00000C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EC nº 20/98.</t>
        </r>
      </text>
    </comment>
    <comment ref="F47" authorId="0" shapeId="0" xr:uid="{00000000-0006-0000-1500-00000D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A52" authorId="0" shapeId="0" xr:uid="{00000000-0006-0000-1500-00000E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REGRA PERMANENTE</t>
        </r>
      </text>
    </comment>
    <comment ref="F54" authorId="0" shapeId="0" xr:uid="{00000000-0006-0000-1500-00000F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Esta célula é livre para digitação. Faça os cálculos nas células que têm fórmula. Compare com a certidão e lance o vr ref. aos períodos não concomitantes.</t>
        </r>
      </text>
    </comment>
    <comment ref="E59" authorId="0" shapeId="0" xr:uid="{00000000-0006-0000-1500-000010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Data anterior à públicação da EC nº 20/98, i.e., a data limite é 15/12/1998.</t>
        </r>
      </text>
    </comment>
    <comment ref="F59" authorId="0" shapeId="0" xr:uid="{00000000-0006-0000-1500-000011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Se foi definido o período e o resultado for 0 (zero), reveja a fundamentação, pois não pode ser regra antes ou transição EC nº 20/98.</t>
        </r>
      </text>
    </comment>
    <comment ref="J68" authorId="0" shapeId="0" xr:uid="{00000000-0006-0000-1500-000012000000}">
      <text>
        <r>
          <rPr>
            <b/>
            <sz val="8"/>
            <color indexed="81"/>
            <rFont val="Tahoma"/>
          </rPr>
          <t>TCERJ:</t>
        </r>
        <r>
          <rPr>
            <sz val="8"/>
            <color indexed="81"/>
            <rFont val="Tahoma"/>
          </rPr>
          <t xml:space="preserve">
Esse espaço é uma crítica das informações digitadas. Serve para suscitar dúvidas e apresentar diretrizes.</t>
        </r>
      </text>
    </comment>
  </commentList>
</comments>
</file>

<file path=xl/sharedStrings.xml><?xml version="1.0" encoding="utf-8"?>
<sst xmlns="http://schemas.openxmlformats.org/spreadsheetml/2006/main" count="19320" uniqueCount="821">
  <si>
    <t>Art. 40, §1º, I, da CR/88 (redação EC nº 41/03) c/c Art. 6º_A da EC nº 41/03</t>
  </si>
  <si>
    <r>
      <t>BÔNUS ESPECIAL DE MAGISTÉRIO:</t>
    </r>
    <r>
      <rPr>
        <sz val="12"/>
        <rFont val="Arial"/>
        <family val="2"/>
      </rPr>
      <t xml:space="preserve"> célula bloqueada para digitação. </t>
    </r>
    <r>
      <rPr>
        <b/>
        <sz val="12"/>
        <rFont val="Arial"/>
        <family val="2"/>
      </rPr>
      <t>Nos casos de Transição da Emenda nº 20/98 e art. 2º da Emenda nº 41/03</t>
    </r>
    <r>
      <rPr>
        <sz val="12"/>
        <rFont val="Arial"/>
        <family val="2"/>
      </rPr>
      <t>, é concedido um incremento no tempo de contribuição do professor, para que se equivalha aos demais servidores que precisam cumprir a totalidade do tempo de contribuição.</t>
    </r>
  </si>
  <si>
    <r>
      <t xml:space="preserve">FALTAS: </t>
    </r>
    <r>
      <rPr>
        <sz val="12"/>
        <rFont val="Arial"/>
        <family val="2"/>
      </rPr>
      <t xml:space="preserve">célula livre para digitação. Aponte as faltas ocorridas </t>
    </r>
    <r>
      <rPr>
        <b/>
        <sz val="12"/>
        <rFont val="Arial"/>
        <family val="2"/>
      </rPr>
      <t>antes de 15/12/98</t>
    </r>
    <r>
      <rPr>
        <sz val="12"/>
        <rFont val="Arial"/>
        <family val="2"/>
      </rPr>
      <t xml:space="preserve"> (Antes da Emenda nº 20/98)</t>
    </r>
  </si>
  <si>
    <t>PREENCHA A REGRA DESEJADA</t>
  </si>
  <si>
    <t>PREENCHA COM A MODALIDADE</t>
  </si>
  <si>
    <t>FALTANTE</t>
  </si>
  <si>
    <t>TTCONT</t>
  </si>
  <si>
    <t>CONTRIBUIÇÃO</t>
  </si>
  <si>
    <t>AF91</t>
  </si>
  <si>
    <t>ANO</t>
  </si>
  <si>
    <t>INVALIDEZ (EMENDA Nº 70/2012)</t>
  </si>
  <si>
    <t>DATA HOJE</t>
  </si>
  <si>
    <t>IDADE (70 ANOS)</t>
  </si>
  <si>
    <t>IDADE VIVIDA EM DIAS</t>
  </si>
  <si>
    <t>DIFERENÇA PARA 70 ANOS</t>
  </si>
  <si>
    <t>DATA FUTURO</t>
  </si>
  <si>
    <r>
      <t>LICENÇA SEM VENCIMENTOS:</t>
    </r>
    <r>
      <rPr>
        <sz val="12"/>
        <rFont val="Arial"/>
        <family val="2"/>
      </rPr>
      <t xml:space="preserve"> indique o total de licenças sem vencimentos,</t>
    </r>
    <r>
      <rPr>
        <b/>
        <sz val="12"/>
        <rFont val="Arial"/>
        <family val="2"/>
      </rPr>
      <t xml:space="preserve"> em número de dias</t>
    </r>
    <r>
      <rPr>
        <sz val="12"/>
        <rFont val="Arial"/>
        <family val="2"/>
      </rPr>
      <t>, nos períodos a seguir:</t>
    </r>
  </si>
  <si>
    <r>
      <t>LICENÇA SEM VENCIMENTOS:</t>
    </r>
    <r>
      <rPr>
        <sz val="12"/>
        <rFont val="Arial"/>
        <family val="2"/>
      </rPr>
      <t xml:space="preserve"> período anterior à Emenda Constitucional nº 20/98 (</t>
    </r>
    <r>
      <rPr>
        <b/>
        <sz val="12"/>
        <rFont val="Arial"/>
        <family val="2"/>
      </rPr>
      <t>até 15/12/1998</t>
    </r>
    <r>
      <rPr>
        <sz val="12"/>
        <rFont val="Arial"/>
        <family val="2"/>
      </rPr>
      <t>);</t>
    </r>
  </si>
  <si>
    <r>
      <t>TEMPO FALTANTE:</t>
    </r>
    <r>
      <rPr>
        <sz val="12"/>
        <rFont val="Arial"/>
        <family val="2"/>
      </rPr>
      <t xml:space="preserve"> células bloqueadas para digitação. Em se tratando de </t>
    </r>
    <r>
      <rPr>
        <b/>
        <sz val="12"/>
        <rFont val="Arial"/>
        <family val="2"/>
      </rPr>
      <t>fundamentação na regra de transição da EC 20/98 (art. 8º), ou por fulcro no art. 2º da EC 41/03 (regra de transição)</t>
    </r>
    <r>
      <rPr>
        <sz val="12"/>
        <rFont val="Arial"/>
        <family val="2"/>
      </rPr>
      <t xml:space="preserve">, apresenta-se o tempo de serviço / contribuição necessário à complementação para a modalidade integral, proporcional ou com redução dos proventos, </t>
    </r>
    <r>
      <rPr>
        <b/>
        <sz val="12"/>
        <rFont val="Arial"/>
        <family val="2"/>
      </rPr>
      <t>para os servidores que ingressaram antes da EC nº 20/98.</t>
    </r>
  </si>
  <si>
    <r>
      <t>PEDÁGIO:</t>
    </r>
    <r>
      <rPr>
        <sz val="12"/>
        <rFont val="Arial"/>
        <family val="2"/>
      </rPr>
      <t xml:space="preserve"> células bloqueadas para digitação. Em se tratando de </t>
    </r>
    <r>
      <rPr>
        <b/>
        <sz val="12"/>
        <rFont val="Arial"/>
        <family val="2"/>
      </rPr>
      <t>fundamentação na regra de transição da EC 20/98 (art. 8º), ou por fulcro no art. 2º da EC 41/03 (regra de transição)</t>
    </r>
    <r>
      <rPr>
        <sz val="12"/>
        <rFont val="Arial"/>
        <family val="2"/>
      </rPr>
      <t>, apresenta-se o tempo de serviço / contribuição necessário, em cumprimento ao texto inserido na Constituição mediante as Emendas citadas, a título de e</t>
    </r>
    <r>
      <rPr>
        <b/>
        <sz val="12"/>
        <rFont val="Arial"/>
        <family val="2"/>
      </rPr>
      <t>xcedende de tempo necessário à complementação da idade mínima e/ou da reserva técnica atuarial</t>
    </r>
    <r>
      <rPr>
        <sz val="12"/>
        <rFont val="Arial"/>
        <family val="2"/>
      </rPr>
      <t>.</t>
    </r>
  </si>
  <si>
    <t>OUTROS PODERES - INSS</t>
  </si>
  <si>
    <r>
      <t xml:space="preserve">TEMPO A COMPLEMENTAR: </t>
    </r>
    <r>
      <rPr>
        <sz val="12"/>
        <rFont val="Arial"/>
        <family val="2"/>
      </rPr>
      <t xml:space="preserve">células bloqueadas para digitação. Trata-se da </t>
    </r>
    <r>
      <rPr>
        <b/>
        <sz val="12"/>
        <rFont val="Arial"/>
        <family val="2"/>
      </rPr>
      <t>soma do tempo que faltava para a aposentadoria na modalidade integral ou proporcional (conforme o caso), e o total apurado de pedágio necessário para a situação integral, ou proporcional (art. 8º da EC 20/98), ou com redução de idade e proventos (art. 2º da EC 41/03)</t>
    </r>
    <r>
      <rPr>
        <sz val="12"/>
        <rFont val="Arial"/>
        <family val="2"/>
      </rPr>
      <t>.</t>
    </r>
  </si>
  <si>
    <r>
      <t>SITUAÇÃO ENTRE A EMENDA Nº 20/98 E A EMENDA Nº 41/03:</t>
    </r>
    <r>
      <rPr>
        <sz val="12"/>
        <rFont val="Arial"/>
        <family val="2"/>
      </rPr>
      <t xml:space="preserve"> essa área deverá ser </t>
    </r>
    <r>
      <rPr>
        <b/>
        <sz val="12"/>
        <rFont val="Arial"/>
        <family val="2"/>
      </rPr>
      <t>preenchida somente com</t>
    </r>
    <r>
      <rPr>
        <sz val="12"/>
        <rFont val="Arial"/>
        <family val="2"/>
      </rPr>
      <t xml:space="preserve"> os dados relativos  ao servidor referentes períodos a partir 16/12/1998 (publicação da EC nº 20/98) até 30/12/2003 (dia anterior à publicação da EC nº 41/03), nos casos de atos fundamentados na regra de transição da EC nº 20/98 (art. 8º), ou até 19/02/2004 (dia anterior à publicação da MP nº 167/04, que regulamentou o cálculo da média para fins de proventos). </t>
    </r>
    <r>
      <rPr>
        <b/>
        <sz val="12"/>
        <rFont val="Arial"/>
        <family val="2"/>
      </rPr>
      <t>Para qualquer outra fundamentação, o tempo de contribuição / serviços deve ser até 19/02/2004</t>
    </r>
    <r>
      <rPr>
        <sz val="12"/>
        <rFont val="Arial"/>
        <family val="2"/>
      </rPr>
      <t>. Acaso seja digitada uma data posterior a 19/02/04, o totalizador apresentará a informação "</t>
    </r>
    <r>
      <rPr>
        <b/>
        <sz val="12"/>
        <color indexed="10"/>
        <rFont val="Arial"/>
        <family val="2"/>
      </rPr>
      <t>REVER</t>
    </r>
    <r>
      <rPr>
        <sz val="12"/>
        <rFont val="Arial"/>
        <family val="2"/>
      </rPr>
      <t>", em vermelho.</t>
    </r>
  </si>
  <si>
    <t>TRIBUNAL DE CONTAS DO ESTADO DO RIO DE JANEIRO - SUP</t>
  </si>
  <si>
    <r>
      <t>DISCRIMINAÇÃO:</t>
    </r>
    <r>
      <rPr>
        <sz val="12"/>
        <rFont val="Arial"/>
        <family val="2"/>
      </rPr>
      <t xml:space="preserve"> preencher os períodos apresentados para fins de contagem do tempo de contribuição / serviços, </t>
    </r>
    <r>
      <rPr>
        <b/>
        <sz val="12"/>
        <rFont val="Arial"/>
        <family val="2"/>
      </rPr>
      <t>a partir de 16/12/98 até 30/12/03, se transição da EC nº 20/98, ou até 19/02/2004, em se tratando de outra fundamentação após EC nº 41/03</t>
    </r>
    <r>
      <rPr>
        <sz val="12"/>
        <rFont val="Arial"/>
        <family val="2"/>
      </rPr>
      <t>.</t>
    </r>
  </si>
  <si>
    <r>
      <t xml:space="preserve">SUBTOTAL: </t>
    </r>
    <r>
      <rPr>
        <sz val="12"/>
        <rFont val="Arial"/>
        <family val="2"/>
      </rPr>
      <t xml:space="preserve">células bloqueadas para digitação. Os cálculos são automáticos. </t>
    </r>
    <r>
      <rPr>
        <b/>
        <sz val="12"/>
        <rFont val="Arial"/>
        <family val="2"/>
      </rPr>
      <t>Totalização parcial</t>
    </r>
    <r>
      <rPr>
        <sz val="12"/>
        <rFont val="Arial"/>
        <family val="2"/>
      </rPr>
      <t xml:space="preserve"> dos períodos computados a partir de 16/12/1998 até 30/12/2003, ou 19/02/2004, conforme o caso em que se enquadre a fundamentação do ato de aposentadoria.</t>
    </r>
  </si>
  <si>
    <r>
      <t>DESDE O INÍCIO: subtotal parcial</t>
    </r>
    <r>
      <rPr>
        <sz val="12"/>
        <rFont val="Arial"/>
        <family val="2"/>
      </rPr>
      <t xml:space="preserve">. Células bloqueadas para digitação. Os cálculos são automáticos. </t>
    </r>
    <r>
      <rPr>
        <b/>
        <sz val="12"/>
        <rFont val="Arial"/>
        <family val="2"/>
      </rPr>
      <t>Totalização parcial</t>
    </r>
    <r>
      <rPr>
        <sz val="12"/>
        <rFont val="Arial"/>
        <family val="2"/>
      </rPr>
      <t xml:space="preserve"> dos períodos computados desde o início até 30/12/2003, ou 19/02/2004, conforme o caso em que se enquadre a fundamentação do ato de aposentadoria.</t>
    </r>
  </si>
  <si>
    <r>
      <t>SITUAÇÃO APÓS A EMENDA Nº 41/03:</t>
    </r>
    <r>
      <rPr>
        <sz val="12"/>
        <rFont val="Arial"/>
        <family val="2"/>
      </rPr>
      <t xml:space="preserve"> esse campo deve ser preenchido </t>
    </r>
    <r>
      <rPr>
        <b/>
        <sz val="12"/>
        <rFont val="Arial"/>
        <family val="2"/>
      </rPr>
      <t xml:space="preserve">somente </t>
    </r>
    <r>
      <rPr>
        <sz val="12"/>
        <rFont val="Arial"/>
        <family val="2"/>
      </rPr>
      <t xml:space="preserve">com os dados relativos  ao servidor referentes períodos a partir 20/02/2004 </t>
    </r>
    <r>
      <rPr>
        <b/>
        <sz val="12"/>
        <rFont val="Arial"/>
        <family val="2"/>
      </rPr>
      <t>(publicação da Medida Provisória - MP nº 167/04 que regulamentou o cálculo da média para fins de proventos)</t>
    </r>
    <r>
      <rPr>
        <sz val="12"/>
        <rFont val="Arial"/>
        <family val="2"/>
      </rPr>
      <t>. Acaso seja digitada uma data anterior a 20/02/2004, o totalizador apresentará a informação "</t>
    </r>
    <r>
      <rPr>
        <b/>
        <sz val="12"/>
        <color indexed="10"/>
        <rFont val="Arial"/>
        <family val="2"/>
      </rPr>
      <t>REVER</t>
    </r>
    <r>
      <rPr>
        <sz val="12"/>
        <rFont val="Arial"/>
        <family val="2"/>
      </rPr>
      <t>", em vermelho.</t>
    </r>
  </si>
  <si>
    <r>
      <t>DISCRIMINAÇÃO:</t>
    </r>
    <r>
      <rPr>
        <sz val="12"/>
        <rFont val="Arial"/>
        <family val="2"/>
      </rPr>
      <t xml:space="preserve"> preencher os períodos apresentados para fins de contagem do tempo de contribuição / serviços, </t>
    </r>
    <r>
      <rPr>
        <b/>
        <sz val="12"/>
        <rFont val="Arial"/>
        <family val="2"/>
      </rPr>
      <t>a partir de 20/02/2004 até o dia anterior ao da validade do ato de aposentadoria</t>
    </r>
    <r>
      <rPr>
        <sz val="12"/>
        <rFont val="Arial"/>
        <family val="2"/>
      </rPr>
      <t>.</t>
    </r>
  </si>
  <si>
    <r>
      <t>obs.:</t>
    </r>
    <r>
      <rPr>
        <sz val="12"/>
        <color indexed="8"/>
        <rFont val="Arial"/>
        <family val="2"/>
      </rPr>
      <t xml:space="preserve"> caso a data de validade seja a data da publicação, temos duas condições: </t>
    </r>
    <r>
      <rPr>
        <b/>
        <sz val="12"/>
        <color indexed="8"/>
        <rFont val="Arial"/>
        <family val="2"/>
      </rPr>
      <t>1)</t>
    </r>
    <r>
      <rPr>
        <sz val="12"/>
        <color indexed="8"/>
        <rFont val="Arial"/>
        <family val="2"/>
      </rPr>
      <t xml:space="preserve"> para efeito apenas de simulação de condição para aposentadoria, esta validade deverá ser estimada, haja vista inexistir ato a ser publicado ainda; </t>
    </r>
    <r>
      <rPr>
        <b/>
        <sz val="12"/>
        <color indexed="8"/>
        <rFont val="Arial"/>
        <family val="2"/>
      </rPr>
      <t xml:space="preserve">2) </t>
    </r>
    <r>
      <rPr>
        <sz val="12"/>
        <color indexed="8"/>
        <rFont val="Arial"/>
        <family val="2"/>
      </rPr>
      <t>caso a Administração do órgão queira incluir no respectivo processo de aposentadoria as 3 planilhas resultantes do presente preenchimento, deverá retificar a data de validade com base naquela relativa à publicação efetivamente realizada e, a partir dessa retificação, providenciar as impressões das abas: ficha funcional, MTS -  mapa de tempo de serviço e resumo conclusivo e suas juntadas aos autos de aposentação para remessa.</t>
    </r>
  </si>
  <si>
    <r>
      <t xml:space="preserve">FALTAS: </t>
    </r>
    <r>
      <rPr>
        <sz val="12"/>
        <rFont val="Arial"/>
        <family val="2"/>
      </rPr>
      <t>célula livre para digitação. Aponte as faltas ocorridas a partir de 20/02/2004, conforme o caso.</t>
    </r>
  </si>
  <si>
    <r>
      <t xml:space="preserve">LICENÇA SEM VENCIMENTOS: </t>
    </r>
    <r>
      <rPr>
        <sz val="12"/>
        <rFont val="Arial"/>
        <family val="2"/>
      </rPr>
      <t>Indicar os períodos de licença sem vencimentos, a partir de 20/02/2004.</t>
    </r>
  </si>
  <si>
    <t>Virgílio de Oliveira Souza (Técnica / Lógica)</t>
  </si>
  <si>
    <t>Luiz Cláudio Lopes de Sá - (Revisão / Lay out)</t>
  </si>
  <si>
    <r>
      <t xml:space="preserve">SUBTOTAL: </t>
    </r>
    <r>
      <rPr>
        <sz val="12"/>
        <rFont val="Arial"/>
        <family val="2"/>
      </rPr>
      <t xml:space="preserve">células bloqueadas para digitação. Os cálculos são automáticos. </t>
    </r>
    <r>
      <rPr>
        <b/>
        <sz val="12"/>
        <rFont val="Arial"/>
        <family val="2"/>
      </rPr>
      <t xml:space="preserve">Totalização parcial </t>
    </r>
    <r>
      <rPr>
        <sz val="12"/>
        <rFont val="Arial"/>
        <family val="2"/>
      </rPr>
      <t>dos períodos computados a partir de 20/02/2004 até o dia anterior ao da validade da aposentadoria.</t>
    </r>
  </si>
  <si>
    <t>VARIÁVEL</t>
  </si>
  <si>
    <t>PROP. IDADE</t>
  </si>
  <si>
    <t>VOL. INTEGRAL</t>
  </si>
  <si>
    <t>VOL. ESPECIAL</t>
  </si>
  <si>
    <t>TRANSIÇÃO EMENDA 47/05</t>
  </si>
  <si>
    <t>TRANSIÇÃO EMENDA 20/98</t>
  </si>
  <si>
    <t>REGRA PERMANENTE EC41/03</t>
  </si>
  <si>
    <t>REGRA PERMANENTE EC20/98</t>
  </si>
  <si>
    <t>VOL. REDUTOR</t>
  </si>
  <si>
    <t>T. CONTRIBUIÇÃO</t>
  </si>
  <si>
    <t>T. CARGO</t>
  </si>
  <si>
    <t>T. CARREIRA</t>
  </si>
  <si>
    <t>VOL. PROP. TSC</t>
  </si>
  <si>
    <r>
      <t>obs.:</t>
    </r>
    <r>
      <rPr>
        <sz val="12"/>
        <color indexed="8"/>
        <rFont val="Arial"/>
        <family val="2"/>
      </rPr>
      <t xml:space="preserve"> caso a data de validade seja a data da publicação, temos duas condições: </t>
    </r>
    <r>
      <rPr>
        <b/>
        <sz val="12"/>
        <color indexed="8"/>
        <rFont val="Arial"/>
        <family val="2"/>
      </rPr>
      <t>1)</t>
    </r>
    <r>
      <rPr>
        <sz val="12"/>
        <color indexed="8"/>
        <rFont val="Arial"/>
        <family val="2"/>
      </rPr>
      <t xml:space="preserve"> para efeito apenas de simulação de condição para aposentadoria, esta validade deverá ser estimada, haja vista inexistir ato a ser publicado ainda;</t>
    </r>
    <r>
      <rPr>
        <b/>
        <sz val="12"/>
        <color indexed="8"/>
        <rFont val="Arial"/>
        <family val="2"/>
      </rPr>
      <t xml:space="preserve"> 2)</t>
    </r>
    <r>
      <rPr>
        <sz val="12"/>
        <color indexed="8"/>
        <rFont val="Arial"/>
        <family val="2"/>
      </rPr>
      <t xml:space="preserve"> caso a Administração do órgão queira incluir no respectivo processo de aposentadoria as 3 planilhas resultantes do presente preenchimento, deverá retificar a data de validade com base naquela relativa à publicação efetivamente realizada e, a partir dessa retificação, providenciar as impressões das abas: ficha funcional, MTS -  mapa de tempo de serviço e resumo conclusivo e suas juntadas aos autos de aposentação para remessa.</t>
    </r>
  </si>
  <si>
    <r>
      <t xml:space="preserve">TEMPO FALTANTE: </t>
    </r>
    <r>
      <rPr>
        <sz val="12"/>
        <rFont val="Arial"/>
        <family val="2"/>
      </rPr>
      <t xml:space="preserve">campo automaticamente preenchido, </t>
    </r>
    <r>
      <rPr>
        <b/>
        <sz val="12"/>
        <rFont val="Arial"/>
        <family val="2"/>
      </rPr>
      <t>se for o caso</t>
    </r>
    <r>
      <rPr>
        <sz val="12"/>
        <rFont val="Arial"/>
        <family val="2"/>
      </rPr>
      <t>, a partir das digitações efetuadas no mapa de tempo de serviço / contribuição, considerando-se a modalidade de aposentadoria e a regra de opção escolhidas.</t>
    </r>
  </si>
  <si>
    <r>
      <t xml:space="preserve">CRÍTICAS: </t>
    </r>
    <r>
      <rPr>
        <sz val="12"/>
        <color indexed="8"/>
        <rFont val="Arial"/>
        <family val="2"/>
      </rPr>
      <t xml:space="preserve">área automaticamente preenchida a partir das digitações da ficha funcional (I) e do mapa de tempo de serviço / contribuição (II), considerando a modalidade de aposentadoria e a regra de opção escolhidas, </t>
    </r>
    <r>
      <rPr>
        <b/>
        <sz val="12"/>
        <color indexed="8"/>
        <rFont val="Arial"/>
        <family val="2"/>
      </rPr>
      <t xml:space="preserve">apontando críticas </t>
    </r>
    <r>
      <rPr>
        <sz val="12"/>
        <color indexed="8"/>
        <rFont val="Arial"/>
        <family val="2"/>
      </rPr>
      <t xml:space="preserve">que impedem a aposentadoria do servidor nas condições informadas (fundamentação imprópria, falta de tempo de serviço, idade inferior à necessária, etc.), </t>
    </r>
    <r>
      <rPr>
        <b/>
        <sz val="12"/>
        <color indexed="8"/>
        <rFont val="Arial"/>
        <family val="2"/>
      </rPr>
      <t>ou ratificando</t>
    </r>
    <r>
      <rPr>
        <sz val="12"/>
        <color indexed="8"/>
        <rFont val="Arial"/>
        <family val="2"/>
      </rPr>
      <t xml:space="preserve"> que as condições para aposentadoria estão satisfeitas.</t>
    </r>
  </si>
  <si>
    <r>
      <t xml:space="preserve">RESUMO CONCLUSIVO: </t>
    </r>
    <r>
      <rPr>
        <sz val="12"/>
        <rFont val="Arial"/>
        <family val="2"/>
      </rPr>
      <t xml:space="preserve">este formulário é preenchido automaticamente, a partir dos </t>
    </r>
    <r>
      <rPr>
        <i/>
        <sz val="12"/>
        <rFont val="Arial"/>
        <family val="2"/>
      </rPr>
      <t>in put</t>
    </r>
    <r>
      <rPr>
        <sz val="12"/>
        <rFont val="Arial"/>
        <family val="2"/>
      </rPr>
      <t xml:space="preserve"> da (I) ficha funcional e do (II) mapa de tempo de serviço/contribuição - MTS. </t>
    </r>
    <r>
      <rPr>
        <b/>
        <sz val="12"/>
        <rFont val="Arial"/>
        <family val="2"/>
      </rPr>
      <t>Todos os campos são bloqueados para digitação e/ou qualquer alteração</t>
    </r>
    <r>
      <rPr>
        <sz val="12"/>
        <rFont val="Arial"/>
        <family val="2"/>
      </rPr>
      <t>.</t>
    </r>
  </si>
  <si>
    <r>
      <t>CONDIÇÕES DE APOSENTADORIA</t>
    </r>
    <r>
      <rPr>
        <sz val="12"/>
        <color indexed="8"/>
        <rFont val="Arial"/>
        <family val="2"/>
      </rPr>
      <t xml:space="preserve">: esta área </t>
    </r>
    <r>
      <rPr>
        <b/>
        <sz val="12"/>
        <color indexed="8"/>
        <rFont val="Arial"/>
        <family val="2"/>
      </rPr>
      <t>destina-se a explicitar se as condições para a aposentação foram plenamente atendidas</t>
    </r>
    <r>
      <rPr>
        <sz val="12"/>
        <color indexed="8"/>
        <rFont val="Arial"/>
        <family val="2"/>
      </rPr>
      <t>, com relação à modalidade e regra de opção da aposentadoria e, assim, indicando a fundamentação legal do ato, a partir da (I) ficha funcional, bem como as condições de tempo de contribuição, em conformidade com o (II) mapa de tempo de serviço/contribuição - MTS.</t>
    </r>
  </si>
  <si>
    <t>Art. 2º da EC nº 41/03</t>
  </si>
  <si>
    <t>Art. 2º, § 4º, da EC nº 41/03</t>
  </si>
  <si>
    <t>VOLUNTÁRIA COM REDUTOR - MAGISTÉRIO</t>
  </si>
  <si>
    <r>
      <t xml:space="preserve">MODALIDADE DE APOSENTADORIA ESCOLHIDA: </t>
    </r>
    <r>
      <rPr>
        <sz val="12"/>
        <color indexed="8"/>
        <rFont val="Arial"/>
        <family val="2"/>
      </rPr>
      <t>reproduz a modalidade escolhida na simulação de cenário constante da ficha funcional (I), possibilitando, a qualquer momento, a sua alteração a partir da ficha funcional (I).</t>
    </r>
  </si>
  <si>
    <r>
      <t>FUNDAMENTAÇÃO LEGAL A SER UTILIZADA NO ATO DE APOSENTADORIA:</t>
    </r>
    <r>
      <rPr>
        <sz val="12"/>
        <color indexed="8"/>
        <rFont val="Arial"/>
        <family val="2"/>
      </rPr>
      <t xml:space="preserve"> considerando a modalidade e a regra de opção de aposentadoria, é disponibilizada, automaticamente, a </t>
    </r>
    <r>
      <rPr>
        <b/>
        <sz val="12"/>
        <color indexed="8"/>
        <rFont val="Arial"/>
        <family val="2"/>
      </rPr>
      <t>fundamentação legal a constar do ato de aposentadoria</t>
    </r>
    <r>
      <rPr>
        <sz val="12"/>
        <color indexed="8"/>
        <rFont val="Arial"/>
        <family val="2"/>
      </rPr>
      <t>. É possível, a qualquer momento, nova simulação de cenário a partir da ficha funcional (I), que resultará, consequentemente, em nova e diferente fundamentação a ser reproduzida no ato de aposentação.</t>
    </r>
  </si>
  <si>
    <r>
      <t xml:space="preserve">TEMPO DE CONTRIBUIÇÃO / SERVIÇO TOTAL APURADO: </t>
    </r>
    <r>
      <rPr>
        <sz val="12"/>
        <rFont val="Arial"/>
        <family val="2"/>
      </rPr>
      <t xml:space="preserve">é automaticamente disponibilizado o período total abrangido na apuração do tempo de contribuição / serviço, apresentando o </t>
    </r>
    <r>
      <rPr>
        <b/>
        <sz val="12"/>
        <color indexed="8"/>
        <rFont val="Arial"/>
        <family val="2"/>
      </rPr>
      <t>tempo total contado para fins de aposentadoria (consolidado)</t>
    </r>
    <r>
      <rPr>
        <sz val="12"/>
        <rFont val="Arial"/>
        <family val="2"/>
      </rPr>
      <t>, a partir do mapa de contribuição / serviço - MTS.</t>
    </r>
  </si>
  <si>
    <r>
      <t>TEMPO DE CONTRIBUIÇÃO / SERVIÇO FALTANTE:</t>
    </r>
    <r>
      <rPr>
        <sz val="12"/>
        <color indexed="8"/>
        <rFont val="Arial"/>
        <family val="2"/>
      </rPr>
      <t xml:space="preserve"> considerando as inserções constantes da ficha funcional (I) e do mapa de tempo de serviço (II), com relação à modalidade e regra de opção da aposentação pretendida, é disponibilizado neste campo o </t>
    </r>
    <r>
      <rPr>
        <b/>
        <sz val="12"/>
        <color indexed="8"/>
        <rFont val="Arial"/>
        <family val="2"/>
      </rPr>
      <t>TEMPO QUE FALTA CUMPRIR, SE FOR O CASO.</t>
    </r>
  </si>
  <si>
    <r>
      <t xml:space="preserve">TEMPO NO CARGO: </t>
    </r>
    <r>
      <rPr>
        <sz val="12"/>
        <color indexed="8"/>
        <rFont val="Arial"/>
        <family val="2"/>
      </rPr>
      <t xml:space="preserve">considerando as inserções quanto à modalidade e à regra de opção de aposentadoria constantes da (I) ficha funcional, é informado, neste campo, </t>
    </r>
    <r>
      <rPr>
        <b/>
        <sz val="12"/>
        <color indexed="8"/>
        <rFont val="Arial"/>
        <family val="2"/>
      </rPr>
      <t>se o tempo mínimo exigido no cargo em que se dá a aposentadoria foi atendido, ou não</t>
    </r>
    <r>
      <rPr>
        <sz val="12"/>
        <color indexed="8"/>
        <rFont val="Arial"/>
        <family val="2"/>
      </rPr>
      <t>.</t>
    </r>
  </si>
  <si>
    <r>
      <t xml:space="preserve">TEMPO NA CARREIRA: </t>
    </r>
    <r>
      <rPr>
        <sz val="12"/>
        <color indexed="8"/>
        <rFont val="Arial"/>
        <family val="2"/>
      </rPr>
      <t xml:space="preserve">considerando as inserções quanto à modalidade e à regra de opção de aposentadoria constantes da (I) ficha funcional, é informado, neste campo, </t>
    </r>
    <r>
      <rPr>
        <b/>
        <sz val="12"/>
        <color indexed="8"/>
        <rFont val="Arial"/>
        <family val="2"/>
      </rPr>
      <t>se o tempo mínimo exigido na carreira em que se dá a aposentadoria foi atendido, ou não</t>
    </r>
    <r>
      <rPr>
        <sz val="12"/>
        <color indexed="8"/>
        <rFont val="Arial"/>
        <family val="2"/>
      </rPr>
      <t>.</t>
    </r>
  </si>
  <si>
    <r>
      <t>TRANSIÇÃO EMENDA Nº 20/98 - VOLUNTÁRIA PROPORCIONAL POR TEMPO DE SERVIÇO / CONTRIBUIÇÃO:</t>
    </r>
    <r>
      <rPr>
        <sz val="12"/>
        <color indexed="8"/>
        <rFont val="Arial"/>
        <family val="2"/>
      </rPr>
      <t xml:space="preserve"> critica a possibilidade, ou não, de o interessado ser aposentado nessa regra/modalidade. </t>
    </r>
    <r>
      <rPr>
        <b/>
        <sz val="12"/>
        <color indexed="8"/>
        <rFont val="Arial"/>
        <family val="2"/>
      </rPr>
      <t>Ressalte-se que essa regra não se aplica aos servidores ingressados após 15/12/1998</t>
    </r>
    <r>
      <rPr>
        <sz val="12"/>
        <color indexed="8"/>
        <rFont val="Arial"/>
        <family val="2"/>
      </rPr>
      <t>, ou seja, é somente para os interessados admitidos antes da Emenda Constitucional nº 20/1998 que tenham satisfeitos todas as condições até 30/12/2003, pois essa possibilidade foi revogada pela Emenda nº 41/03, publicada em 31/12/2003.</t>
    </r>
  </si>
  <si>
    <r>
      <t xml:space="preserve">REGRA PERMANENTE EMENDA Nº 20/98 - COMPULSÓRIA: </t>
    </r>
    <r>
      <rPr>
        <sz val="12"/>
        <color indexed="8"/>
        <rFont val="Arial"/>
        <family val="2"/>
      </rPr>
      <t xml:space="preserve">critica a data prevista aproximada em que o servidor completará 70 anos, devendo ser aposentado compulsoriamente. Ressalte-se que </t>
    </r>
    <r>
      <rPr>
        <b/>
        <sz val="12"/>
        <color indexed="8"/>
        <rFont val="Arial"/>
        <family val="2"/>
      </rPr>
      <t>essa regra se aplica aos servidores que alcançaram a idade limite antes de 20/02/2004</t>
    </r>
    <r>
      <rPr>
        <sz val="12"/>
        <color indexed="8"/>
        <rFont val="Arial"/>
        <family val="2"/>
      </rPr>
      <t>.</t>
    </r>
  </si>
  <si>
    <r>
      <t xml:space="preserve">REGRA PERMANENTE EMENDA Nº 20/98 - VOLUNTÁRIA PROPORCIONAL POR IDADE: </t>
    </r>
    <r>
      <rPr>
        <sz val="12"/>
        <color indexed="8"/>
        <rFont val="Arial"/>
        <family val="2"/>
      </rPr>
      <t>critica a data prevista aproximada em que o servidor completará 65 anos, se homem, ou 60, se mulher. Ressalte-se que</t>
    </r>
    <r>
      <rPr>
        <b/>
        <sz val="12"/>
        <color indexed="8"/>
        <rFont val="Arial"/>
        <family val="2"/>
      </rPr>
      <t xml:space="preserve"> essa regra se aplica aos servidores que alcançaram a condição de voluntária por idade antes de 20/02/2004</t>
    </r>
    <r>
      <rPr>
        <sz val="12"/>
        <color indexed="8"/>
        <rFont val="Arial"/>
        <family val="2"/>
      </rPr>
      <t>.</t>
    </r>
  </si>
  <si>
    <r>
      <t xml:space="preserve">REGRA PERMANENTE EMENDA Nº 20/98 - VOLUNTÁRIA INTEGRAL: </t>
    </r>
    <r>
      <rPr>
        <sz val="12"/>
        <color indexed="8"/>
        <rFont val="Arial"/>
        <family val="2"/>
      </rPr>
      <t xml:space="preserve">critica a possibilidade, ou não, de o interessado ser aposentado nessa regra/modalidade. Ressalte-se que </t>
    </r>
    <r>
      <rPr>
        <b/>
        <sz val="12"/>
        <color indexed="8"/>
        <rFont val="Arial"/>
        <family val="2"/>
      </rPr>
      <t>essa regra se aplica aos servidores que cumpriram todas as condições antes de 20/02/2004</t>
    </r>
    <r>
      <rPr>
        <sz val="12"/>
        <color indexed="8"/>
        <rFont val="Arial"/>
        <family val="2"/>
      </rPr>
      <t>, data da regulamentação da redação dada pela Emenda nº 41/03.</t>
    </r>
  </si>
  <si>
    <r>
      <t xml:space="preserve">REGRA PERMANENTE EMENDA Nº 20/98 - VOLUNTÁRIA ESPECIAL: </t>
    </r>
    <r>
      <rPr>
        <sz val="12"/>
        <rFont val="Arial"/>
        <family val="2"/>
      </rPr>
      <t xml:space="preserve">critica a possibilidade, ou não, de o interessado ser aposentado nessa regra/modalidade. Ressalte-se que </t>
    </r>
    <r>
      <rPr>
        <b/>
        <sz val="12"/>
        <rFont val="Arial"/>
        <family val="2"/>
      </rPr>
      <t>essa regra se aplica aos servidores que cumpriram todas as condições antes de 20/02/2004, data da regulamentação da redação dada pela Emenda nº 41/03. Acaso não seja informado o efetivo exercício de magistério, será reque</t>
    </r>
    <r>
      <rPr>
        <sz val="12"/>
        <rFont val="Arial"/>
        <family val="2"/>
      </rPr>
      <t xml:space="preserve">rida essa informação no campo conclusão: </t>
    </r>
    <r>
      <rPr>
        <sz val="11"/>
        <rFont val="Arial"/>
        <family val="2"/>
      </rPr>
      <t>"CONFIRME MAGISTÉRIO OU REVEJA FUNDAMENTAÇÃO"</t>
    </r>
    <r>
      <rPr>
        <sz val="12"/>
        <rFont val="Arial"/>
        <family val="2"/>
      </rPr>
      <t>.</t>
    </r>
  </si>
  <si>
    <r>
      <t>REGRA PERMANENTE EMENDA Nº 41/03 - VOLUNTÁRIA INTEGRAL:</t>
    </r>
    <r>
      <rPr>
        <sz val="12"/>
        <color indexed="8"/>
        <rFont val="Arial"/>
        <family val="2"/>
      </rPr>
      <t xml:space="preserve"> critica a possibilidade, ou não, de o interessado ser aposentado nessa regra/modalidade. Ressalte-se que essa regra </t>
    </r>
    <r>
      <rPr>
        <b/>
        <sz val="12"/>
        <color indexed="8"/>
        <rFont val="Arial"/>
        <family val="2"/>
      </rPr>
      <t>se aplica a todos os servidores que ingressaram a partir de 31/12/2003</t>
    </r>
    <r>
      <rPr>
        <sz val="12"/>
        <color indexed="8"/>
        <rFont val="Arial"/>
        <family val="2"/>
      </rPr>
      <t>, ou que optarem por essa regra/modalidade.</t>
    </r>
  </si>
  <si>
    <r>
      <t xml:space="preserve">REGRA PERMANENTE EMENDA Nº 41/03 - VOLUNTÁRIA ESPECIAL: </t>
    </r>
    <r>
      <rPr>
        <sz val="12"/>
        <rFont val="Arial"/>
        <family val="2"/>
      </rPr>
      <t xml:space="preserve">critica a possibilidade, ou não, de o interessado ser aposentado nessa regra/modalidade. Acaso não seja informado o efetivo exercício de magistério, será requerida essa informação no campo conclusão: "CONFIRME EFETIVO MAGISTÉRIO". Ressalte-se que </t>
    </r>
    <r>
      <rPr>
        <b/>
        <sz val="12"/>
        <rFont val="Arial"/>
        <family val="2"/>
      </rPr>
      <t>essa regra se aplica a todos os servidores que ingressaram a partir de 31/12/2003</t>
    </r>
    <r>
      <rPr>
        <sz val="12"/>
        <rFont val="Arial"/>
        <family val="2"/>
      </rPr>
      <t>, ou que optarem por essa regra/modalidade.</t>
    </r>
  </si>
  <si>
    <r>
      <t>TRANSIÇÃO ART. 2º DA EMENDA Nº 41/03 - VOLUNTÁRIA COM REDUTOR:</t>
    </r>
    <r>
      <rPr>
        <sz val="12"/>
        <rFont val="Arial"/>
        <family val="2"/>
      </rPr>
      <t xml:space="preserve"> critica a possibilidade, ou não, de o interessado ser aposentado nessa regra/modalidade. Ressalte-se que </t>
    </r>
    <r>
      <rPr>
        <b/>
        <sz val="12"/>
        <rFont val="Arial"/>
        <family val="2"/>
      </rPr>
      <t>essa regra se aplica aos servidores que ingressaram ANTES de 16/12/1998, ou seja, é somente para os interessados admitidos antes da Emenda Constitucional nº 20/98</t>
    </r>
    <r>
      <rPr>
        <sz val="12"/>
        <rFont val="Arial"/>
        <family val="2"/>
      </rPr>
      <t>. É mister destacar que para cada ano antecipado na idade reduz a proporção dos proventos em 3,5%, até 31/12/2005. A partir de 01/01/2006, essa redução será de 5%.</t>
    </r>
  </si>
  <si>
    <r>
      <t xml:space="preserve">TEMPO NO SERVIÇO PÚBLICO: </t>
    </r>
    <r>
      <rPr>
        <sz val="12"/>
        <color indexed="8"/>
        <rFont val="Arial"/>
        <family val="2"/>
      </rPr>
      <t xml:space="preserve">considerando as inserções quanto à modalidade e à regra de opção de aposentadoria constantes da (I) ficha funcional e os registros dos períodos de contribuição, constantes do (II) mapa de tempo de serviçoa / contribuição - MTS, é informado, neste campo, </t>
    </r>
    <r>
      <rPr>
        <b/>
        <sz val="12"/>
        <color indexed="8"/>
        <rFont val="Arial"/>
        <family val="2"/>
      </rPr>
      <t>se o tempo mínimo exigido no serviço público foi atendido, ou não</t>
    </r>
    <r>
      <rPr>
        <sz val="12"/>
        <color indexed="8"/>
        <rFont val="Arial"/>
        <family val="2"/>
      </rPr>
      <t>.</t>
    </r>
  </si>
  <si>
    <r>
      <t xml:space="preserve">IDADE MÍNIMA: </t>
    </r>
    <r>
      <rPr>
        <sz val="12"/>
        <color indexed="8"/>
        <rFont val="Arial"/>
        <family val="2"/>
      </rPr>
      <t xml:space="preserve">considerando as inserções quanto à modalidade e à regra de opção de aposentadoria constantes da (I) ficha funcional, é informado, neste campo, </t>
    </r>
    <r>
      <rPr>
        <b/>
        <sz val="12"/>
        <color indexed="8"/>
        <rFont val="Arial"/>
        <family val="2"/>
      </rPr>
      <t>se o servidor ATENDE LIMITE MÍNIMO DE IDADE, ou não</t>
    </r>
    <r>
      <rPr>
        <sz val="12"/>
        <color indexed="8"/>
        <rFont val="Arial"/>
        <family val="2"/>
      </rPr>
      <t xml:space="preserve">, </t>
    </r>
    <r>
      <rPr>
        <b/>
        <sz val="12"/>
        <color indexed="8"/>
        <rFont val="Arial"/>
        <family val="2"/>
      </rPr>
      <t>indicando, ainda, possível incompatibilidade entre modalidade e regra de opção de aposentadoria escolhidas na aba "ficha funcional (I)".</t>
    </r>
  </si>
  <si>
    <r>
      <t>CONDIÇÕES PARA FIXAÇÃO DE PROVENTOS</t>
    </r>
    <r>
      <rPr>
        <sz val="12"/>
        <color indexed="8"/>
        <rFont val="Arial"/>
        <family val="2"/>
      </rPr>
      <t>: esta área destina-se a explicitar as</t>
    </r>
    <r>
      <rPr>
        <b/>
        <sz val="12"/>
        <color indexed="8"/>
        <rFont val="Arial"/>
        <family val="2"/>
      </rPr>
      <t xml:space="preserve"> características básicas dos proventos a serem fixados para o servidor</t>
    </r>
    <r>
      <rPr>
        <sz val="12"/>
        <color indexed="8"/>
        <rFont val="Arial"/>
        <family val="2"/>
      </rPr>
      <t>, considerando a modalidade e a regra da aposentadoria escolhidas  da (I) ficha funcional e o tempo total de contribuição constante do mapa de tempo de serviço / contribuição, em conformidade com o (II) MTS.</t>
    </r>
  </si>
  <si>
    <r>
      <t>PROVENTOS:</t>
    </r>
    <r>
      <rPr>
        <sz val="12"/>
        <rFont val="Arial"/>
        <family val="2"/>
      </rPr>
      <t xml:space="preserve"> considerando as inserções da ficha funcional (I) e do mapa de tempo de serviço / contribuição - MTS (II), são apresentadas as </t>
    </r>
    <r>
      <rPr>
        <b/>
        <sz val="12"/>
        <color indexed="8"/>
        <rFont val="Arial"/>
        <family val="2"/>
      </rPr>
      <t>características básicas dos proventos a serem fixados e pagos ao servidor</t>
    </r>
    <r>
      <rPr>
        <sz val="12"/>
        <rFont val="Arial"/>
        <family val="2"/>
      </rPr>
      <t>.</t>
    </r>
  </si>
  <si>
    <r>
      <t>INTEGRAL:</t>
    </r>
    <r>
      <rPr>
        <sz val="12"/>
        <color indexed="8"/>
        <rFont val="Arial"/>
        <family val="2"/>
      </rPr>
      <t xml:space="preserve"> considerando a modalidade e a regra de opção de aposentadoria escolhidas (ficha funcional), bem como o tempo total apurado (MTS), </t>
    </r>
    <r>
      <rPr>
        <b/>
        <sz val="12"/>
        <color indexed="8"/>
        <rFont val="Arial"/>
        <family val="2"/>
      </rPr>
      <t>é informado se os proventos são em parcela única, ou em parcelas distintas, apontando, ainda, se tem, ou não, paridade</t>
    </r>
    <r>
      <rPr>
        <sz val="12"/>
        <color indexed="8"/>
        <rFont val="Arial"/>
        <family val="2"/>
      </rPr>
      <t>.</t>
    </r>
  </si>
  <si>
    <r>
      <t>PROPORCIONAL:</t>
    </r>
    <r>
      <rPr>
        <sz val="12"/>
        <color indexed="8"/>
        <rFont val="Arial"/>
        <family val="2"/>
      </rPr>
      <t xml:space="preserve"> considerando a modalidade e a regra de aposentadoria (ficha funcional), bem como o tempo total apurado (MTS), </t>
    </r>
    <r>
      <rPr>
        <b/>
        <sz val="12"/>
        <color indexed="8"/>
        <rFont val="Arial"/>
        <family val="2"/>
      </rPr>
      <t>é informado se os proventos são em parcela única (MÉDIA), ou em parcelas distintas, apontando, ainda, se tem, ou não, paridade, bem como a fração e a respectiva porcentagem</t>
    </r>
    <r>
      <rPr>
        <sz val="12"/>
        <color indexed="8"/>
        <rFont val="Arial"/>
        <family val="2"/>
      </rPr>
      <t xml:space="preserve">, considerando o </t>
    </r>
    <r>
      <rPr>
        <b/>
        <sz val="12"/>
        <color indexed="8"/>
        <rFont val="Arial"/>
        <family val="2"/>
      </rPr>
      <t>tempo em anos (situações anteriores a 20/02/2004)</t>
    </r>
    <r>
      <rPr>
        <sz val="12"/>
        <color indexed="8"/>
        <rFont val="Arial"/>
        <family val="2"/>
      </rPr>
      <t xml:space="preserve">, ou </t>
    </r>
    <r>
      <rPr>
        <b/>
        <sz val="12"/>
        <color indexed="8"/>
        <rFont val="Arial"/>
        <family val="2"/>
      </rPr>
      <t>em dias (a partir de 20/02/2004)</t>
    </r>
    <r>
      <rPr>
        <sz val="12"/>
        <color indexed="8"/>
        <rFont val="Arial"/>
        <family val="2"/>
      </rPr>
      <t>.</t>
    </r>
  </si>
  <si>
    <t>DOS CENÁRIOS DE CONCESSÃO</t>
  </si>
  <si>
    <t>DATA PREVISTA</t>
  </si>
  <si>
    <r>
      <t xml:space="preserve">REGRA PERMANENTE EMENDA Nº 41/03 - COMPULSÓRIA: </t>
    </r>
    <r>
      <rPr>
        <sz val="12"/>
        <color indexed="8"/>
        <rFont val="Arial"/>
        <family val="2"/>
      </rPr>
      <t>critica a data prevista aproximada em que o servidor completará 70 anos, devendo ser aposentado compulsoriamente. Ressalte-se que essa regra se aplica a todos servidores que alcançarem a idade limite.</t>
    </r>
  </si>
  <si>
    <t>Obs.: Caso não haja para o(a) servidor(a) nenhuma possibilidade de aposentadoria após a ferramenta ter sido completamente preenchida, todas as críticas serão apresentadas em vermelho.</t>
  </si>
  <si>
    <r>
      <t>ALTERNATIVAS DE APOSENTADORIA</t>
    </r>
    <r>
      <rPr>
        <sz val="12"/>
        <color indexed="8"/>
        <rFont val="Arial"/>
        <family val="2"/>
      </rPr>
      <t xml:space="preserve">: considerando as inserções da (I) ficha funcional e do (II) mapa de tempo de serviço / contribuição - MTS, esta área destina-se a disponibilizar possíveis cenários com </t>
    </r>
    <r>
      <rPr>
        <b/>
        <sz val="12"/>
        <color indexed="8"/>
        <rFont val="Arial"/>
        <family val="2"/>
      </rPr>
      <t>alternativas de modalidade e regra de opção de aposentadoria</t>
    </r>
    <r>
      <rPr>
        <sz val="12"/>
        <color indexed="8"/>
        <rFont val="Arial"/>
        <family val="2"/>
      </rPr>
      <t>,</t>
    </r>
    <r>
      <rPr>
        <b/>
        <sz val="12"/>
        <color indexed="8"/>
        <rFont val="Arial"/>
        <family val="2"/>
      </rPr>
      <t xml:space="preserve"> indicando, em síntese, se o tempo necessário e a idade são cumpridos e se os proventos têm, ou não, paridade</t>
    </r>
    <r>
      <rPr>
        <sz val="12"/>
        <color indexed="8"/>
        <rFont val="Arial"/>
        <family val="2"/>
      </rPr>
      <t>.</t>
    </r>
  </si>
  <si>
    <r>
      <t>MODALIDADE DE AP</t>
    </r>
    <r>
      <rPr>
        <b/>
        <sz val="12"/>
        <color indexed="8"/>
        <rFont val="Arial"/>
        <family val="2"/>
      </rPr>
      <t>OSENTADORIA / REGRA DE OPÇÃO / TEMPO / IDADE / PARIDADE:</t>
    </r>
    <r>
      <rPr>
        <sz val="12"/>
        <color indexed="8"/>
        <rFont val="Arial"/>
        <family val="2"/>
      </rPr>
      <t xml:space="preserve"> eventualmente, </t>
    </r>
    <r>
      <rPr>
        <b/>
        <sz val="12"/>
        <color indexed="8"/>
        <rFont val="Arial"/>
        <family val="2"/>
      </rPr>
      <t>dependendo das condições dos dados lançados na ficha funcional (I) e no mapa de tempo de serviço / contribução (II)</t>
    </r>
    <r>
      <rPr>
        <sz val="12"/>
        <color indexed="8"/>
        <rFont val="Arial"/>
        <family val="2"/>
      </rPr>
      <t>, poderão surgir cenários alternativos para aposentação do servidor que podem ser escolhidos e aplicados ao caso concreto na forma que o jurisdcionado e o interessado (servidor) considerarem mais apropriada .</t>
    </r>
  </si>
  <si>
    <t>Art. 40, II, da CR/88 (redação original)</t>
  </si>
  <si>
    <t>Art. 40, §1º, I, da CR/88 (redação dada pela EC nº 41/03)</t>
  </si>
  <si>
    <t>Art. 40, §1º, I, da CR/88 (redação dada pela EC nº 20/98)</t>
  </si>
  <si>
    <t>Art. 40, I, da CR/88 (redação original)</t>
  </si>
  <si>
    <t>Art. 8º, § 1º, da EC nº 20/98 c/c art. 3º da EC nº 41/03</t>
  </si>
  <si>
    <t>Art. 40, III, alínea "c", da CR/88 (redação original)</t>
  </si>
  <si>
    <t>LISTA DE FUNDAMENTAÇÕES</t>
  </si>
  <si>
    <t>PODERES</t>
  </si>
  <si>
    <t>de</t>
  </si>
  <si>
    <t>CARREIRA:</t>
  </si>
  <si>
    <t>DESDE</t>
  </si>
  <si>
    <t>EFETIVO EXERCÍCIO DE FUNÇÕES DE MAGISTÉRIO</t>
  </si>
  <si>
    <t>E.C. nº 41/03</t>
  </si>
  <si>
    <t>REGRA DE OPÇÃO:</t>
  </si>
  <si>
    <t>ENTE DA FEDERAÇÃO:</t>
  </si>
  <si>
    <t>ÓRGÃO/ ENTIDADE:</t>
  </si>
  <si>
    <t>HISTÓRICO FUNCIONAL</t>
  </si>
  <si>
    <t>NOME DO SERVIDOR:</t>
  </si>
  <si>
    <t>MATRÍCULA:</t>
  </si>
  <si>
    <t>CARGO:</t>
  </si>
  <si>
    <t>ADMISSÃO:</t>
  </si>
  <si>
    <t>NASCIMENTO:</t>
  </si>
  <si>
    <t>C.P.F.:</t>
  </si>
  <si>
    <t>SEXO:</t>
  </si>
  <si>
    <t>REDAÇÃO DADA PELA:</t>
  </si>
  <si>
    <t>E.C. nº 20/98</t>
  </si>
  <si>
    <t>CRÍTICAS</t>
  </si>
  <si>
    <t>TEMPO NO SERV. PÚBLICO:</t>
  </si>
  <si>
    <t>CONCLUSÃO:</t>
  </si>
  <si>
    <t>IDADE :</t>
  </si>
  <si>
    <t>APURAÇÃO DO TEMPO DE SERVIÇO/CONTRIBUIÇÃO</t>
  </si>
  <si>
    <t>SITUAÇÃO ANTES DA E.C. nº 20/98</t>
  </si>
  <si>
    <t>total</t>
  </si>
  <si>
    <t>início</t>
  </si>
  <si>
    <t>término</t>
  </si>
  <si>
    <t>ÓRGÃO DE ORIGEM</t>
  </si>
  <si>
    <t>orientações</t>
  </si>
  <si>
    <t>nº anos</t>
  </si>
  <si>
    <t>BÔNUS ESPECIAL</t>
  </si>
  <si>
    <t>FALTAS</t>
  </si>
  <si>
    <t>LICENÇA SEM VENCIMENTO</t>
  </si>
  <si>
    <t>SUBTOTAL</t>
  </si>
  <si>
    <t>TEMPO CONVERTIDO</t>
  </si>
  <si>
    <t>anos</t>
  </si>
  <si>
    <t>dias</t>
  </si>
  <si>
    <t>(antes da EC nº 20/98)</t>
  </si>
  <si>
    <t>CONCLUSÃO (caso seja necessária complementação)</t>
  </si>
  <si>
    <t>TEMPO FALTANTE:</t>
  </si>
  <si>
    <t>PEDÁGIO:</t>
  </si>
  <si>
    <t>TEMPO A COMPLEMENTAR:</t>
  </si>
  <si>
    <t>SITUAÇÃO ENTRE A E.C. nº 20/98 A E.C. nº 41/03</t>
  </si>
  <si>
    <t>(entre a EC nº 20            e a EC nº 41)</t>
  </si>
  <si>
    <t>(desde o início)</t>
  </si>
  <si>
    <t>SITUAÇÃO APÓS A E.C. nº 41/03</t>
  </si>
  <si>
    <t>(após a EC nº 41/03)</t>
  </si>
  <si>
    <t>SITUAÇÃO GERAL FINAL</t>
  </si>
  <si>
    <t>CONCLUSÃO</t>
  </si>
  <si>
    <t>Acréscimo constitucional para professores (EC 20/98 e EC 41/03).</t>
  </si>
  <si>
    <t>A data máxima nessa situação é 15/12/98 (Antes da / EC nº 20/98)</t>
  </si>
  <si>
    <t>Aponte as faltas ocorridas antes de 15/12/98 (Antes EC nº 20/98).</t>
  </si>
  <si>
    <t>Aponte licenças sem vencimentos anteriores a 15/12/98 (Antes EC nº 20/98).</t>
  </si>
  <si>
    <t>Aponte as faltas ocorridas entre 16/12/98 e 19/02/2004(antes MP 167/04).</t>
  </si>
  <si>
    <t>Aponte licenças sem vencimentos entre 16/12/98 e 19/02/04 (Antes MP 167/04).</t>
  </si>
  <si>
    <t>A data mínima nessa situação é 20/02/2004 (A partir da MP 167/04)</t>
  </si>
  <si>
    <t>Aponte as faltas ocorridas a partir de 20/02/2004(a partir da MP 167/04).</t>
  </si>
  <si>
    <t>Aponte licenças sem vencimentos a partir de 20/02/04 (a partir MP 167/04).</t>
  </si>
  <si>
    <t>PROPORÇÃO EM ANOS :</t>
  </si>
  <si>
    <t>PROPORÇÃO EM DIAS :</t>
  </si>
  <si>
    <t>MODALIDADE / FUNDAMENTAÇAO :</t>
  </si>
  <si>
    <t>TEMPO DE SERVIÇO / CONTRIBUIÇÃO :</t>
  </si>
  <si>
    <t>IDADE  X  TEMPO CONTRIBUIÇÃO (TEMPO FALTANTE) :</t>
  </si>
  <si>
    <t>MODALIDADE/FUNDAMENTAÇÃO</t>
  </si>
  <si>
    <t>REGRA PERM. MAGISTÉRIO</t>
  </si>
  <si>
    <t>TRANS. EC Nº 20 MAGISTÉRIO</t>
  </si>
  <si>
    <t>TEMPO FALTANTE</t>
  </si>
  <si>
    <t>TRANS._ART. 6º_MAGISTÉRIO</t>
  </si>
  <si>
    <t>TS FALTANTE</t>
  </si>
  <si>
    <t>PROFESSOR</t>
  </si>
  <si>
    <t>PROFESSORA</t>
  </si>
  <si>
    <t>CONCLUSÃO_TEMPO X IDADE:</t>
  </si>
  <si>
    <t>SOMA</t>
  </si>
  <si>
    <t>CONDIÇÃO</t>
  </si>
  <si>
    <t>REGRA PERMANENTE_IDADE</t>
  </si>
  <si>
    <t>C R Í T I C A S</t>
  </si>
  <si>
    <t>TRANS. EC Nº 20_TEMPO SERVIÇO</t>
  </si>
  <si>
    <t>1)</t>
  </si>
  <si>
    <t>O que é?</t>
  </si>
  <si>
    <t>2)</t>
  </si>
  <si>
    <t>Objetivo</t>
  </si>
  <si>
    <t xml:space="preserve"> </t>
  </si>
  <si>
    <t>3)</t>
  </si>
  <si>
    <t>Quem pode usar a planilha?</t>
  </si>
  <si>
    <t>Órgãos dos Poderes Executivo, Legislativo, Judiciário, Ministério Público, Tribunal de Contas e as entidades da Administração Indireta vinculadas ao Regime Jurídico Único, incluídas as Fundações Públicas de Direito Público, instituídas e mantidas pelos referidos poderes.</t>
  </si>
  <si>
    <t xml:space="preserve">1 - </t>
  </si>
  <si>
    <t xml:space="preserve">2 - </t>
  </si>
  <si>
    <t xml:space="preserve">3 - </t>
  </si>
  <si>
    <t xml:space="preserve">4 - </t>
  </si>
  <si>
    <t xml:space="preserve">6 - </t>
  </si>
  <si>
    <t xml:space="preserve">7 - </t>
  </si>
  <si>
    <t>5 -</t>
  </si>
  <si>
    <t>8 -</t>
  </si>
  <si>
    <t xml:space="preserve">9 - </t>
  </si>
  <si>
    <t xml:space="preserve">10 - </t>
  </si>
  <si>
    <t xml:space="preserve">9.1 - </t>
  </si>
  <si>
    <t>10.1 -</t>
  </si>
  <si>
    <t xml:space="preserve">11 - </t>
  </si>
  <si>
    <t>12 -</t>
  </si>
  <si>
    <t xml:space="preserve">13 - </t>
  </si>
  <si>
    <t>14 -</t>
  </si>
  <si>
    <t>15 -</t>
  </si>
  <si>
    <t xml:space="preserve">16 - </t>
  </si>
  <si>
    <t xml:space="preserve">17 - </t>
  </si>
  <si>
    <t>12.1 -</t>
  </si>
  <si>
    <t xml:space="preserve">18 - </t>
  </si>
  <si>
    <t xml:space="preserve">19 - </t>
  </si>
  <si>
    <t xml:space="preserve">20 - </t>
  </si>
  <si>
    <t xml:space="preserve">21 - </t>
  </si>
  <si>
    <t xml:space="preserve">I - </t>
  </si>
  <si>
    <t>DA FICHA FUNCIONAL</t>
  </si>
  <si>
    <t xml:space="preserve">II - </t>
  </si>
  <si>
    <t xml:space="preserve">4.2 - </t>
  </si>
  <si>
    <t xml:space="preserve">5 - </t>
  </si>
  <si>
    <t xml:space="preserve">6.1 - </t>
  </si>
  <si>
    <t xml:space="preserve">6.2 - </t>
  </si>
  <si>
    <t xml:space="preserve">8 - </t>
  </si>
  <si>
    <t xml:space="preserve">11.1 - </t>
  </si>
  <si>
    <t xml:space="preserve">17.6 - </t>
  </si>
  <si>
    <t xml:space="preserve">20.6 - </t>
  </si>
  <si>
    <t xml:space="preserve">12 - </t>
  </si>
  <si>
    <t xml:space="preserve">15 - </t>
  </si>
  <si>
    <t xml:space="preserve">14 - </t>
  </si>
  <si>
    <t xml:space="preserve">17.1 - </t>
  </si>
  <si>
    <t xml:space="preserve">17.2 - </t>
  </si>
  <si>
    <t xml:space="preserve">17.3 - </t>
  </si>
  <si>
    <t xml:space="preserve">17.4 - </t>
  </si>
  <si>
    <t xml:space="preserve">17.5 - </t>
  </si>
  <si>
    <t xml:space="preserve">20.1 - </t>
  </si>
  <si>
    <t xml:space="preserve">20.2 - </t>
  </si>
  <si>
    <t xml:space="preserve">20.3 - </t>
  </si>
  <si>
    <t xml:space="preserve">20.4 - </t>
  </si>
  <si>
    <t xml:space="preserve">20.5 - </t>
  </si>
  <si>
    <t xml:space="preserve">22 - </t>
  </si>
  <si>
    <t xml:space="preserve">23 - </t>
  </si>
  <si>
    <t xml:space="preserve">24 - </t>
  </si>
  <si>
    <r>
      <t xml:space="preserve">DESDE: </t>
    </r>
    <r>
      <rPr>
        <sz val="12"/>
        <rFont val="Arial"/>
        <family val="2"/>
      </rPr>
      <t>indique a data em que ingressou na carreira em que se dá a aposentação.</t>
    </r>
  </si>
  <si>
    <t>RESUMO CONCLUSIVO</t>
  </si>
  <si>
    <t>CONDIÇÕES DE APOSENTADORIA</t>
  </si>
  <si>
    <t>FUNDAMENTAÇÃO LEGAL A SER UTILIZADA NO ATO DE APOSENTADORIA:</t>
  </si>
  <si>
    <t>TEMPO NO SERVIÇO PÚBLICO:</t>
  </si>
  <si>
    <t>IDADE MÍNIMA:</t>
  </si>
  <si>
    <t>CONDIÇÕES PARA FIXAÇÃO DOS PROVENTOS</t>
  </si>
  <si>
    <t>parcela única (média):</t>
  </si>
  <si>
    <t>em parcelas distintas:</t>
  </si>
  <si>
    <t>paridade:</t>
  </si>
  <si>
    <t>PORCENTAGEM</t>
  </si>
  <si>
    <t>PROPORCIONAL</t>
  </si>
  <si>
    <t>ALTERNATIVAS DE APOSENTADORIA</t>
  </si>
  <si>
    <r>
      <t xml:space="preserve">TEMPO DE CONTRIBUIÇÃO/SERVIÇO </t>
    </r>
    <r>
      <rPr>
        <b/>
        <sz val="12"/>
        <color indexed="12"/>
        <rFont val="Arial"/>
        <family val="2"/>
      </rPr>
      <t>TOTAL APURADO</t>
    </r>
    <r>
      <rPr>
        <b/>
        <sz val="12"/>
        <rFont val="Arial"/>
        <family val="2"/>
      </rPr>
      <t>:</t>
    </r>
  </si>
  <si>
    <r>
      <t xml:space="preserve">TEMPO DE CONTRIBUIÇÃO/SERVIÇO </t>
    </r>
    <r>
      <rPr>
        <b/>
        <sz val="12"/>
        <color indexed="10"/>
        <rFont val="Arial"/>
        <family val="2"/>
      </rPr>
      <t>FALTANTE</t>
    </r>
    <r>
      <rPr>
        <b/>
        <sz val="12"/>
        <rFont val="Arial"/>
        <family val="2"/>
      </rPr>
      <t>:</t>
    </r>
  </si>
  <si>
    <t>TOTAL</t>
  </si>
  <si>
    <t>FRAÇÃO</t>
  </si>
  <si>
    <t>TSCP</t>
  </si>
  <si>
    <t>MOD/REG</t>
  </si>
  <si>
    <t>T E M P O   F A L T A N T E</t>
  </si>
  <si>
    <t>A N O S</t>
  </si>
  <si>
    <t>D I A S</t>
  </si>
  <si>
    <t>REGRA ANTES EC20</t>
  </si>
  <si>
    <t>REGRA ANTES EMENDA 20/98</t>
  </si>
  <si>
    <t>FUNDAMENTAÇÃO A CONSTAR NO ATO:</t>
  </si>
  <si>
    <t>MODALIDADE DE APOSENTADORIA:</t>
  </si>
  <si>
    <t>MODALIDADE DE APOSENTADORIA</t>
  </si>
  <si>
    <t>REGRA DE OPÇÃO</t>
  </si>
  <si>
    <t>TT*365</t>
  </si>
  <si>
    <t>T+ID(DIAS)</t>
  </si>
  <si>
    <t>IDADE SEM ARREDONDAMENTO</t>
  </si>
  <si>
    <t xml:space="preserve">PREVISÃO PARA APOSENTADORIA NA MODALIDADE E REGRA ESCOLHIDAS: </t>
  </si>
  <si>
    <t>APOSENTADORIA COMPULSÓRIA_CONDIÇÕES</t>
  </si>
  <si>
    <t>É uma ferramenta de preenchimento simplificado, cujo resultado avaliará as condições para aposentadoria de determinado servidor, apresentando críticas automáticas à medida em que os dados são inseridos nos campos próprios, permitindo uma segura conclusão quanto à possibilidade ou não de sua aposentação, considerando o preenchimento das condições constitucionais e das Emendas Constitucionais que promoveram reformas na previdência dos servidores públicos.</t>
  </si>
  <si>
    <t>ANTES EC41</t>
  </si>
  <si>
    <t>TRANS. ART. 2º EMENDA 41/03</t>
  </si>
  <si>
    <t>Caso o servidor não atenda de imediato os requisitos para aposentadoria de acordo com a modalidade e a regra escolhida, são oferecidas, se a situção funcional do servidor permitir, alternativas de modalidades e regras para aposentadoria que podem ser escolhidas e aplicadas ao caso concreto na forma que o jurisdcionado e o interessado (servidor) considerarem mais apropriada.</t>
  </si>
  <si>
    <t xml:space="preserve">25 - </t>
  </si>
  <si>
    <t>PROVENTOS</t>
  </si>
  <si>
    <r>
      <t>REGRA DE OPÇÃO DE APOSENTADORIA ESCOLHIDA:</t>
    </r>
    <r>
      <rPr>
        <sz val="12"/>
        <rFont val="Arial"/>
        <family val="2"/>
      </rPr>
      <t xml:space="preserve"> apresenta a opção de aposentadoria escolhida na (I) ficha funcional, possibilitando, a qualquer momento, nova simulação de cenário.</t>
    </r>
  </si>
  <si>
    <t xml:space="preserve">26 - </t>
  </si>
  <si>
    <r>
      <t xml:space="preserve">CONCLUSÃO: </t>
    </r>
    <r>
      <rPr>
        <sz val="12"/>
        <rFont val="Arial"/>
        <family val="2"/>
      </rPr>
      <t>essa área da tela é automaticamente preenchida a partir das digitações dos dados do interessado quanto aos assentamentos funcionais e mapa de tempo de serviço. Serve de crítica para que a Administração de Pessoal possa conhecer o melhor cenário para a aposentadoria do servidor interessado e este, buscar a melhor opção para a jubilação, com relação aos proventos e paridade.</t>
    </r>
  </si>
  <si>
    <t xml:space="preserve">III - </t>
  </si>
  <si>
    <t>DO RESUMO CONCLUSIVO</t>
  </si>
  <si>
    <t>VE_RP_REDAÇÃO EC 20/98</t>
  </si>
  <si>
    <t>VI_RP_REDAÇÃO EC 20/98</t>
  </si>
  <si>
    <t>VPI_RP_REDAÇÃO EC 20/98</t>
  </si>
  <si>
    <t>VI_RP_REDAÇÃO EC 41/03</t>
  </si>
  <si>
    <t>VE_RP_REDAÇÃO EC 41/03</t>
  </si>
  <si>
    <t>VPI_RP_REDAÇÃO EC 41/03</t>
  </si>
  <si>
    <t>VI_TRANSIÇÃO EC 20/98</t>
  </si>
  <si>
    <t>VE_TRANSIÇÃO EC 20/98</t>
  </si>
  <si>
    <t>VPTC_TRANSIÇÃO EC 20/98</t>
  </si>
  <si>
    <t>VI_TRANSIÇÃO ART. 6º</t>
  </si>
  <si>
    <t>VE_TRANSIÇÃO ART. 6º</t>
  </si>
  <si>
    <t>COMPULSÓRIA_RP_EC 20/98</t>
  </si>
  <si>
    <t>COMPULSÓRIA_RP_EC 41/03</t>
  </si>
  <si>
    <t>CENÁRIOS DE CONCESSÃO</t>
  </si>
  <si>
    <t>x</t>
  </si>
  <si>
    <t>Caso o servidor atenda os requisitos legais para aposentadoria, uma cópia das planilhas "ficha funcional", "mapa de tempo de serviço" e "conclusão" poderá, se o órgão jurisdicionado entender pertinente, ser inserida no respectivo processo a ser encaminhado ao Tribunal de Contas do Estado do Rio de Janeiro (TCE) como documentação subsidiária comprobatória de capacidade legal de aposentadoria, otimizando a processualidade dos citados atos,  portanto, a apreciação da situação pelo jurisdicionado e pelo TCE, minimizando o risco de falhas quanto ao tempo de contribuição, a idade, a fundamentação legal do ato, e as consequentes tramitações (devoluções / diligência, etc.), acelerando o procedimento de decisão final no processo mediante a confiabilidade que a planilha apresenta.</t>
  </si>
  <si>
    <t>Disponibilizar aos jurisdicionados ferramenta facilitadora da análise dos vários expedientes de aposentadoria, ainda em sua fase inicial, apresentando, se for o caso, ao servidor interessado um leque de possibilidades para que possa expressar a sua opção pelo cenário que lhe for mais favorável, agilizando a construção processual pelo órgão jurisdicionado e garantindo a qualidade do resultado.</t>
  </si>
  <si>
    <t>DO MTS - MAPA DE TEMPO DE SERVIÇO E/OU CONTRIBUIÇÃO</t>
  </si>
  <si>
    <r>
      <t xml:space="preserve">FUNDAMENTAÇÃO </t>
    </r>
    <r>
      <rPr>
        <b/>
        <u/>
        <sz val="12"/>
        <rFont val="Arial"/>
        <family val="2"/>
      </rPr>
      <t>A CONSTAR DO ATO</t>
    </r>
    <r>
      <rPr>
        <b/>
        <sz val="12"/>
        <rFont val="Arial"/>
        <family val="2"/>
      </rPr>
      <t xml:space="preserve">: </t>
    </r>
    <r>
      <rPr>
        <sz val="12"/>
        <rFont val="Arial"/>
        <family val="2"/>
      </rPr>
      <t xml:space="preserve">automaticamente é disponibilizada a </t>
    </r>
    <r>
      <rPr>
        <b/>
        <sz val="12"/>
        <rFont val="Arial"/>
        <family val="2"/>
      </rPr>
      <t>ÚNICA</t>
    </r>
    <r>
      <rPr>
        <sz val="12"/>
        <rFont val="Arial"/>
        <family val="2"/>
      </rPr>
      <t xml:space="preserve"> fundamentação legal que deverá constar do ato considerando a modalidade de aposentadoria e a regra de opção escolhidas.</t>
    </r>
  </si>
  <si>
    <r>
      <t>ÓRGÃO / ENTIDADE:</t>
    </r>
    <r>
      <rPr>
        <sz val="12"/>
        <rFont val="Arial"/>
        <family val="2"/>
      </rPr>
      <t xml:space="preserve"> este campo é livre para a digitação do nome do órgão da Administração Direta ou Autárquica ou Fundação Pública de direito público da Administração Indireta.</t>
    </r>
  </si>
  <si>
    <r>
      <t xml:space="preserve">MATRÍCULA: </t>
    </r>
    <r>
      <rPr>
        <sz val="12"/>
        <rFont val="Arial"/>
        <family val="2"/>
      </rPr>
      <t>indique a matrícula do ex-servidor em que se dá a jubilação (aposentação).</t>
    </r>
  </si>
  <si>
    <r>
      <t xml:space="preserve">CARGO: </t>
    </r>
    <r>
      <rPr>
        <sz val="12"/>
        <rFont val="Arial"/>
        <family val="2"/>
      </rPr>
      <t>campo livre para digitação. Digite o cargo em que se dá a aposentadoria do ex-servidor, como consta dos seus assentamentos;</t>
    </r>
  </si>
  <si>
    <r>
      <t>ADMISSÃO:</t>
    </r>
    <r>
      <rPr>
        <sz val="12"/>
        <rFont val="Arial"/>
        <family val="2"/>
      </rPr>
      <t xml:space="preserve"> indique a data de admissão do interessado no quadro de pessoal do órgão, considerando-se como data de admissão aquela a partir da qual o servidor entrou em efetivo exercício até sua aposentação, ininterruptamente.</t>
    </r>
  </si>
  <si>
    <r>
      <t xml:space="preserve">IDADE: </t>
    </r>
    <r>
      <rPr>
        <sz val="12"/>
        <rFont val="Arial"/>
        <family val="2"/>
      </rPr>
      <t>campo bloqueado para digitação que informa a idade do servidor na data de sua aposentadoria. Alteração automática que depende das datas de nascimento e validade do ato concessório.</t>
    </r>
  </si>
  <si>
    <r>
      <t>C. P. F.:</t>
    </r>
    <r>
      <rPr>
        <sz val="12"/>
        <rFont val="Arial"/>
        <family val="2"/>
      </rPr>
      <t xml:space="preserve"> campo livre para digitação. Digite o número de inscrição do servidor no cadastro geral de contribuintes - CPF.</t>
    </r>
  </si>
  <si>
    <r>
      <t xml:space="preserve">EFETIVO MAGISTÉRIO: </t>
    </r>
    <r>
      <rPr>
        <sz val="12"/>
        <rFont val="Arial"/>
        <family val="2"/>
      </rPr>
      <t xml:space="preserve">marque um "X" na opção que confere com a situação do ex-servidor (caso a aposentadoria se dê aos 25 anos de exercício </t>
    </r>
    <r>
      <rPr>
        <b/>
        <sz val="12"/>
        <rFont val="Arial"/>
        <family val="2"/>
      </rPr>
      <t>exclusivo em funções de magistério</t>
    </r>
    <r>
      <rPr>
        <sz val="12"/>
        <rFont val="Arial"/>
        <family val="2"/>
      </rPr>
      <t>, se mulher, ou 30 anos, se homem).</t>
    </r>
  </si>
  <si>
    <t>A  T  S</t>
  </si>
  <si>
    <r>
      <t xml:space="preserve">TEMPO NO CARGO: </t>
    </r>
    <r>
      <rPr>
        <sz val="12"/>
        <rFont val="Arial"/>
        <family val="2"/>
      </rPr>
      <t>campo bloqueado para digitação. A informação é lançada automaticamente, dependendo da data de início do exercício no cargo efetivo e a validade da aposentadoria.</t>
    </r>
  </si>
  <si>
    <r>
      <t>TEMPO NA CARREIRA:</t>
    </r>
    <r>
      <rPr>
        <sz val="12"/>
        <rFont val="Arial"/>
        <family val="2"/>
      </rPr>
      <t xml:space="preserve"> campo bloqueado para digitação. A informação é lançada automaticamente, dependendo da data de início do exercício na carreira em que se dará a aposentadoria e a validade do ato concessório.</t>
    </r>
  </si>
  <si>
    <t>TERMO DE OPÇÃO DO SERVIDOR ESTATUTÁRIO</t>
  </si>
  <si>
    <r>
      <t>INSS:</t>
    </r>
    <r>
      <rPr>
        <sz val="12"/>
        <rFont val="Arial"/>
        <family val="2"/>
      </rPr>
      <t xml:space="preserve"> célula livre para digitação. Indique os períodos, computando na célula de tempo em dias o total líquido constante de certidão emitida pelo órgão previdenciário do Regime Geral de Previdência Social - RGPS, </t>
    </r>
    <r>
      <rPr>
        <b/>
        <sz val="12"/>
        <rFont val="Arial"/>
        <family val="2"/>
      </rPr>
      <t>observando-se a impossibilidade de contagem dos tempos concomitantes.</t>
    </r>
  </si>
  <si>
    <r>
      <t>ÓRGÃO DE ORIGEM:</t>
    </r>
    <r>
      <rPr>
        <sz val="12"/>
        <rFont val="Arial"/>
        <family val="2"/>
      </rPr>
      <t xml:space="preserve"> digitação de tempo de serviço / contribuição de todos os períodos referentes ao servidor enquanto vinculado ao Regime Próprio dos Servidores do Ente Federado em que se dará a aposentadoria.</t>
    </r>
  </si>
  <si>
    <r>
      <t>ÓRGÃO DE ORIGEM:</t>
    </r>
    <r>
      <rPr>
        <sz val="12"/>
        <rFont val="Arial"/>
        <family val="2"/>
      </rPr>
      <t xml:space="preserve"> célula livre para digitação. Indique os períodos intercalados e o tempo em dias constante dos assentamentos funcionais do servidor;</t>
    </r>
  </si>
  <si>
    <r>
      <t xml:space="preserve">SUBTOTAL: </t>
    </r>
    <r>
      <rPr>
        <sz val="12"/>
        <rFont val="Arial"/>
        <family val="2"/>
      </rPr>
      <t xml:space="preserve">células bloqueadas para digitação. Os cálculos são automáticos. </t>
    </r>
    <r>
      <rPr>
        <b/>
        <sz val="12"/>
        <rFont val="Arial"/>
        <family val="2"/>
      </rPr>
      <t>Totalização parcial</t>
    </r>
    <r>
      <rPr>
        <sz val="12"/>
        <rFont val="Arial"/>
        <family val="2"/>
      </rPr>
      <t xml:space="preserve"> dos períodos computados antes da Emenda Constitucional nº 20/98.</t>
    </r>
  </si>
  <si>
    <r>
      <t xml:space="preserve">CONCLUSÃO 1: </t>
    </r>
    <r>
      <rPr>
        <sz val="12"/>
        <rFont val="Arial"/>
        <family val="2"/>
      </rPr>
      <t>dependendo da modalidade da aposentadoria e da regra de opção escolhida, haverá, se for o caso, informações automáticas com relação ao tempo de complementação necessário, levando-se em consideração todo o período anterior à Emenda Constitucional nº 20/98.</t>
    </r>
  </si>
  <si>
    <r>
      <t>INSS:</t>
    </r>
    <r>
      <rPr>
        <sz val="12"/>
        <rFont val="Arial"/>
        <family val="2"/>
      </rPr>
      <t xml:space="preserve"> célula livre para digitação. Indique os períodos a partir de 16/12/98 até 30/12/03, ou 19/02/04, conforme o caso (explicado acima), computando na célula de tempo em dias o total líquido constante de certidão emitida pelo órgão previdenciário do Regime Geral de Previdência Social - RGPS, </t>
    </r>
    <r>
      <rPr>
        <b/>
        <sz val="12"/>
        <rFont val="Arial"/>
        <family val="2"/>
      </rPr>
      <t>observando-se a impossibilidade de contagem dos tempos concomitantes.</t>
    </r>
  </si>
  <si>
    <r>
      <t xml:space="preserve">FALTAS: </t>
    </r>
    <r>
      <rPr>
        <sz val="12"/>
        <rFont val="Arial"/>
        <family val="2"/>
      </rPr>
      <t>célula livre para digitação. Aponte as faltas ocorridas a partir de 16/12/98 ate 30/12/03, ou 19/02/04, conforme o caso (já explicado no campo 17).</t>
    </r>
  </si>
  <si>
    <r>
      <t>INSS:</t>
    </r>
    <r>
      <rPr>
        <sz val="12"/>
        <rFont val="Arial"/>
        <family val="2"/>
      </rPr>
      <t xml:space="preserve"> célula livre para digitação. Indique os períodos a partir 20/02/04, conforme o caso (acima), computando na célula de tempo em dias o total líquido constante de certidão emitida pelo órgão previdenciário do Regime Geral de Previdência Social - RGPS, </t>
    </r>
    <r>
      <rPr>
        <b/>
        <sz val="12"/>
        <rFont val="Arial"/>
        <family val="2"/>
      </rPr>
      <t>observando-se a impossibilidade de contagem dos tempos concomitantes.</t>
    </r>
  </si>
  <si>
    <r>
      <t xml:space="preserve">NASCIMENTO: </t>
    </r>
    <r>
      <rPr>
        <sz val="12"/>
        <rFont val="Arial"/>
        <family val="2"/>
      </rPr>
      <t>indique a data de nascimento.</t>
    </r>
  </si>
  <si>
    <r>
      <t xml:space="preserve">obs.2: VERIFICAÇÃO QUANTO À APOSENTADORIA COMPULSÓRIA: </t>
    </r>
    <r>
      <rPr>
        <sz val="12"/>
        <color indexed="10"/>
        <rFont val="Arial"/>
        <family val="2"/>
      </rPr>
      <t xml:space="preserve">Se o servidor </t>
    </r>
    <r>
      <rPr>
        <b/>
        <u/>
        <sz val="12"/>
        <color indexed="10"/>
        <rFont val="Arial"/>
        <family val="2"/>
      </rPr>
      <t>atingiu</t>
    </r>
    <r>
      <rPr>
        <b/>
        <sz val="12"/>
        <color indexed="10"/>
        <rFont val="Arial"/>
        <family val="2"/>
      </rPr>
      <t xml:space="preserve"> 70 anos antes da data de validade indicada no campo 14</t>
    </r>
    <r>
      <rPr>
        <sz val="12"/>
        <color indexed="10"/>
        <rFont val="Arial"/>
        <family val="2"/>
      </rPr>
      <t xml:space="preserve">, uma mensagem em cor </t>
    </r>
    <r>
      <rPr>
        <b/>
        <i/>
        <sz val="14"/>
        <color indexed="10"/>
        <rFont val="Arial"/>
        <family val="2"/>
      </rPr>
      <t>amarela</t>
    </r>
    <r>
      <rPr>
        <sz val="12"/>
        <color indexed="10"/>
        <rFont val="Arial"/>
        <family val="2"/>
      </rPr>
      <t xml:space="preserve"> será apresentada com a indicação da data de validade que deverá ser colocada no campo 14. Se o servidor </t>
    </r>
    <r>
      <rPr>
        <b/>
        <u/>
        <sz val="12"/>
        <color indexed="10"/>
        <rFont val="Arial"/>
        <family val="2"/>
      </rPr>
      <t>não atingiu</t>
    </r>
    <r>
      <rPr>
        <b/>
        <sz val="12"/>
        <color indexed="10"/>
        <rFont val="Arial"/>
        <family val="2"/>
      </rPr>
      <t xml:space="preserve"> 70 anos antes da data de validade indicada no campo 14</t>
    </r>
    <r>
      <rPr>
        <sz val="12"/>
        <color indexed="10"/>
        <rFont val="Arial"/>
        <family val="2"/>
      </rPr>
      <t>, será apresentada uma mensagem quanto ao número de dias restantes até o servidor atingir 70 anos e a data respectiva, de forma a subsidiar possíveis simulações.</t>
    </r>
  </si>
  <si>
    <t>21 -</t>
  </si>
  <si>
    <r>
      <t xml:space="preserve">CONCLUSÃO: </t>
    </r>
    <r>
      <rPr>
        <sz val="12"/>
        <rFont val="Arial"/>
        <family val="2"/>
      </rPr>
      <t xml:space="preserve">campo preenchido automaticamente, consistindo em uma síntese de tudo digitado até o momento, </t>
    </r>
    <r>
      <rPr>
        <b/>
        <sz val="12"/>
        <rFont val="Arial"/>
        <family val="2"/>
      </rPr>
      <t>apontando críticas</t>
    </r>
    <r>
      <rPr>
        <sz val="12"/>
        <rFont val="Arial"/>
        <family val="2"/>
      </rPr>
      <t xml:space="preserve"> que impedem a aposentadoria do servidor nas condições informadas (fundamentação imprópria, falta de tempo de serviço, idade inferior à necessária, etc.), </t>
    </r>
    <r>
      <rPr>
        <b/>
        <sz val="12"/>
        <rFont val="Arial"/>
        <family val="2"/>
      </rPr>
      <t>ou ratificando</t>
    </r>
    <r>
      <rPr>
        <sz val="12"/>
        <rFont val="Arial"/>
        <family val="2"/>
      </rPr>
      <t xml:space="preserve"> que até o momento, as condições para aposentadoria estão satisfeitas, </t>
    </r>
    <r>
      <rPr>
        <b/>
        <sz val="12"/>
        <color indexed="10"/>
        <rFont val="Arial"/>
        <family val="2"/>
      </rPr>
      <t>mencionando, ainda, a data possível para a aposentadoria na regra/modalidade escolhida</t>
    </r>
    <r>
      <rPr>
        <sz val="12"/>
        <rFont val="Arial"/>
        <family val="2"/>
      </rPr>
      <t>.</t>
    </r>
  </si>
  <si>
    <t>INSTRUÇÕES DE PREENCHIMENTO</t>
  </si>
  <si>
    <r>
      <t>obs.:</t>
    </r>
    <r>
      <rPr>
        <sz val="12"/>
        <color indexed="10"/>
        <rFont val="Arial"/>
        <family val="2"/>
      </rPr>
      <t xml:space="preserve"> caso a data de validade da aposentadoria seja a data da publicação, temos duas condições: </t>
    </r>
    <r>
      <rPr>
        <b/>
        <sz val="12"/>
        <color indexed="10"/>
        <rFont val="Arial"/>
        <family val="2"/>
      </rPr>
      <t xml:space="preserve">1) </t>
    </r>
    <r>
      <rPr>
        <sz val="12"/>
        <color indexed="10"/>
        <rFont val="Arial"/>
        <family val="2"/>
      </rPr>
      <t xml:space="preserve">para efeito apenas de simulação de condição para aposentadoria, esta validade deverá ser estimada, haja vista inexistir ato a ser publicado ainda; </t>
    </r>
    <r>
      <rPr>
        <b/>
        <sz val="12"/>
        <color indexed="10"/>
        <rFont val="Arial"/>
        <family val="2"/>
      </rPr>
      <t>2)</t>
    </r>
    <r>
      <rPr>
        <sz val="12"/>
        <color indexed="10"/>
        <rFont val="Arial"/>
        <family val="2"/>
      </rPr>
      <t xml:space="preserve"> caso a Administração do órgão queira incluir no respectivo processo de aposentadoria as 3 planilhas resultantes do presente preenchimento, deverá retificar a data de validade com base naquela relativa à publicação efetivamente realizada e, a partir dessa retificação, providenciar as impressões das abas: ficha funcional, MTS -  mapa de tempo de serviço e resumo conclusivo e suas juntadas aos autos de aposentação para remessa.</t>
    </r>
  </si>
  <si>
    <r>
      <t>obs. 1:</t>
    </r>
    <r>
      <rPr>
        <sz val="12"/>
        <color indexed="10"/>
        <rFont val="Arial"/>
        <family val="2"/>
      </rPr>
      <t xml:space="preserve"> quando forem lançados </t>
    </r>
    <r>
      <rPr>
        <b/>
        <sz val="12"/>
        <color indexed="10"/>
        <rFont val="Arial"/>
        <family val="2"/>
      </rPr>
      <t>períodos de licença sem vencimentos</t>
    </r>
    <r>
      <rPr>
        <sz val="12"/>
        <color indexed="10"/>
        <rFont val="Arial"/>
        <family val="2"/>
      </rPr>
      <t xml:space="preserve">, aparecerá, </t>
    </r>
    <r>
      <rPr>
        <b/>
        <sz val="12"/>
        <color indexed="10"/>
        <rFont val="Arial"/>
        <family val="2"/>
      </rPr>
      <t>automaticamente</t>
    </r>
    <r>
      <rPr>
        <sz val="12"/>
        <color indexed="10"/>
        <rFont val="Arial"/>
        <family val="2"/>
      </rPr>
      <t xml:space="preserve">, o </t>
    </r>
    <r>
      <rPr>
        <b/>
        <sz val="12"/>
        <color indexed="10"/>
        <rFont val="Arial"/>
        <family val="2"/>
      </rPr>
      <t>questionamento sobre se houve, ou não, contribuição ao Regime Próprio</t>
    </r>
    <r>
      <rPr>
        <sz val="12"/>
        <color indexed="10"/>
        <rFont val="Arial"/>
        <family val="2"/>
      </rPr>
      <t xml:space="preserve"> de Previdência dos Servidores Públicos - RPPS. </t>
    </r>
    <r>
      <rPr>
        <b/>
        <sz val="12"/>
        <color indexed="10"/>
        <rFont val="Arial"/>
        <family val="2"/>
      </rPr>
      <t>Responda se "SIM, NÃO ou NÃO CABE</t>
    </r>
    <r>
      <rPr>
        <sz val="12"/>
        <color indexed="10"/>
        <rFont val="Arial"/>
        <family val="2"/>
      </rPr>
      <t>, conforme o caso, para que a licença seja ou não computada.</t>
    </r>
  </si>
  <si>
    <r>
      <t>obs.1:</t>
    </r>
    <r>
      <rPr>
        <sz val="12"/>
        <color indexed="10"/>
        <rFont val="Arial"/>
        <family val="2"/>
      </rPr>
      <t xml:space="preserve"> quando forem lançados </t>
    </r>
    <r>
      <rPr>
        <b/>
        <sz val="12"/>
        <color indexed="10"/>
        <rFont val="Arial"/>
        <family val="2"/>
      </rPr>
      <t>períodos de licença sem vencimentos</t>
    </r>
    <r>
      <rPr>
        <sz val="12"/>
        <color indexed="10"/>
        <rFont val="Arial"/>
        <family val="2"/>
      </rPr>
      <t xml:space="preserve">, aparecerá, </t>
    </r>
    <r>
      <rPr>
        <b/>
        <sz val="12"/>
        <color indexed="10"/>
        <rFont val="Arial"/>
        <family val="2"/>
      </rPr>
      <t>automaticamente</t>
    </r>
    <r>
      <rPr>
        <sz val="12"/>
        <color indexed="10"/>
        <rFont val="Arial"/>
        <family val="2"/>
      </rPr>
      <t xml:space="preserve">, o </t>
    </r>
    <r>
      <rPr>
        <b/>
        <sz val="12"/>
        <color indexed="10"/>
        <rFont val="Arial"/>
        <family val="2"/>
      </rPr>
      <t>questionamento sobre se houve, ou não, contribuição ao Regime Próprio</t>
    </r>
    <r>
      <rPr>
        <sz val="12"/>
        <color indexed="10"/>
        <rFont val="Arial"/>
        <family val="2"/>
      </rPr>
      <t xml:space="preserve"> de Previdência dos Servidores Públicos - RPPS. </t>
    </r>
    <r>
      <rPr>
        <b/>
        <sz val="12"/>
        <color indexed="10"/>
        <rFont val="Arial"/>
        <family val="2"/>
      </rPr>
      <t>Responda se "SIM, NÃO ou NÃO CABE</t>
    </r>
    <r>
      <rPr>
        <sz val="12"/>
        <color indexed="10"/>
        <rFont val="Arial"/>
        <family val="2"/>
      </rPr>
      <t>, conforme o caso, para que a licença seja ou não computada.</t>
    </r>
  </si>
  <si>
    <r>
      <t xml:space="preserve">Obs.: 2 O </t>
    </r>
    <r>
      <rPr>
        <b/>
        <sz val="16"/>
        <color indexed="10"/>
        <rFont val="Arial"/>
        <family val="2"/>
      </rPr>
      <t xml:space="preserve">Termo de Opção </t>
    </r>
    <r>
      <rPr>
        <sz val="12"/>
        <color indexed="10"/>
        <rFont val="Arial"/>
        <family val="2"/>
      </rPr>
      <t xml:space="preserve">será automaticamente e totalmente preenchido </t>
    </r>
    <r>
      <rPr>
        <b/>
        <sz val="12"/>
        <color indexed="10"/>
        <rFont val="Arial"/>
        <family val="2"/>
      </rPr>
      <t>no momento em que a modalidade e a regra de aposentadoria ESCOLHIDAS PELO SERVIDOR forem colocadas nos campos 1 e 2 da aba "FICHA FUNCIONAL",</t>
    </r>
    <r>
      <rPr>
        <sz val="12"/>
        <color indexed="10"/>
        <rFont val="Arial"/>
        <family val="2"/>
      </rPr>
      <t xml:space="preserve"> quando, então, também </t>
    </r>
    <r>
      <rPr>
        <b/>
        <sz val="12"/>
        <color indexed="10"/>
        <rFont val="Arial"/>
        <family val="2"/>
      </rPr>
      <t>automaticamente aparecerá um "X" na opção escolhida</t>
    </r>
    <r>
      <rPr>
        <sz val="12"/>
        <color indexed="10"/>
        <rFont val="Arial"/>
        <family val="2"/>
      </rPr>
      <t xml:space="preserve"> na aba "RESUMO CONCLUSIVO", confirmando a opção.</t>
    </r>
  </si>
  <si>
    <r>
      <t xml:space="preserve">SEXO: </t>
    </r>
    <r>
      <rPr>
        <sz val="12"/>
        <rFont val="Arial"/>
        <family val="2"/>
      </rPr>
      <t>marque "X" na opção a que se refere quanto ao sexo.</t>
    </r>
  </si>
  <si>
    <r>
      <t xml:space="preserve">FORÇAS ARMADAS: </t>
    </r>
    <r>
      <rPr>
        <sz val="12"/>
        <rFont val="Arial"/>
        <family val="2"/>
      </rPr>
      <t>célula livre para digitação. Indique o período, computando na célula de tempo em dias o total constante de certidão discriminativa e/ou certificado de reservista.</t>
    </r>
  </si>
  <si>
    <r>
      <t>ÓRGÃO DE ORIGEM:</t>
    </r>
    <r>
      <rPr>
        <sz val="12"/>
        <rFont val="Arial"/>
        <family val="2"/>
      </rPr>
      <t xml:space="preserve"> indique o período ininterrupto e o cálculo do tempo ocorre automaticamente.</t>
    </r>
  </si>
  <si>
    <r>
      <t>ÓRGÃO DE ORIGEM:</t>
    </r>
    <r>
      <rPr>
        <sz val="12"/>
        <rFont val="Arial"/>
        <family val="2"/>
      </rPr>
      <t xml:space="preserve"> indique o período ininterrupto a partir de 16/12/98 até 30/12/03, ou 19/02/04, conforme o caso, e o cálculo do tempo ocorre automaticamente.</t>
    </r>
  </si>
  <si>
    <r>
      <t>LICENÇA SEM VENCIMENTOS:</t>
    </r>
    <r>
      <rPr>
        <sz val="12"/>
        <rFont val="Arial"/>
        <family val="2"/>
      </rPr>
      <t xml:space="preserve"> célula livre para digitação. Indique o total de licenças sem vencimentos no período entre a Emenda Constitucional nº 20/98 até a validade da regra pela Emenda Constitucional nº 41/2003 (de 16/12/1998 até 19/02/2004, se regra permanente com redação da EC 20/98, ou de 16/12/1998 até 30/12/2003, se regra de transição da EC 20/98);</t>
    </r>
  </si>
  <si>
    <t>MODALIDADE DE APOSENTADORIA ESCOLHIDA:</t>
  </si>
  <si>
    <t>REGRA DE OPÇÃO DE APOSENTADORIA ESCOLHIDA:</t>
  </si>
  <si>
    <r>
      <t>ÓRGÃO DE ORIGEM:</t>
    </r>
    <r>
      <rPr>
        <sz val="12"/>
        <rFont val="Arial"/>
        <family val="2"/>
      </rPr>
      <t xml:space="preserve"> indique o período ininterrupto a partir de 20/02/2004, conforme o caso, e o cálculo do tempo ocorre automaticamente.</t>
    </r>
  </si>
  <si>
    <r>
      <t xml:space="preserve">SITUAÇÃO GERAL: </t>
    </r>
    <r>
      <rPr>
        <sz val="12"/>
        <rFont val="Arial"/>
        <family val="2"/>
      </rPr>
      <t>informação geral sobre o tempo computado para aposentadoria.</t>
    </r>
  </si>
  <si>
    <r>
      <t xml:space="preserve">TOTAL GERAL: </t>
    </r>
    <r>
      <rPr>
        <sz val="12"/>
        <rFont val="Arial"/>
        <family val="2"/>
      </rPr>
      <t>Células bloqueadas para digitação. Os cálculos são automáticos. Totalização geral dos períodos computados desde o início até o dia anterior ao da aposentadoria, considerando todos os tempos averbados, antes da EC nº 20/98, entre a EC nº 20/98 até 30/12/03 (ou 19/02/2004), conforme a fundamentação legal do ato e a partir de 20/02/2004.</t>
    </r>
  </si>
  <si>
    <t xml:space="preserve">4.1 - </t>
  </si>
  <si>
    <t>PROF. DOCENTE II, NÍVEL "C"</t>
  </si>
  <si>
    <t>I</t>
  </si>
  <si>
    <t>TEMPO DE SERVIÇO:</t>
  </si>
  <si>
    <t>DISCRIMINAÇÃO</t>
  </si>
  <si>
    <t>PERÍODO</t>
  </si>
  <si>
    <t>DIAS</t>
  </si>
  <si>
    <t>OBSERVAÇÃO</t>
  </si>
  <si>
    <t>INSS</t>
  </si>
  <si>
    <t>a</t>
  </si>
  <si>
    <t>C.T.S.   INSS  -  FLS.:</t>
  </si>
  <si>
    <t>OUTROS PODERES</t>
  </si>
  <si>
    <t>C.T.S. / M.T.S. - FLS.:</t>
  </si>
  <si>
    <t>LICENÇA ESPECIAL</t>
  </si>
  <si>
    <t>FÉRIAS EM DOBRO</t>
  </si>
  <si>
    <t xml:space="preserve">Subtotal </t>
  </si>
  <si>
    <t>Computando os tempos fictos, até a data  da  publicação da  EC 20</t>
  </si>
  <si>
    <t>TRIÊNIOS</t>
  </si>
  <si>
    <t xml:space="preserve">ANTERIOR </t>
  </si>
  <si>
    <t xml:space="preserve">, o servidor totalizava </t>
  </si>
  <si>
    <t xml:space="preserve">anos e </t>
  </si>
  <si>
    <t>dias.</t>
  </si>
  <si>
    <t>ANOS</t>
  </si>
  <si>
    <t>EMENDA 20/98</t>
  </si>
  <si>
    <t>ATS  %</t>
  </si>
  <si>
    <t xml:space="preserve">TEMPO APÓS </t>
  </si>
  <si>
    <t>Periodo computado após a EC 20/98.</t>
  </si>
  <si>
    <t>anos  e</t>
  </si>
  <si>
    <t>DOCUMENTAÇÃO :</t>
  </si>
  <si>
    <t>II</t>
  </si>
  <si>
    <t>SERVIDOR</t>
  </si>
  <si>
    <t>SINTESE:</t>
  </si>
  <si>
    <t>ATS ATÉ  EC 20/98 COM  LE:</t>
  </si>
  <si>
    <t>ENQUADRAMENTO:</t>
  </si>
  <si>
    <t>D.20152</t>
  </si>
  <si>
    <t>REAL</t>
  </si>
  <si>
    <t>DECRETO</t>
  </si>
  <si>
    <t>CATEGORIA FUNCIONAL / ANOS</t>
  </si>
  <si>
    <t>&gt;25</t>
  </si>
  <si>
    <t>01/06/94</t>
  </si>
  <si>
    <t>01/07/94</t>
  </si>
  <si>
    <t>21.517/95</t>
  </si>
  <si>
    <t>PROF. DOCENTE II, NÍVEL "A"</t>
  </si>
  <si>
    <t>REFERÊNCIA 1</t>
  </si>
  <si>
    <t>REFERÊNCIA 2</t>
  </si>
  <si>
    <t>REFERÊNCIA 3</t>
  </si>
  <si>
    <t>REFERÊNCIA 4</t>
  </si>
  <si>
    <t>REFERÊNCIA 5</t>
  </si>
  <si>
    <t>REFERÊNCIA 6</t>
  </si>
  <si>
    <t>PROF. ASSIST. ADM. EDUCACIONAL II, NÍVEL "A"</t>
  </si>
  <si>
    <t>PROF. DOCENTE II, NÍVEL "B"</t>
  </si>
  <si>
    <t>REFERÊNCIA 7</t>
  </si>
  <si>
    <t>PROF. ASSIST. ADM. EDUCACIONAL II, NÍVEL "B"</t>
  </si>
  <si>
    <t>PROF. DOCENTE I, NÍVEL "C"</t>
  </si>
  <si>
    <t>REFERÊNCIA 8</t>
  </si>
  <si>
    <t>SUPERVISOR EDUCACIONAL, NÍVEL "C"</t>
  </si>
  <si>
    <t>ORIENTADOR PROFISSIONAL, NÍVEL "C"</t>
  </si>
  <si>
    <t>PROF. INSPETOR ESCOLAR, NÍVEL "C"</t>
  </si>
  <si>
    <t>PROF. ASSIST. ADM. EDUCACIONAL I, NÍVEL "C"</t>
  </si>
  <si>
    <t>PROF. ASSIST. ADM. EDUCACIONAL II, NÍVEL "C"</t>
  </si>
  <si>
    <t>PROF. DOCENTE I, NÍVEL "D"</t>
  </si>
  <si>
    <t>REFERÊNCIA 9</t>
  </si>
  <si>
    <t>PROF. DOCENTE II, NÍVEL "D"</t>
  </si>
  <si>
    <t>SUPERVISOR EDUCACIONAL, NÍVEL "D"</t>
  </si>
  <si>
    <t>ORIENTADOR PROFISSIONAL, NÍVEL "D"</t>
  </si>
  <si>
    <t>PROF. INSPETOR ESCOLAR, NÍVEL "D"</t>
  </si>
  <si>
    <t>PROF. ASSIST. ADM. EDUCACIONAL I, NÍVEL "D"</t>
  </si>
  <si>
    <t>PROF. ASSIST. ADM. EDUCACIONAL II, NÍVEL "D"</t>
  </si>
  <si>
    <t>AUX. APOIO EDUCACIONAL II</t>
  </si>
  <si>
    <t>NÍVEL III</t>
  </si>
  <si>
    <t>NÍVEL II</t>
  </si>
  <si>
    <t>NÍVEL I</t>
  </si>
  <si>
    <t>AGENTE DE PORTARIA</t>
  </si>
  <si>
    <t>MERENDEIRA</t>
  </si>
  <si>
    <t>CONTÍNUO</t>
  </si>
  <si>
    <t>SERVENTE</t>
  </si>
  <si>
    <t>TRABALHADOR</t>
  </si>
  <si>
    <t>VIGIA</t>
  </si>
  <si>
    <t>ZELADOR</t>
  </si>
  <si>
    <t>AG. APOIO EDUCACIONAL II</t>
  </si>
  <si>
    <t>AGENTE ADMINISTRATIVO</t>
  </si>
  <si>
    <t>AGENTE DE MATERIAL</t>
  </si>
  <si>
    <t>DATILÓGRAFO</t>
  </si>
  <si>
    <t>AG. APOIO EDUCACIONAL I</t>
  </si>
  <si>
    <t>MOTORISTA</t>
  </si>
  <si>
    <t>INSPETOR DE ALUNOS</t>
  </si>
  <si>
    <t>ARTÍFICE</t>
  </si>
  <si>
    <t>AG. AUX. ADMINISTRATIVO</t>
  </si>
  <si>
    <t>GARÇÃO</t>
  </si>
  <si>
    <t>TELEFONISTA</t>
  </si>
  <si>
    <t>ASCENSORISTA</t>
  </si>
  <si>
    <t>AUX. APOIO EDUCACIONAL I</t>
  </si>
  <si>
    <t>PROF. DOCENTE I</t>
  </si>
  <si>
    <t>DOCENTE I</t>
  </si>
  <si>
    <t>REF 1</t>
  </si>
  <si>
    <t>REF 2</t>
  </si>
  <si>
    <t>REF 3</t>
  </si>
  <si>
    <t>REF 4</t>
  </si>
  <si>
    <t>REF 5</t>
  </si>
  <si>
    <t>REF 6</t>
  </si>
  <si>
    <t>PROF. DOCENTE II</t>
  </si>
  <si>
    <t>DOCENTE II</t>
  </si>
  <si>
    <t>PROF. AUX. ADM. I</t>
  </si>
  <si>
    <t>AUX. ADM. I</t>
  </si>
  <si>
    <t>PROF. AUX. ADM. II</t>
  </si>
  <si>
    <t>III</t>
  </si>
  <si>
    <t>:</t>
  </si>
  <si>
    <t>HISTÓRICO  FUNCIONAL</t>
  </si>
  <si>
    <t>TIPO  DE APOSENTADORIA</t>
  </si>
  <si>
    <t>não podendo se aposentar pela legislação  então  vigente.</t>
  </si>
  <si>
    <t>TEMPO  FALTANTE  A  CUMPRIR :</t>
  </si>
  <si>
    <t>TEMPO  CONVERTIDO</t>
  </si>
  <si>
    <t>MASCULINO</t>
  </si>
  <si>
    <t>FEMININO</t>
  </si>
  <si>
    <t>Férias não gozadas e computadas em dobro.</t>
  </si>
  <si>
    <t>Licença especial não gozada e computada em dobro.</t>
  </si>
  <si>
    <t>NASCIMENTO :</t>
  </si>
  <si>
    <t xml:space="preserve">anos </t>
  </si>
  <si>
    <t>meses  e</t>
  </si>
  <si>
    <t>SIM</t>
  </si>
  <si>
    <t>NÃO</t>
  </si>
  <si>
    <t>PROPORÇÃO :</t>
  </si>
  <si>
    <t>MODALIDADES</t>
  </si>
  <si>
    <t>VOLUNTÁRIA INTEGRAL</t>
  </si>
  <si>
    <t>ATS APÓS EC20 :</t>
  </si>
  <si>
    <t>Virgílio de Oliveira Souza</t>
  </si>
  <si>
    <t>PERÍODOS</t>
  </si>
  <si>
    <t>MODALIDADE</t>
  </si>
  <si>
    <t>VOLUNTÁRIA ESPECIAL</t>
  </si>
  <si>
    <t>HOMEM</t>
  </si>
  <si>
    <t>MULHER</t>
  </si>
  <si>
    <t>TEMPO Q PASSA</t>
  </si>
  <si>
    <t>TEMPO CONTRIBUIÇÃO</t>
  </si>
  <si>
    <t>IDADE LIMITE</t>
  </si>
  <si>
    <t>IDADE NECESSÁRIA</t>
  </si>
  <si>
    <t>OPÇÃO:</t>
  </si>
  <si>
    <t>REGRAS ANTES EC20</t>
  </si>
  <si>
    <t>TRANSIÇÃO_ART. 2º_EC41</t>
  </si>
  <si>
    <t>TRANSIÇÃO_ART. 6º_EC41</t>
  </si>
  <si>
    <t>TRANSIÇÃO_EMENDA 47</t>
  </si>
  <si>
    <t>VOLUNTÁRIA PROPORCIONAL POR IDADE</t>
  </si>
  <si>
    <t>COMPULSÓRIA INTEGRAL</t>
  </si>
  <si>
    <t>NOVA FRIBURGO - TODOS</t>
  </si>
  <si>
    <t>COMPULSÓRIA PROPORCIONAL</t>
  </si>
  <si>
    <t>INVALIDEZ INTEGRAL</t>
  </si>
  <si>
    <t>INVALIDEZ PROPORCIONAL</t>
  </si>
  <si>
    <t>EC41/20</t>
  </si>
  <si>
    <t>EC41</t>
  </si>
  <si>
    <t>EC47/41/20</t>
  </si>
  <si>
    <t>TRANSIÇÃO EMENDA 20</t>
  </si>
  <si>
    <t>CRÍTICA  DE  IDADE NAS VÁRIAS MODALIDADES</t>
  </si>
  <si>
    <t xml:space="preserve">SE VOL. ESPECIAL_PERMANENTE: </t>
  </si>
  <si>
    <t xml:space="preserve">SE VOL. PROPORCIONAL_PERMANENTE: </t>
  </si>
  <si>
    <t xml:space="preserve">SE VOLUNTÁRIA INTEGRAL_PERMANENTE / ART. 6º: </t>
  </si>
  <si>
    <t xml:space="preserve">SÓ VOLUNTÁRIA INTEGRAL_EMENDA Nº 47: </t>
  </si>
  <si>
    <t xml:space="preserve">SE VOLUNTÁRIA INTEGRAL_TRANSIÇÃO EC 41/20: </t>
  </si>
  <si>
    <t>SE VOL. PROPORCIONAL_TRANSIÇÃO EC 20:</t>
  </si>
  <si>
    <t>VOLUNTÁRIA COM REDUTOR</t>
  </si>
  <si>
    <t>REGRA PERMANENTE</t>
  </si>
  <si>
    <t>SE VOL. ESPECIAL_TRANSIÇÃO EC 20:</t>
  </si>
  <si>
    <t>VOL. PROPORCIONAL T. CONTRIBUIÇÃO</t>
  </si>
  <si>
    <t>COMPULSÓRIA</t>
  </si>
  <si>
    <t>EC 20/98</t>
  </si>
  <si>
    <t>BÔNUS   ESPECIAL</t>
  </si>
  <si>
    <t>Acréscimo constitucional para professores.</t>
  </si>
  <si>
    <t>COMPLEMENTAÇÃO  NECESSÁRIA</t>
  </si>
  <si>
    <t>DADOS</t>
  </si>
  <si>
    <t>FALTAVAM :</t>
  </si>
  <si>
    <t xml:space="preserve">anos  e </t>
  </si>
  <si>
    <t>PEDÁGIO :</t>
  </si>
  <si>
    <t>T. COMPLEMENTAR</t>
  </si>
  <si>
    <t>TEMPO  FALTANTE</t>
  </si>
  <si>
    <t>TRANSIÇÃO EC20 / ART 2º EC 41</t>
  </si>
  <si>
    <t>ART 6º EC 41 / PERMANENTE</t>
  </si>
  <si>
    <t>IDADE</t>
  </si>
  <si>
    <t>TEMPO FALTANTE A CUMPRIR:</t>
  </si>
  <si>
    <t>SE COMPULSÓRIA</t>
  </si>
  <si>
    <t>ESPECIAL / INTEGRAL</t>
  </si>
  <si>
    <t>FUNDAMENTO:</t>
  </si>
  <si>
    <t>MODALIDADE:</t>
  </si>
  <si>
    <t>ATS APÓS EC41/03 :</t>
  </si>
  <si>
    <t>ANÁLISE DE PROPORCIONALIDADE</t>
  </si>
  <si>
    <t>INTEGRAL</t>
  </si>
  <si>
    <t>PROPORCIONAL EM DIAS</t>
  </si>
  <si>
    <t>PROPORÇÃO EM DIAS</t>
  </si>
  <si>
    <t>APÓS MP 167/04</t>
  </si>
  <si>
    <t>ANTES MP 167/04</t>
  </si>
  <si>
    <t>DESDE:</t>
  </si>
  <si>
    <t>TEMPO CARGO:</t>
  </si>
  <si>
    <r>
      <t>Obs.: Caso não haja para o(a) servidor(a) nenhuma possibilidade de aposentadoria</t>
    </r>
    <r>
      <rPr>
        <sz val="12"/>
        <color indexed="10"/>
        <rFont val="Arial"/>
        <family val="2"/>
      </rPr>
      <t xml:space="preserve"> após a ferramenta ter sido completamente preenchida, </t>
    </r>
    <r>
      <rPr>
        <b/>
        <sz val="12"/>
        <color indexed="10"/>
        <rFont val="Arial"/>
        <family val="2"/>
      </rPr>
      <t>será apresentada a mensagem "NÃO HÁ MODALIDADE E/OU REGRA QUE POSSIBILITE A APOSENTADORIA VOLUNTÁRIA"</t>
    </r>
    <r>
      <rPr>
        <sz val="12"/>
        <color indexed="10"/>
        <rFont val="Arial"/>
        <family val="2"/>
      </rPr>
      <t>.</t>
    </r>
  </si>
  <si>
    <r>
      <t xml:space="preserve">CENÁRIOS DE CONCESSÃO: </t>
    </r>
    <r>
      <rPr>
        <sz val="12"/>
        <rFont val="Arial"/>
        <family val="2"/>
      </rPr>
      <t xml:space="preserve">esta aba é resultado automático das entradas </t>
    </r>
    <r>
      <rPr>
        <i/>
        <sz val="12"/>
        <rFont val="Arial"/>
        <family val="2"/>
      </rPr>
      <t>(in put)</t>
    </r>
    <r>
      <rPr>
        <sz val="12"/>
        <rFont val="Arial"/>
        <family val="2"/>
      </rPr>
      <t xml:space="preserve"> da (I) ficha funcional e do (II) mapa de tempo de serviço/contribuição - MTS. </t>
    </r>
    <r>
      <rPr>
        <b/>
        <sz val="12"/>
        <rFont val="Arial"/>
        <family val="2"/>
      </rPr>
      <t>Serve para oferecer ao servidor uma visão das possibilidades atuais e futuras de aposentadoria, informando, neste último caso, a data prevista para a aquisição de direito</t>
    </r>
    <r>
      <rPr>
        <sz val="12"/>
        <rFont val="Arial"/>
        <family val="2"/>
      </rPr>
      <t xml:space="preserve"> à aposentação em determinada regra-modalidade. Todos os campos são bloqueados para digitação e/ou qualquer alteração.</t>
    </r>
  </si>
  <si>
    <r>
      <t>CONDIÇÕES DE APOSENTADORIA</t>
    </r>
    <r>
      <rPr>
        <sz val="12"/>
        <color indexed="8"/>
        <rFont val="Arial"/>
        <family val="2"/>
      </rPr>
      <t xml:space="preserve">: esta área </t>
    </r>
    <r>
      <rPr>
        <b/>
        <sz val="12"/>
        <color indexed="8"/>
        <rFont val="Arial"/>
        <family val="2"/>
      </rPr>
      <t>destina-se a explicitar se as condições para a aposentação foram plenamente atendidas</t>
    </r>
    <r>
      <rPr>
        <sz val="12"/>
        <color indexed="8"/>
        <rFont val="Arial"/>
        <family val="2"/>
      </rPr>
      <t>, com relação à modalidade e à regra de opção da aposentadoria e, assim, indicando se as condições foram cumpridas ou não e, nessa segunda hipótese, apresentando a variável não atendida, o tempo que falta a cumprir e disponibilizando uma previsão aproximada sobre a melhor data para a aposentadoria do servidor em cada regra e modalidade, considerando os dados inseridos na (I) ficha funcional, bem como as condições de tempo de contribuição, em conformidade com o (II) mapa de tempo de serviço/contribuição - MTS.</t>
    </r>
  </si>
  <si>
    <r>
      <t>TRANSIÇÃO EMENDA Nº 47/05 - VOLUNTÁRIA INTEGRAL:</t>
    </r>
    <r>
      <rPr>
        <sz val="12"/>
        <rFont val="Arial"/>
        <family val="2"/>
      </rPr>
      <t xml:space="preserve"> critica a possibilidade, ou não, de o interessado ser aposentado nessa regra/modalidade. </t>
    </r>
    <r>
      <rPr>
        <b/>
        <sz val="12"/>
        <rFont val="Arial"/>
        <family val="2"/>
      </rPr>
      <t>Ressalte-se que essa regra não se aplica aos servidores ingressados após 15/12/1998</t>
    </r>
    <r>
      <rPr>
        <sz val="12"/>
        <rFont val="Arial"/>
        <family val="2"/>
      </rPr>
      <t>, ou seja, é somente para os interessados admitidos antes da Emenda Constitucional nº 20/98.</t>
    </r>
  </si>
  <si>
    <r>
      <t>TRANS. ART. 6º DA EMENDA Nº 41/03 - VOLUNTÁRIA INTEGRAL:</t>
    </r>
    <r>
      <rPr>
        <sz val="12"/>
        <color indexed="8"/>
        <rFont val="Arial"/>
        <family val="2"/>
      </rPr>
      <t xml:space="preserve"> critica a possibilidade, ou não, do interessado ser aposentado nessa regra/modalidade. </t>
    </r>
    <r>
      <rPr>
        <b/>
        <sz val="12"/>
        <color indexed="8"/>
        <rFont val="Arial"/>
        <family val="2"/>
      </rPr>
      <t>Ressalte-se que essa regra não se aplica aos servidores ingressados após 30/12/2003</t>
    </r>
    <r>
      <rPr>
        <sz val="12"/>
        <color indexed="8"/>
        <rFont val="Arial"/>
        <family val="2"/>
      </rPr>
      <t>, ou seja, é somente para os interessados admitidos antes da Emenda Constitucional nº 41/2003.</t>
    </r>
  </si>
  <si>
    <r>
      <t>TRANS. ART. 6º DA EMENDA Nº 41/03 - VOLUNTÁRIA ESPECIAL:</t>
    </r>
    <r>
      <rPr>
        <sz val="12"/>
        <color indexed="8"/>
        <rFont val="Arial"/>
        <family val="2"/>
      </rPr>
      <t xml:space="preserve"> critica a possibilidade, ou não, do interessado ser aposentado nessa regra/modalidade. </t>
    </r>
    <r>
      <rPr>
        <b/>
        <sz val="12"/>
        <color indexed="8"/>
        <rFont val="Arial"/>
        <family val="2"/>
      </rPr>
      <t>Ressalte-se que essa regra não se aplica aos servidores ingressados após 30/12/2003</t>
    </r>
    <r>
      <rPr>
        <sz val="12"/>
        <color indexed="8"/>
        <rFont val="Arial"/>
        <family val="2"/>
      </rPr>
      <t xml:space="preserve">, ou seja, é somente para os interessados admitidos antes da Emenda Constitucional nº 41/2003. </t>
    </r>
    <r>
      <rPr>
        <b/>
        <sz val="12"/>
        <color indexed="8"/>
        <rFont val="Arial"/>
        <family val="2"/>
      </rPr>
      <t>Acaso não seja informado o efetivo exercício de magistério, será requerida essa informação no campo conclusão: "CONFIRME MAGISTÉRIO".</t>
    </r>
  </si>
  <si>
    <r>
      <t>TRANSIÇÃO EMENDA Nº 20/98 - VOLUNTÁRIA INTEGRAL:</t>
    </r>
    <r>
      <rPr>
        <sz val="12"/>
        <rFont val="Arial"/>
        <family val="2"/>
      </rPr>
      <t xml:space="preserve"> critica a possibilidade, ou não, de o interessado ser aposentado nessa regra/modalidade. </t>
    </r>
    <r>
      <rPr>
        <b/>
        <sz val="12"/>
        <rFont val="Arial"/>
        <family val="2"/>
      </rPr>
      <t>Ressalte-se que essa regra não se aplica aos servidores ingressados após 15/12/1998</t>
    </r>
    <r>
      <rPr>
        <sz val="12"/>
        <rFont val="Arial"/>
        <family val="2"/>
      </rPr>
      <t>, ou seja, é somente para os interessados admitidos antes da Emenda Constitucional nº 20/1998 que tenham satisfeitos todas as condições até 30/12/2003, pois essa possibilidade foi revogada pela Emenda nº 41/03, publicada em 31/12/2003.</t>
    </r>
  </si>
  <si>
    <r>
      <t>TRANSIÇÃO EMENDA Nº 20/98 - VOLUNTÁRIA ESPECIAL:</t>
    </r>
    <r>
      <rPr>
        <sz val="12"/>
        <rFont val="Arial"/>
        <family val="2"/>
      </rPr>
      <t xml:space="preserve"> critica a possibilidade, ou não, de o interessado ser aposentado nessa regra/modalidade. </t>
    </r>
    <r>
      <rPr>
        <b/>
        <sz val="12"/>
        <rFont val="Arial"/>
        <family val="2"/>
      </rPr>
      <t>Ressalte-se que essa regra não se aplica aos servidores ingressados após 15/12/1998</t>
    </r>
    <r>
      <rPr>
        <sz val="12"/>
        <rFont val="Arial"/>
        <family val="2"/>
      </rPr>
      <t>, ou seja, é somente para os interessados admitidos antes da Emenda Constitucional nº 20/1998 que tenham satisfeitos todas as condições até 30/12/2003, pois essa possibilidade foi revogada pela Emenda nº 41/03, publicada em 31/12/2003. Acaso não seja informado o efetivo exercício de magistério, será requerida essa informação no campo conclusão: "CONFIRME MAGISTÉRIO".</t>
    </r>
  </si>
  <si>
    <t xml:space="preserve">OFÍCIO - FLS.:       </t>
  </si>
  <si>
    <t>TEMPO CARREIRA:</t>
  </si>
  <si>
    <t>TEMPO DE SERVIÇO PÚBLICO:</t>
  </si>
  <si>
    <t>ANUÊNIO</t>
  </si>
  <si>
    <t>TEMPO:</t>
  </si>
  <si>
    <t>CARGO</t>
  </si>
  <si>
    <t>CARREIRA</t>
  </si>
  <si>
    <t>SERVIÇO PÚBLICO:</t>
  </si>
  <si>
    <t>EC 20</t>
  </si>
  <si>
    <t>ART. 40 CF</t>
  </si>
  <si>
    <t>ART 6º</t>
  </si>
  <si>
    <t>ART. 2º</t>
  </si>
  <si>
    <t>EC 47</t>
  </si>
  <si>
    <t>NÃO CABE</t>
  </si>
  <si>
    <t>TEMPO NO CARGO:</t>
  </si>
  <si>
    <t>TEMPO NA CARREIRA:</t>
  </si>
  <si>
    <t>TEMPO SERVIÇO PÚBLICO:</t>
  </si>
  <si>
    <t>OPÇÃO</t>
  </si>
  <si>
    <t>ADMISSÃO      :</t>
  </si>
  <si>
    <t>MATRÍCULA   :</t>
  </si>
  <si>
    <t>ADMISSÃO :</t>
  </si>
  <si>
    <t>CONSTITUIÇÃO FEDERAL</t>
  </si>
  <si>
    <t>NÃO MEXER</t>
  </si>
  <si>
    <t>QUINQUÊNIO</t>
  </si>
  <si>
    <t>ADICIONAL  POR  TEMPO  DE  SERVIÇO - ENTES DA FEDERAÇÃO</t>
  </si>
  <si>
    <t>ESTADO DO RIO DE JANEIRO</t>
  </si>
  <si>
    <t>ANGRA DOS REIS</t>
  </si>
  <si>
    <t>BARRA DO PIRAÍ</t>
  </si>
  <si>
    <t>BARRA MANSA</t>
  </si>
  <si>
    <t>BELFORD  ROXO</t>
  </si>
  <si>
    <t>2.1</t>
  </si>
  <si>
    <t>5.1</t>
  </si>
  <si>
    <t>ENGENHEIRO PAULO DE FRONTIM</t>
  </si>
  <si>
    <t>ITAGUAÍ</t>
  </si>
  <si>
    <t>7.1</t>
  </si>
  <si>
    <t>ITATIAIA</t>
  </si>
  <si>
    <t>JAPERI</t>
  </si>
  <si>
    <t>MANGARATIBA</t>
  </si>
  <si>
    <t>MENDES</t>
  </si>
  <si>
    <t>MESQUITA</t>
  </si>
  <si>
    <t>NILÓPOLIS</t>
  </si>
  <si>
    <t>NOVA IGUACÚ</t>
  </si>
  <si>
    <t>PARACAMBI</t>
  </si>
  <si>
    <t>PARAÍBA  DO  SUL</t>
  </si>
  <si>
    <t>PARATY</t>
  </si>
  <si>
    <t>PATY  DO  ALFERES</t>
  </si>
  <si>
    <t>PINHEIRAL</t>
  </si>
  <si>
    <t>PIRAÍ</t>
  </si>
  <si>
    <t>PORTO  REAL</t>
  </si>
  <si>
    <t>QUATIS</t>
  </si>
  <si>
    <t>QUEIMADOS</t>
  </si>
  <si>
    <t>DT HOJE</t>
  </si>
  <si>
    <t>DT FUTURA</t>
  </si>
  <si>
    <t>DT</t>
  </si>
  <si>
    <t>HOJE</t>
  </si>
  <si>
    <t>FUTURA</t>
  </si>
  <si>
    <t>RESENDE</t>
  </si>
  <si>
    <t>RIO CLARO</t>
  </si>
  <si>
    <t>26.1</t>
  </si>
  <si>
    <t>RIO  DAS  FLORES</t>
  </si>
  <si>
    <t>SEROPÉDICA</t>
  </si>
  <si>
    <t>VALENÇA</t>
  </si>
  <si>
    <t>VASSOURAS</t>
  </si>
  <si>
    <t>30.1</t>
  </si>
  <si>
    <t>VOLTA  REDONDA</t>
  </si>
  <si>
    <t>PODER</t>
  </si>
  <si>
    <t>EXECUTIVO</t>
  </si>
  <si>
    <t>LEGISLATIVO</t>
  </si>
  <si>
    <t>JUDICIÁRIO</t>
  </si>
  <si>
    <t>ENTE  DA  FEDERAÇÃO:</t>
  </si>
  <si>
    <t>PODER:</t>
  </si>
  <si>
    <t>Ó R G Ã O :</t>
  </si>
  <si>
    <t>1 - RJ</t>
  </si>
  <si>
    <t>TRIÊNIOS - 2</t>
  </si>
  <si>
    <t>TRIÊNIOS - 3</t>
  </si>
  <si>
    <t>ORDEM</t>
  </si>
  <si>
    <t>TRIÊNIOS - 4</t>
  </si>
  <si>
    <t>ANUÊNIO - 1</t>
  </si>
  <si>
    <t>ANUÊNIO - 2</t>
  </si>
  <si>
    <t>ANUÊNIO - 3</t>
  </si>
  <si>
    <t>QUINQUÊNIO - 1</t>
  </si>
  <si>
    <t>QUINQUÊNIO - 2</t>
  </si>
  <si>
    <t>ÓRGÃO ORIGEM</t>
  </si>
  <si>
    <t>ADICIONAL  POR  TEMPO  DE  SERVIÇO</t>
  </si>
  <si>
    <t>ANTES EC20</t>
  </si>
  <si>
    <t>APÓS EC20</t>
  </si>
  <si>
    <t>APÓS EC41</t>
  </si>
  <si>
    <t>NO CORPO DA PLANILHA</t>
  </si>
  <si>
    <t>ARREDONDAMENTO - BAIXO</t>
  </si>
  <si>
    <t>TRIÊNIO</t>
  </si>
  <si>
    <t>ITAGUAÍ - MAGISTÉRIO</t>
  </si>
  <si>
    <t>ANGRA DOS REIS - MAGISTÉRIO</t>
  </si>
  <si>
    <t>BELFORD ROXO - CÂMARA</t>
  </si>
  <si>
    <t>APERIBÉ</t>
  </si>
  <si>
    <t>AREAL</t>
  </si>
  <si>
    <t>BOM JARDIM</t>
  </si>
  <si>
    <t>CACHOEIRAS DE MACACU</t>
  </si>
  <si>
    <t>CANTAGALO</t>
  </si>
  <si>
    <t>CARMO</t>
  </si>
  <si>
    <t>COM. LEVY GASPARIAN</t>
  </si>
  <si>
    <t>CORDEIRO</t>
  </si>
  <si>
    <t>DUAS BARRAS</t>
  </si>
  <si>
    <t>DUQUE DE CAXIAS</t>
  </si>
  <si>
    <t>GUAPIMIRIM</t>
  </si>
  <si>
    <t>ITABORAÍ</t>
  </si>
  <si>
    <t>ITAOCARA</t>
  </si>
  <si>
    <t>MACUCO</t>
  </si>
  <si>
    <t>MAGÉ</t>
  </si>
  <si>
    <t>NOVA FRIBURGO</t>
  </si>
  <si>
    <t>PETRÓPOLIS</t>
  </si>
  <si>
    <t>RIO BONITO</t>
  </si>
  <si>
    <t>SANTA MARIA MADALENA</t>
  </si>
  <si>
    <t>SÃO GONÇALO</t>
  </si>
  <si>
    <t>SÃO JOÃO DE MERITI</t>
  </si>
  <si>
    <t>SÃO JOSÉ DO VALE DO RIO PRETO</t>
  </si>
  <si>
    <t>SÃO SEBASTIÃO DO ALTO</t>
  </si>
  <si>
    <t>SAPUCAIA</t>
  </si>
  <si>
    <t>TANGUÁ</t>
  </si>
  <si>
    <t>TERESÓPOLIS</t>
  </si>
  <si>
    <t>TRAJANO DE MORAES</t>
  </si>
  <si>
    <t>TRÊS RIOS</t>
  </si>
  <si>
    <t>ARARUAMA</t>
  </si>
  <si>
    <t>ARMAÇÃO DE BÚZIOS</t>
  </si>
  <si>
    <t>ARRAIAL DO CABO</t>
  </si>
  <si>
    <t>BOM JESUS DE ITABAPOANA</t>
  </si>
  <si>
    <t>CABO FRIO</t>
  </si>
  <si>
    <t>CAMBUCI</t>
  </si>
  <si>
    <t>CAMPOS</t>
  </si>
  <si>
    <t>CARAPEBUS</t>
  </si>
  <si>
    <t>CARDOSO MOREIRA</t>
  </si>
  <si>
    <t>CASIMIRO DE ABREU</t>
  </si>
  <si>
    <t>CONCEIÇÃO DE MACABU</t>
  </si>
  <si>
    <t>INSPETORIAS  GERAIS  DE CONTROLE  DE PESSOAL - IGP</t>
  </si>
  <si>
    <t>ATS</t>
  </si>
  <si>
    <t>IGP</t>
  </si>
  <si>
    <t>COMUM</t>
  </si>
  <si>
    <t>1ª IGP</t>
  </si>
  <si>
    <t>2ª IGP</t>
  </si>
  <si>
    <t>3ª IGP</t>
  </si>
  <si>
    <t>IGUABA GRANDE</t>
  </si>
  <si>
    <t>ITALVA</t>
  </si>
  <si>
    <t>ITAPERUNA</t>
  </si>
  <si>
    <t>MACAÉ</t>
  </si>
  <si>
    <t>MARICÁ</t>
  </si>
  <si>
    <t>MIRACEMA</t>
  </si>
  <si>
    <t>NATIVIDADE</t>
  </si>
  <si>
    <t>NITERÓI</t>
  </si>
  <si>
    <t>PORCIÚNCULA</t>
  </si>
  <si>
    <t>QUISSAMÃ</t>
  </si>
  <si>
    <t>RIO DAS OSTRAS</t>
  </si>
  <si>
    <t>SANTO ANTÔNIO DE PÁDUA</t>
  </si>
  <si>
    <t>SÃO FIDÉLIS</t>
  </si>
  <si>
    <r>
      <t xml:space="preserve">CARREIRA: </t>
    </r>
    <r>
      <rPr>
        <sz val="12"/>
        <rFont val="Arial"/>
        <family val="2"/>
      </rPr>
      <t>campo livre para digitação. Digite a carreira em que se dá a aposentadoria do ex-servidor (que deve ser no mesmo órgão e Poder), como consta dos seus assentamentos;</t>
    </r>
  </si>
  <si>
    <t>SÃO FRANCISCO DO ITABAPOANA</t>
  </si>
  <si>
    <t>SÃO JOÃO DA BARRA</t>
  </si>
  <si>
    <t>SÃO JOSÉ DE UBÁ</t>
  </si>
  <si>
    <t>SÃO PEDRO DA ALDEIA</t>
  </si>
  <si>
    <t>SAQUAREMA</t>
  </si>
  <si>
    <t>VARRE-SAI</t>
  </si>
  <si>
    <t>SILVA JARDIM</t>
  </si>
  <si>
    <t>RIO CLARO - MAGISTÉRIO</t>
  </si>
  <si>
    <t>VASSOURAS - MAGISTÉRIO</t>
  </si>
  <si>
    <t>MIGUEL PEREIRA</t>
  </si>
  <si>
    <t>TRIÊNIOS - 5</t>
  </si>
  <si>
    <t>TRIÊNIOS - 6</t>
  </si>
  <si>
    <t>LAJE DO MURIAÉ</t>
  </si>
  <si>
    <t>TRIÊNIOS - 7</t>
  </si>
  <si>
    <t>FORÇAS ARMADAS</t>
  </si>
  <si>
    <t>TRIÊNIOS - 8</t>
  </si>
  <si>
    <t>ANUÊNIO - 4</t>
  </si>
  <si>
    <t>TRI - RJ</t>
  </si>
  <si>
    <t>D. CAXIAS</t>
  </si>
  <si>
    <t>ADICIONAL POR TEMPO DE SERVIÇO</t>
  </si>
  <si>
    <t>TRI - 9</t>
  </si>
  <si>
    <t>TRI - 10</t>
  </si>
  <si>
    <t>SUMIDOURO</t>
  </si>
  <si>
    <t>TRI - 11</t>
  </si>
  <si>
    <t>NATIVIDADE - MAGISTÉRIO</t>
  </si>
  <si>
    <t>DECÊNIO</t>
  </si>
  <si>
    <t>80.1</t>
  </si>
  <si>
    <t>FALTAS   /   LICENÇA SEM VCTOS  :</t>
  </si>
  <si>
    <t>ADIN 609-6 - decisão TCE</t>
  </si>
  <si>
    <t>ATO CONCESSÓRIO</t>
  </si>
  <si>
    <t>FL.</t>
  </si>
  <si>
    <t>AUTORIDADE COMPETENTE</t>
  </si>
  <si>
    <t>VALIDADE :</t>
  </si>
  <si>
    <t>VALOR       :</t>
  </si>
  <si>
    <t>REQUERIMENTO</t>
  </si>
  <si>
    <t>APOSTILA_FIXAÇÃO</t>
  </si>
  <si>
    <t>PROTOCOLO NA ORIGEM - FL:</t>
  </si>
  <si>
    <t>DECLARAÇÃO DE  ACUMULAÇÃO - FL</t>
  </si>
  <si>
    <t>EC Nº 20/98</t>
  </si>
  <si>
    <t>EC Nº 41/03</t>
  </si>
  <si>
    <t>MPV 167/04</t>
  </si>
  <si>
    <t>nº de períodos</t>
  </si>
  <si>
    <t>Período computado após a EC 20/98.</t>
  </si>
  <si>
    <t>LISTA JURISDICIONADOS - SUP</t>
  </si>
  <si>
    <t>1.1</t>
  </si>
  <si>
    <t>9.1</t>
  </si>
  <si>
    <t>31.1</t>
  </si>
  <si>
    <t>47.1</t>
  </si>
  <si>
    <t>67.1</t>
  </si>
  <si>
    <t>91.1</t>
  </si>
  <si>
    <t>VALIDADE DA REGRA:</t>
  </si>
  <si>
    <t>EMENDA Nº 20/98</t>
  </si>
  <si>
    <t>EMENDA Nº 41/03</t>
  </si>
  <si>
    <t xml:space="preserve">     NOME :</t>
  </si>
  <si>
    <t xml:space="preserve">     CARGO :</t>
  </si>
  <si>
    <t xml:space="preserve">     CARREIRA:</t>
  </si>
  <si>
    <t xml:space="preserve">     SEXO :</t>
  </si>
  <si>
    <t xml:space="preserve">     EFET - MAGISTÉRIO</t>
  </si>
  <si>
    <t xml:space="preserve">     REDAÇÃO DADA PELA</t>
  </si>
  <si>
    <t xml:space="preserve">     ADICIONAL POR TEMPO DE SERVIÇO:</t>
  </si>
  <si>
    <t>CPF :</t>
  </si>
  <si>
    <t>SUBTOTAL APÓS  EC 20/98</t>
  </si>
  <si>
    <t>TEMPO APÓS EC 41</t>
  </si>
  <si>
    <t>TOTAL GERAL</t>
  </si>
  <si>
    <t>TS PÚBLICO ENTRE 16/12/98 E 19/02/04</t>
  </si>
  <si>
    <t>TS PÚBLICO APÓS 19/02/04 (EC 41)</t>
  </si>
  <si>
    <t>TS ÓRGÃO</t>
  </si>
  <si>
    <t>X</t>
  </si>
  <si>
    <t>FUNDAMENTAÇÃO:</t>
  </si>
  <si>
    <t>POSSIBILIDADES</t>
  </si>
  <si>
    <t>FUNDAMENTAÇÃO</t>
  </si>
  <si>
    <t>TEMPO</t>
  </si>
  <si>
    <t>PARIDADE</t>
  </si>
  <si>
    <t>T. SERV. PÚBL.</t>
  </si>
  <si>
    <t>CRÍTICA</t>
  </si>
  <si>
    <t>ART. 6º EC 41</t>
  </si>
  <si>
    <t>TRANSIÇÃO EC 47</t>
  </si>
  <si>
    <t>TRANSIÇÃO EC 20</t>
  </si>
  <si>
    <t>TP CARGO:</t>
  </si>
  <si>
    <t>TP CARREIRA:</t>
  </si>
  <si>
    <t>TSP PÚBLICO:</t>
  </si>
  <si>
    <t>SÍNTESE</t>
  </si>
  <si>
    <t>CRITICA 2</t>
  </si>
  <si>
    <t>VI_RP_REDAÇÃO EMENDA Nº 20/98</t>
  </si>
  <si>
    <t>VE_RP_REDAÇÃO EMENDA Nº 20</t>
  </si>
  <si>
    <t>VE_RP_REDAÇÃO EMENDA Nº 41</t>
  </si>
  <si>
    <t>VI_RP_REDAÇÃO EMENDA Nº 41</t>
  </si>
  <si>
    <t>REGRA PERMANENTE (ATUAL)</t>
  </si>
  <si>
    <t>REGRAS DE TRANSIÇÃO</t>
  </si>
  <si>
    <t>REGRA PERMANENTE (EMENDA Nº 20/98)</t>
  </si>
  <si>
    <t>REGRAS ANTIGAS (até 15/12/1998)</t>
  </si>
  <si>
    <t>Art. 40, §1º, III, alínea "a", da CR/88 (redação dada pela EC nº 41/03)</t>
  </si>
  <si>
    <t>Art. 6º, EC Nº 41/03</t>
  </si>
  <si>
    <t>Art. 40, §1º, III, alínea "a", da CR/88 (redação dada pela EC nº 20/98)</t>
  </si>
  <si>
    <t>Art. 8º, caput, da EC nº 20/98 c/c art. 3º da EC nº 41/03</t>
  </si>
  <si>
    <t>Art. 3º da EC nº 47/2005</t>
  </si>
  <si>
    <t>REVER FUNDAMENTAÇÃO E/OU MODALIDADE</t>
  </si>
  <si>
    <t>Art. 40, III, alínea "a", da CR/88 (redação original)</t>
  </si>
  <si>
    <t>Art. 40, §5º, da CR/88 (redação dada pela EC nº 41/03)</t>
  </si>
  <si>
    <t>Art. 6º, EC Nº 41/03 c/c art. 40, § 5º, da CR/88</t>
  </si>
  <si>
    <t>Art. 40, §5º, da CR/88 (redação dada pela EC nº 20/98)</t>
  </si>
  <si>
    <t>Art. 8º, caput, § 4º, da EC nº 20/98 c/c art. 3º da EC nº 41/03</t>
  </si>
  <si>
    <t>Art. 40, III, alínea "b", da CR/88 (redação original)</t>
  </si>
  <si>
    <t>Art. 40, §1º, III, alínea "b", da CR/88 (redação dada pela EC nº 41/03)</t>
  </si>
  <si>
    <t>Art. 40, §1º, III, alínea "b", da CR/88 (redação dada pela EC nº 20/98)</t>
  </si>
  <si>
    <t>Art. 40, III, alínea "d", da CR/88 (redação original)</t>
  </si>
  <si>
    <t>Art. 40, §1º, II, da CR/88 (redação dada pela EC nº 41/03)</t>
  </si>
  <si>
    <t>Art. 40, §1º, II, da CR/88 (redação dada pela EC nº 20/98)</t>
  </si>
  <si>
    <t>PLANILHA PARA SIMULAÇÃO DE MODALIDADES / REGRAS DE OPÇÃO DE APOSENTADORIAS</t>
  </si>
  <si>
    <r>
      <t xml:space="preserve">MODALIDADE DE APOSENTADORIA: </t>
    </r>
    <r>
      <rPr>
        <sz val="12"/>
        <rFont val="Arial"/>
        <family val="2"/>
      </rPr>
      <t>escolher em um rol de possibilidades (</t>
    </r>
    <r>
      <rPr>
        <b/>
        <sz val="12"/>
        <rFont val="Arial"/>
        <family val="2"/>
      </rPr>
      <t>lista suspensa</t>
    </r>
    <r>
      <rPr>
        <sz val="12"/>
        <rFont val="Arial"/>
        <family val="2"/>
      </rPr>
      <t xml:space="preserve">) aquela modalidade que melhor se aplicar ao caso do servidor candidato à aposentadoria, após preenchimento total dos demais itens, ou a qualquer instante, se desejar, </t>
    </r>
    <r>
      <rPr>
        <b/>
        <sz val="12"/>
        <rFont val="Arial"/>
        <family val="2"/>
      </rPr>
      <t>considerando eventuais críticas que impeçam a aposentação na modalidade escolhida</t>
    </r>
    <r>
      <rPr>
        <sz val="12"/>
        <rFont val="Arial"/>
        <family val="2"/>
      </rPr>
      <t>.</t>
    </r>
  </si>
  <si>
    <r>
      <t>REGRA DE OPÇÃO</t>
    </r>
    <r>
      <rPr>
        <sz val="12"/>
        <rFont val="Arial"/>
        <family val="2"/>
      </rPr>
      <t>: escolher em um rol de possibilidades (</t>
    </r>
    <r>
      <rPr>
        <b/>
        <sz val="12"/>
        <rFont val="Arial"/>
        <family val="2"/>
      </rPr>
      <t>lista suspensa</t>
    </r>
    <r>
      <rPr>
        <sz val="12"/>
        <rFont val="Arial"/>
        <family val="2"/>
      </rPr>
      <t>) a fundamentação que seja possível, considerando a modalidade escolhida no campo "modalidade de aposentadoria". Qualquer incompatibilidade será apontada na síntese, na ficha de conclusão.</t>
    </r>
  </si>
  <si>
    <r>
      <t>ENTE DA FEDERAÇÃO:</t>
    </r>
    <r>
      <rPr>
        <sz val="12"/>
        <rFont val="Arial"/>
        <family val="2"/>
      </rPr>
      <t xml:space="preserve"> escolher, na </t>
    </r>
    <r>
      <rPr>
        <b/>
        <sz val="12"/>
        <rFont val="Arial"/>
        <family val="2"/>
      </rPr>
      <t>lista suspensa</t>
    </r>
    <r>
      <rPr>
        <sz val="12"/>
        <rFont val="Arial"/>
        <family val="2"/>
      </rPr>
      <t>, o Ente da Federação a que se refere.</t>
    </r>
  </si>
  <si>
    <r>
      <t>PODER:</t>
    </r>
    <r>
      <rPr>
        <sz val="12"/>
        <rFont val="Arial"/>
        <family val="2"/>
      </rPr>
      <t xml:space="preserve"> no campo definido, escolher em uma </t>
    </r>
    <r>
      <rPr>
        <b/>
        <sz val="12"/>
        <rFont val="Arial"/>
        <family val="2"/>
      </rPr>
      <t>lista suspensa</t>
    </r>
    <r>
      <rPr>
        <sz val="12"/>
        <rFont val="Arial"/>
        <family val="2"/>
      </rPr>
      <t xml:space="preserve"> qual o Poder a que está vinculado.</t>
    </r>
  </si>
  <si>
    <t>FAAP - MÓDULO 1 - R3.1</t>
  </si>
  <si>
    <r>
      <t>NOME DO SERVIDOR:</t>
    </r>
    <r>
      <rPr>
        <sz val="12"/>
        <rFont val="Arial"/>
        <family val="2"/>
      </rPr>
      <t xml:space="preserve"> esse campo é livre para digitação. Digite o nome do interessado (servidor) como constante dos seus assentamentos funcionais.</t>
    </r>
  </si>
  <si>
    <r>
      <t xml:space="preserve">DESDE: </t>
    </r>
    <r>
      <rPr>
        <sz val="12"/>
        <rFont val="Arial"/>
        <family val="2"/>
      </rPr>
      <t xml:space="preserve">indique a data em que se deu o </t>
    </r>
    <r>
      <rPr>
        <b/>
        <sz val="12"/>
        <rFont val="Arial"/>
        <family val="2"/>
      </rPr>
      <t>inicio do exercício no cargo específico em que o servidor está se aposentando</t>
    </r>
    <r>
      <rPr>
        <sz val="12"/>
        <rFont val="Arial"/>
        <family val="2"/>
      </rPr>
      <t>.</t>
    </r>
  </si>
  <si>
    <t>FICHA FUNCIONAL</t>
  </si>
  <si>
    <t>VALIDADE DA APOSENTADORIA:</t>
  </si>
  <si>
    <t xml:space="preserve">TRANS. ART. 6º EMENDA 41/03 </t>
  </si>
  <si>
    <r>
      <t>obs.:</t>
    </r>
    <r>
      <rPr>
        <sz val="12"/>
        <color indexed="8"/>
        <rFont val="Arial"/>
        <family val="2"/>
      </rPr>
      <t xml:space="preserve"> caso a data de validade seja a data da publicação, temos duas condições:</t>
    </r>
    <r>
      <rPr>
        <b/>
        <sz val="12"/>
        <color indexed="8"/>
        <rFont val="Arial"/>
        <family val="2"/>
      </rPr>
      <t xml:space="preserve"> 1) </t>
    </r>
    <r>
      <rPr>
        <sz val="12"/>
        <color indexed="8"/>
        <rFont val="Arial"/>
        <family val="2"/>
      </rPr>
      <t xml:space="preserve">para efeito apenas de simulação de condição para aposentadoria, esta validade deverá ser estimada, haja vista inexistir ato a ser publicado ainda; </t>
    </r>
    <r>
      <rPr>
        <b/>
        <sz val="12"/>
        <color indexed="8"/>
        <rFont val="Arial"/>
        <family val="2"/>
      </rPr>
      <t xml:space="preserve">2) </t>
    </r>
    <r>
      <rPr>
        <sz val="12"/>
        <color indexed="8"/>
        <rFont val="Arial"/>
        <family val="2"/>
      </rPr>
      <t>caso a Administração do órgão queira incluir no respectivo processo de aposentadoria as 3 planilhas resultantes do presente preenchimento, deverá retificar a data de validade com base naquela relativa à publicação efetivamente realizada e, a partir dessa retificação, providenciar as impressões das abas: ficha funcional, MTS -  mapa de tempo de serviço e resumo conclusivo e suas juntadas aos autos de aposentação para remessa.</t>
    </r>
  </si>
  <si>
    <r>
      <t xml:space="preserve">VALIDADE: </t>
    </r>
    <r>
      <rPr>
        <sz val="12"/>
        <rFont val="Arial"/>
        <family val="2"/>
      </rPr>
      <t>indique a data de validade do ato concessório do beneficio.</t>
    </r>
  </si>
  <si>
    <r>
      <t>obs.:</t>
    </r>
    <r>
      <rPr>
        <sz val="12"/>
        <color indexed="8"/>
        <rFont val="Arial"/>
        <family val="2"/>
      </rPr>
      <t xml:space="preserve"> caso a data de validade seja a data da publicação, temos duas condições: </t>
    </r>
    <r>
      <rPr>
        <b/>
        <sz val="12"/>
        <color indexed="8"/>
        <rFont val="Arial"/>
        <family val="2"/>
      </rPr>
      <t xml:space="preserve">1) </t>
    </r>
    <r>
      <rPr>
        <sz val="12"/>
        <color indexed="8"/>
        <rFont val="Arial"/>
        <family val="2"/>
      </rPr>
      <t xml:space="preserve">para efeito apenas de simulação de condição para aposentadoria, esta validade deverá ser estimada, haja vista inexistir ato a ser publicado ainda; </t>
    </r>
    <r>
      <rPr>
        <b/>
        <sz val="12"/>
        <color indexed="8"/>
        <rFont val="Arial"/>
        <family val="2"/>
      </rPr>
      <t xml:space="preserve">2) </t>
    </r>
    <r>
      <rPr>
        <sz val="12"/>
        <color indexed="8"/>
        <rFont val="Arial"/>
        <family val="2"/>
      </rPr>
      <t>caso a Administração do órgão queira incluir no respectivo processo de aposentadoria as 3 planilhas resultantes do presente preenchimento, deverá retificar a data de validade com base naquela relativa à publicação efetivamente realizada e, a partir dessa retificação, providenciar as impressões das abas: ficha funcional, MTS -  mapa de tempo de serviço e resumo conclusivo e suas juntadas aos autos de aposentação para remessa.</t>
    </r>
  </si>
  <si>
    <r>
      <t>REDAÇÃO DADA PELA:</t>
    </r>
    <r>
      <rPr>
        <sz val="12"/>
        <rFont val="Arial"/>
        <family val="2"/>
      </rPr>
      <t xml:space="preserve"> marque um "X" em uma das opções </t>
    </r>
    <r>
      <rPr>
        <b/>
        <sz val="12"/>
        <rFont val="Arial"/>
        <family val="2"/>
      </rPr>
      <t xml:space="preserve">quando se fundamentar em </t>
    </r>
    <r>
      <rPr>
        <b/>
        <u/>
        <sz val="12"/>
        <rFont val="Arial"/>
        <family val="2"/>
      </rPr>
      <t>regra permanente</t>
    </r>
    <r>
      <rPr>
        <sz val="12"/>
        <rFont val="Arial"/>
        <family val="2"/>
      </rPr>
      <t xml:space="preserve"> (campo 2 - regra de opção), considerando a data da validade do ato concessório.</t>
    </r>
  </si>
  <si>
    <r>
      <t>VALIDADE DA REGRA:</t>
    </r>
    <r>
      <rPr>
        <sz val="12"/>
        <rFont val="Arial"/>
        <family val="2"/>
      </rPr>
      <t xml:space="preserve"> campo bloqueado para digitação. Alteração automática que depende da regra de aposentação.</t>
    </r>
  </si>
  <si>
    <r>
      <t>OUTROS PODERES- INSS:</t>
    </r>
    <r>
      <rPr>
        <sz val="12"/>
        <rFont val="Arial"/>
        <family val="2"/>
      </rPr>
      <t xml:space="preserve"> digitação de tempo de serviço / contribuição vinculados a outros órgãos da Administração Pública Direta e/ou Indireta (incluindo suas Empresas Públicas e Sociedades de Economia Mista) no âmbito federal, estadual, municipal ou distrital.</t>
    </r>
  </si>
  <si>
    <r>
      <t xml:space="preserve">Nas células "total dias" </t>
    </r>
    <r>
      <rPr>
        <b/>
        <sz val="12"/>
        <rFont val="Arial"/>
        <family val="2"/>
      </rPr>
      <t>desbloqueadas</t>
    </r>
    <r>
      <rPr>
        <sz val="12"/>
        <rFont val="Arial"/>
        <family val="2"/>
      </rPr>
      <t xml:space="preserve">, poderão ser apontados o tempo total constante de certidão ou início, término e total. Nas células "total dias" </t>
    </r>
    <r>
      <rPr>
        <b/>
        <sz val="12"/>
        <rFont val="Arial"/>
        <family val="2"/>
      </rPr>
      <t>bloqueadas</t>
    </r>
    <r>
      <rPr>
        <sz val="12"/>
        <rFont val="Arial"/>
        <family val="2"/>
      </rPr>
      <t xml:space="preserve">, apontar somente a data inicial e final. </t>
    </r>
  </si>
  <si>
    <t>Observar a impossibilidade de contagem de tempo concomitante.</t>
  </si>
  <si>
    <r>
      <t>OUTROS PODERES - INSS</t>
    </r>
    <r>
      <rPr>
        <sz val="12"/>
        <rFont val="Arial"/>
        <family val="2"/>
      </rPr>
      <t xml:space="preserve">: digitação de tempo de serviços / contribuições vinculados a outros órgãos da Administração Pública no âmbito federal, estadual, municipal ou distrital, relativos ao </t>
    </r>
    <r>
      <rPr>
        <b/>
        <sz val="12"/>
        <rFont val="Arial"/>
        <family val="2"/>
      </rPr>
      <t>período a partir de 16/12/98 até 30/12/03, ou 19/02/04. Observar a impossibilidade de contagem de tempo concomitante.</t>
    </r>
  </si>
  <si>
    <t>Uma vez digitada alguma quantidade de dias de licença, deverá ser apontado no quadro à direita se houve ou não contribuição para o RPPS no período de licença.</t>
  </si>
  <si>
    <r>
      <t>OUTROS PODERES - INSS</t>
    </r>
    <r>
      <rPr>
        <sz val="12"/>
        <rFont val="Arial"/>
        <family val="2"/>
      </rPr>
      <t>: digitação de tempo de serviços / contribuições vinculados a outros órgãos da Administração Pública no âmbito federal, estadual, municipal ou distrital, relativos ao período a partir de 20/02/2004. Observar a impossibilidade de contagem de tempo concomitante.</t>
    </r>
  </si>
  <si>
    <r>
      <t>obs.:</t>
    </r>
    <r>
      <rPr>
        <sz val="12"/>
        <color indexed="8"/>
        <rFont val="Arial"/>
        <family val="2"/>
      </rPr>
      <t xml:space="preserve"> caso a data de validade seja a data da publicação, temos duas condições:</t>
    </r>
    <r>
      <rPr>
        <b/>
        <sz val="12"/>
        <color indexed="8"/>
        <rFont val="Arial"/>
        <family val="2"/>
      </rPr>
      <t xml:space="preserve"> 1)</t>
    </r>
    <r>
      <rPr>
        <sz val="12"/>
        <color indexed="8"/>
        <rFont val="Arial"/>
        <family val="2"/>
      </rPr>
      <t xml:space="preserve"> para efeito apenas de simulação de condição para aposentadoria, esta validade deverá ser estimada, haja vista inexistir ato a ser publicado ainda;</t>
    </r>
    <r>
      <rPr>
        <b/>
        <sz val="12"/>
        <color indexed="8"/>
        <rFont val="Arial"/>
        <family val="2"/>
      </rPr>
      <t xml:space="preserve"> 2)</t>
    </r>
    <r>
      <rPr>
        <sz val="12"/>
        <color indexed="8"/>
        <rFont val="Arial"/>
        <family val="2"/>
      </rPr>
      <t xml:space="preserve"> caso a Administração do órgão queira incluir no respectivo processo de aposentadoria as 3 planilhas resultantes do presente preenchimento, deverá retificar a data de validade com base naquela relativa à publicação efetivamente realizada e, a partir dessa retificação, providenciar as impressões das abas: ficha funcional, MTS -  mapa de tempo de serviço e resumo conclusivo e suas juntadas aos autos de aposentação para remessa.</t>
    </r>
  </si>
  <si>
    <r>
      <t>obs.:</t>
    </r>
    <r>
      <rPr>
        <sz val="12"/>
        <color indexed="8"/>
        <rFont val="Arial"/>
        <family val="2"/>
      </rPr>
      <t xml:space="preserve"> caso a data de validade seja a data da publicação, temos duas condições: </t>
    </r>
    <r>
      <rPr>
        <b/>
        <sz val="12"/>
        <color indexed="8"/>
        <rFont val="Arial"/>
        <family val="2"/>
      </rPr>
      <t xml:space="preserve">1) </t>
    </r>
    <r>
      <rPr>
        <sz val="12"/>
        <color indexed="8"/>
        <rFont val="Arial"/>
        <family val="2"/>
      </rPr>
      <t xml:space="preserve">para efeito apenas de simulação de condição para aposentadoria, esta validade deverá ser estimada, haja vista inexistir ato a ser publicado ainda; </t>
    </r>
    <r>
      <rPr>
        <b/>
        <sz val="12"/>
        <color indexed="8"/>
        <rFont val="Arial"/>
        <family val="2"/>
      </rPr>
      <t>2)</t>
    </r>
    <r>
      <rPr>
        <sz val="12"/>
        <color indexed="8"/>
        <rFont val="Arial"/>
        <family val="2"/>
      </rPr>
      <t xml:space="preserve"> caso a Administração do órgão queira incluir no respectivo processo de aposentadoria as 3 planilhas resultantes do presente preenchimento, deverá retificar a data de validade com base naquela relativa à publicação efetivamente realizada e, a partir dessa retificação, providenciar as impressões das abas: ficha funcional, MTS -  mapa de tempo de serviço e resumo conclusivo e suas juntadas aos autos de aposentação para remessa.</t>
    </r>
  </si>
  <si>
    <t>OPÇÃO DO SERVIDOR</t>
  </si>
  <si>
    <r>
      <t xml:space="preserve">CABEÇALHO DESCRITIVO: DE REGRA DE OPÇÃO; MODALIDADE; CONCLUSÃO; VARIÁVEL NÃO CUMPRIDA; TEMPO FALTANTE E DATA PREVISTA PARA APOSENTADORIA: </t>
    </r>
    <r>
      <rPr>
        <sz val="12"/>
        <color indexed="8"/>
        <rFont val="Arial"/>
        <family val="2"/>
      </rPr>
      <t>reproduz as condições para a aposentação do servidor, informando se a regra / modalidade foram cumpridas, ou não, e, nessa segunda hipótese, apresenta a variável não cumprida, bem como o tempo faltante e a data aproximada, considerando os dados inseridos na simulação de cenário constante da ficha funcional (I) e no mapa de tempo de serviço/contribuição (II).</t>
    </r>
  </si>
  <si>
    <r>
      <t>REGRA PERMANENTE EMENDA Nº 41/03 - VOLUNTÁRIA PROPORCIONAL POR IDADE:</t>
    </r>
    <r>
      <rPr>
        <sz val="12"/>
        <color indexed="8"/>
        <rFont val="Arial"/>
        <family val="2"/>
      </rPr>
      <t xml:space="preserve"> critica a data prevista aproximada em que o servidor completará 65 anos, se homem, ou 60, se mulher, podendo solicitar a sua aposentadoria voluntária por idade, uma vez satisfeitas as condições de tempo no cargo e de serviço público (art. 40 da CF com a redação dada pela EC nº 41/03).</t>
    </r>
  </si>
  <si>
    <t xml:space="preserve">IV - </t>
  </si>
  <si>
    <r>
      <t>SITUAÇÃO ANTES DA E. C. nº 20/98:</t>
    </r>
    <r>
      <rPr>
        <sz val="12"/>
        <rFont val="Arial"/>
        <family val="2"/>
      </rPr>
      <t xml:space="preserve"> esse campo deve ser preenchido </t>
    </r>
    <r>
      <rPr>
        <b/>
        <u/>
        <sz val="12"/>
        <rFont val="Arial"/>
        <family val="2"/>
      </rPr>
      <t>somente</t>
    </r>
    <r>
      <rPr>
        <sz val="12"/>
        <rFont val="Arial"/>
        <family val="2"/>
      </rPr>
      <t xml:space="preserve"> com os dados do servidor referentes a p</t>
    </r>
    <r>
      <rPr>
        <b/>
        <sz val="12"/>
        <rFont val="Arial"/>
        <family val="2"/>
      </rPr>
      <t>eríodos anteriores à Emenda Constituicional nº 20/98 (EC nº 20/98)</t>
    </r>
    <r>
      <rPr>
        <sz val="12"/>
        <rFont val="Arial"/>
        <family val="2"/>
      </rPr>
      <t>. Acaso seja digitada uma data posterior a 15/12/98, o totalizador apresentará a informação "</t>
    </r>
    <r>
      <rPr>
        <b/>
        <sz val="12"/>
        <color indexed="10"/>
        <rFont val="Arial"/>
        <family val="2"/>
      </rPr>
      <t>REVER</t>
    </r>
    <r>
      <rPr>
        <sz val="12"/>
        <rFont val="Arial"/>
        <family val="2"/>
      </rPr>
      <t>", em vermelho.</t>
    </r>
  </si>
  <si>
    <r>
      <t>DISCRIMINAÇÃO:</t>
    </r>
    <r>
      <rPr>
        <sz val="12"/>
        <rFont val="Arial"/>
        <family val="2"/>
      </rPr>
      <t xml:space="preserve"> preencher os períodos apresentados para fins de contagem do tempo de contribuição / serviço, </t>
    </r>
    <r>
      <rPr>
        <b/>
        <sz val="12"/>
        <rFont val="Arial"/>
        <family val="2"/>
      </rPr>
      <t>anteriores a 16/12/98</t>
    </r>
    <r>
      <rPr>
        <sz val="12"/>
        <rFont val="Arial"/>
        <family val="2"/>
      </rPr>
      <t>.</t>
    </r>
  </si>
  <si>
    <t>MODALIDADE / REGRA DE OPÇÃO</t>
  </si>
  <si>
    <r>
      <t>OUTROS PODERES</t>
    </r>
    <r>
      <rPr>
        <sz val="12"/>
        <rFont val="Arial"/>
        <family val="2"/>
      </rPr>
      <t>: célula livre para digitação. Computando na célula de tempo em número de dias o</t>
    </r>
    <r>
      <rPr>
        <b/>
        <sz val="12"/>
        <rFont val="Arial"/>
        <family val="2"/>
      </rPr>
      <t xml:space="preserve"> total líquido</t>
    </r>
    <r>
      <rPr>
        <sz val="12"/>
        <rFont val="Arial"/>
        <family val="2"/>
      </rPr>
      <t xml:space="preserve"> constante de declaração / certidão emitida pelo órgão de Previdência dos Servidores (Regime Próprio dos Servidores Públicos - RPPS) do Ente</t>
    </r>
  </si>
  <si>
    <r>
      <t xml:space="preserve">Federado, quando os períodos forem intercalados, </t>
    </r>
    <r>
      <rPr>
        <b/>
        <sz val="12"/>
        <rFont val="Arial"/>
        <family val="2"/>
      </rPr>
      <t>observando-se a impossibilidade de contagem dos tempos concomitantes</t>
    </r>
    <r>
      <rPr>
        <sz val="12"/>
        <rFont val="Arial"/>
        <family val="2"/>
      </rPr>
      <t xml:space="preserve">. </t>
    </r>
  </si>
  <si>
    <r>
      <t>OUTROS PODERES</t>
    </r>
    <r>
      <rPr>
        <sz val="12"/>
        <rFont val="Arial"/>
        <family val="2"/>
      </rPr>
      <t xml:space="preserve">: digite o período quando ininterrupto. A célula de tempo em dias é calculada automaticamente, </t>
    </r>
    <r>
      <rPr>
        <b/>
        <sz val="12"/>
        <rFont val="Arial"/>
        <family val="2"/>
      </rPr>
      <t>observando-se a impossibilidade de contagem dos períodos concomitantes</t>
    </r>
    <r>
      <rPr>
        <sz val="12"/>
        <rFont val="Arial"/>
        <family val="2"/>
      </rPr>
      <t>.</t>
    </r>
  </si>
  <si>
    <r>
      <t xml:space="preserve">LICENÇA ESPECIAL: </t>
    </r>
    <r>
      <rPr>
        <sz val="12"/>
        <rFont val="Arial"/>
        <family val="2"/>
      </rPr>
      <t xml:space="preserve">se a legislação permitia em data anterior à Emenda Constitucional nº 20/98 a contagem em dobro, para fins de aposentadoria, </t>
    </r>
    <r>
      <rPr>
        <b/>
        <sz val="12"/>
        <rFont val="Arial"/>
        <family val="2"/>
      </rPr>
      <t>somente poderão ser computadas</t>
    </r>
    <r>
      <rPr>
        <sz val="12"/>
        <rFont val="Arial"/>
        <family val="2"/>
      </rPr>
      <t xml:space="preserve"> as licenças não fruídas, em quantidade de períodos cumpridos (ex. 1, 2, 3, 5...)</t>
    </r>
  </si>
  <si>
    <r>
      <t>FÉRIAS EM DOBRO:</t>
    </r>
    <r>
      <rPr>
        <sz val="12"/>
        <rFont val="Arial"/>
        <family val="2"/>
      </rPr>
      <t xml:space="preserve"> se a legislação permitia em data anterior à Emenda Constitucional nº 20/98, a contagem em dobro para fins de aposentadoria, </t>
    </r>
    <r>
      <rPr>
        <b/>
        <sz val="12"/>
        <rFont val="Arial"/>
        <family val="2"/>
      </rPr>
      <t>somente poderão ser computadas</t>
    </r>
    <r>
      <rPr>
        <sz val="12"/>
        <rFont val="Arial"/>
        <family val="2"/>
      </rPr>
      <t xml:space="preserve"> as férias não usufruídas, em quantidade de períodos cumpridos (ex. 1; 2; 3, 5...).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</si>
</sst>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* #,##0.00_);_(* \(#,##0.00\);_(* &quot;-&quot;??_);_(@_)"/>
    <numFmt numFmtId="166" formatCode="_(&quot;R$ &quot;* #,##0_);_(&quot;R$ &quot;* \(#,##0\);_(&quot;R$ &quot;* &quot;-&quot;_);_(@_)"/>
    <numFmt numFmtId="167" formatCode="_(&quot;R$ &quot;* #,##0.00_);_(&quot;R$ &quot;* \(#,##0.00\);_(&quot;R$ &quot;* &quot;-&quot;??_);_(@_)"/>
    <numFmt numFmtId="168" formatCode="_(* #,##0.000000_);_(* \(#,##0.000000\);_(* &quot;-&quot;??????_);_(@_)"/>
    <numFmt numFmtId="169" formatCode="dd/mm/yy"/>
    <numFmt numFmtId="170" formatCode="d/m/yy"/>
    <numFmt numFmtId="171" formatCode="0.0%"/>
    <numFmt numFmtId="172" formatCode="_(* #,##0.000_);_(* \(#,##0.000\);_(* &quot;-&quot;???_);_(@_)"/>
    <numFmt numFmtId="173" formatCode="###\ \-\ 00"/>
    <numFmt numFmtId="174" formatCode="###\-00"/>
    <numFmt numFmtId="175" formatCode="dd/mm/yy;@"/>
  </numFmts>
  <fonts count="139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0"/>
      <name val="Times New Roman"/>
    </font>
    <font>
      <sz val="10"/>
      <color indexed="9"/>
      <name val="Times New Roman"/>
      <family val="1"/>
    </font>
    <font>
      <b/>
      <sz val="9"/>
      <name val="Arial"/>
    </font>
    <font>
      <sz val="9"/>
      <name val="Arial"/>
    </font>
    <font>
      <sz val="9"/>
      <name val="Arial"/>
      <family val="2"/>
    </font>
    <font>
      <b/>
      <sz val="8"/>
      <name val="Times New Roman"/>
      <family val="1"/>
    </font>
    <font>
      <sz val="8"/>
      <name val="Times New Roman"/>
    </font>
    <font>
      <sz val="8"/>
      <name val="Arial"/>
      <family val="2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8"/>
      <name val="Arial"/>
      <family val="2"/>
    </font>
    <font>
      <sz val="8"/>
      <color indexed="9"/>
      <name val="Arial"/>
      <family val="2"/>
    </font>
    <font>
      <sz val="8"/>
      <color indexed="9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sz val="7"/>
      <name val="Times New Roman"/>
      <family val="1"/>
    </font>
    <font>
      <b/>
      <sz val="8"/>
      <color indexed="9"/>
      <name val="Times New Roman"/>
      <family val="1"/>
    </font>
    <font>
      <sz val="8"/>
      <name val="Arial"/>
    </font>
    <font>
      <sz val="8"/>
      <color indexed="48"/>
      <name val="Times New Roman"/>
      <family val="1"/>
    </font>
    <font>
      <b/>
      <sz val="10"/>
      <color indexed="9"/>
      <name val="Times New Roman"/>
      <family val="1"/>
    </font>
    <font>
      <b/>
      <sz val="8"/>
      <color indexed="12"/>
      <name val="Times New Roman"/>
      <family val="1"/>
    </font>
    <font>
      <sz val="10"/>
      <color indexed="12"/>
      <name val="Times New Roman"/>
      <family val="1"/>
    </font>
    <font>
      <b/>
      <sz val="12"/>
      <color indexed="12"/>
      <name val="Times New Roman"/>
      <family val="1"/>
    </font>
    <font>
      <sz val="8"/>
      <color indexed="12"/>
      <name val="Times New Roman"/>
      <family val="1"/>
    </font>
    <font>
      <b/>
      <sz val="12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50"/>
      <name val="Times New Roman"/>
      <family val="1"/>
    </font>
    <font>
      <sz val="10"/>
      <color indexed="50"/>
      <name val="Arial"/>
    </font>
    <font>
      <b/>
      <sz val="8"/>
      <color indexed="50"/>
      <name val="Times New Roman"/>
      <family val="1"/>
    </font>
    <font>
      <sz val="10"/>
      <color indexed="50"/>
      <name val="Times New Roman"/>
      <family val="1"/>
    </font>
    <font>
      <sz val="10"/>
      <color indexed="10"/>
      <name val="Times New Roman"/>
      <family val="1"/>
    </font>
    <font>
      <sz val="10"/>
      <color indexed="12"/>
      <name val="Arial"/>
    </font>
    <font>
      <sz val="8"/>
      <color indexed="17"/>
      <name val="Times New Roman"/>
      <family val="1"/>
    </font>
    <font>
      <sz val="10"/>
      <color indexed="17"/>
      <name val="Arial"/>
    </font>
    <font>
      <sz val="10"/>
      <color indexed="17"/>
      <name val="Times New Roman"/>
      <family val="1"/>
    </font>
    <font>
      <sz val="9"/>
      <color indexed="17"/>
      <name val="Arial"/>
      <family val="2"/>
    </font>
    <font>
      <sz val="10"/>
      <color indexed="56"/>
      <name val="Arial"/>
    </font>
    <font>
      <sz val="10"/>
      <name val="Arial"/>
      <family val="2"/>
    </font>
    <font>
      <sz val="10"/>
      <name val="Arial"/>
    </font>
    <font>
      <b/>
      <sz val="12"/>
      <color indexed="50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</font>
    <font>
      <sz val="12"/>
      <name val="Arial"/>
    </font>
    <font>
      <sz val="12"/>
      <color indexed="50"/>
      <name val="Arial"/>
    </font>
    <font>
      <sz val="12"/>
      <name val="Arial"/>
      <family val="2"/>
    </font>
    <font>
      <b/>
      <sz val="12"/>
      <name val="Arial"/>
    </font>
    <font>
      <sz val="9"/>
      <color indexed="9"/>
      <name val="Times New Roman"/>
      <family val="1"/>
    </font>
    <font>
      <b/>
      <sz val="12"/>
      <name val="Arial"/>
      <family val="2"/>
    </font>
    <font>
      <b/>
      <sz val="12"/>
      <color indexed="48"/>
      <name val="Times New Roman"/>
      <family val="1"/>
    </font>
    <font>
      <sz val="12"/>
      <color indexed="9"/>
      <name val="Times New Roman"/>
      <family val="1"/>
    </font>
    <font>
      <b/>
      <sz val="12"/>
      <color indexed="9"/>
      <name val="Times New Roman"/>
      <family val="1"/>
    </font>
    <font>
      <sz val="12"/>
      <name val="Times New Roman"/>
    </font>
    <font>
      <sz val="12"/>
      <color indexed="9"/>
      <name val="Arial"/>
      <family val="2"/>
    </font>
    <font>
      <sz val="12"/>
      <color indexed="43"/>
      <name val="Times New Roman"/>
      <family val="1"/>
    </font>
    <font>
      <sz val="12"/>
      <color indexed="12"/>
      <name val="Times New Roman"/>
      <family val="1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b/>
      <sz val="12"/>
      <color indexed="43"/>
      <name val="Times New Roman"/>
      <family val="1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imes New Roman"/>
      <family val="1"/>
    </font>
    <font>
      <b/>
      <sz val="11"/>
      <name val="Times New Roman"/>
      <family val="1"/>
    </font>
    <font>
      <sz val="8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indexed="12"/>
      <name val="Arial"/>
      <family val="2"/>
    </font>
    <font>
      <b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50"/>
      <name val="Arial"/>
      <family val="2"/>
    </font>
    <font>
      <b/>
      <sz val="12"/>
      <color indexed="10"/>
      <name val="Arial"/>
      <family val="2"/>
    </font>
    <font>
      <b/>
      <sz val="12"/>
      <color indexed="48"/>
      <name val="Arial"/>
      <family val="2"/>
    </font>
    <font>
      <sz val="12"/>
      <color indexed="12"/>
      <name val="Arial"/>
      <family val="2"/>
    </font>
    <font>
      <b/>
      <sz val="12"/>
      <color indexed="50"/>
      <name val="Arial"/>
      <family val="2"/>
    </font>
    <font>
      <b/>
      <sz val="12"/>
      <color indexed="56"/>
      <name val="Arial"/>
      <family val="2"/>
    </font>
    <font>
      <sz val="12"/>
      <color indexed="17"/>
      <name val="Arial"/>
      <family val="2"/>
    </font>
    <font>
      <sz val="12"/>
      <color indexed="48"/>
      <name val="Arial"/>
      <family val="2"/>
    </font>
    <font>
      <sz val="12"/>
      <color indexed="56"/>
      <name val="Arial"/>
      <family val="2"/>
    </font>
    <font>
      <b/>
      <sz val="16"/>
      <name val="Arial"/>
      <family val="2"/>
    </font>
    <font>
      <sz val="10"/>
      <color indexed="12"/>
      <name val="Arial"/>
      <family val="2"/>
    </font>
    <font>
      <sz val="12"/>
      <color indexed="42"/>
      <name val="Arial"/>
      <family val="2"/>
    </font>
    <font>
      <sz val="12"/>
      <color indexed="10"/>
      <name val="Times New Roman"/>
      <family val="1"/>
    </font>
    <font>
      <b/>
      <u/>
      <sz val="12"/>
      <name val="Arial"/>
      <family val="2"/>
    </font>
    <font>
      <b/>
      <sz val="14"/>
      <color indexed="9"/>
      <name val="Times New Roman"/>
      <family val="1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  <font>
      <sz val="12"/>
      <color indexed="41"/>
      <name val="Arial"/>
    </font>
    <font>
      <b/>
      <sz val="6"/>
      <name val="Times New Roman"/>
      <family val="1"/>
    </font>
    <font>
      <b/>
      <sz val="10"/>
      <color indexed="13"/>
      <name val="Arial"/>
      <family val="2"/>
    </font>
    <font>
      <b/>
      <sz val="9"/>
      <color indexed="13"/>
      <name val="Arial"/>
      <family val="2"/>
    </font>
    <font>
      <b/>
      <sz val="8"/>
      <color indexed="13"/>
      <name val="Arial"/>
      <family val="2"/>
    </font>
    <font>
      <b/>
      <sz val="9"/>
      <name val="Arial"/>
      <family val="2"/>
    </font>
    <font>
      <b/>
      <sz val="16"/>
      <color indexed="10"/>
      <name val="Arial"/>
      <family val="2"/>
    </font>
    <font>
      <sz val="14"/>
      <name val="Arial"/>
      <family val="2"/>
    </font>
    <font>
      <sz val="8"/>
      <color indexed="10"/>
      <name val="Arial"/>
      <family val="2"/>
    </font>
    <font>
      <sz val="10"/>
      <color indexed="9"/>
      <name val="Arial"/>
    </font>
    <font>
      <b/>
      <sz val="10"/>
      <color indexed="9"/>
      <name val="Times New Roman"/>
    </font>
    <font>
      <b/>
      <sz val="10"/>
      <color indexed="9"/>
      <name val="Arial"/>
    </font>
    <font>
      <sz val="8"/>
      <color indexed="9"/>
      <name val="Times New Roman"/>
    </font>
    <font>
      <sz val="10"/>
      <color indexed="10"/>
      <name val="Arial"/>
    </font>
    <font>
      <b/>
      <sz val="10"/>
      <color indexed="10"/>
      <name val="Times New Roman"/>
    </font>
    <font>
      <b/>
      <sz val="7"/>
      <color indexed="9"/>
      <name val="Arial"/>
      <family val="2"/>
    </font>
    <font>
      <b/>
      <sz val="6"/>
      <color indexed="9"/>
      <name val="Arial"/>
      <family val="2"/>
    </font>
    <font>
      <b/>
      <sz val="8"/>
      <color indexed="10"/>
      <name val="Arial"/>
    </font>
    <font>
      <sz val="12"/>
      <color indexed="10"/>
      <name val="Times New Roman"/>
    </font>
    <font>
      <b/>
      <sz val="9"/>
      <color indexed="1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sz val="11"/>
      <color indexed="12"/>
      <name val="Arial"/>
      <family val="2"/>
    </font>
    <font>
      <sz val="8"/>
      <color indexed="10"/>
      <name val="Times New Roman"/>
    </font>
    <font>
      <b/>
      <sz val="10"/>
      <color indexed="48"/>
      <name val="Arial"/>
      <family val="2"/>
    </font>
    <font>
      <sz val="10"/>
      <color indexed="48"/>
      <name val="Arial"/>
      <family val="2"/>
    </font>
    <font>
      <sz val="10"/>
      <color indexed="48"/>
      <name val="Arial"/>
    </font>
    <font>
      <b/>
      <sz val="10"/>
      <color indexed="48"/>
      <name val="Arial"/>
    </font>
    <font>
      <sz val="10"/>
      <color indexed="48"/>
      <name val="Times New Roman"/>
      <family val="1"/>
    </font>
    <font>
      <sz val="12"/>
      <color indexed="48"/>
      <name val="Arial"/>
    </font>
    <font>
      <sz val="10"/>
      <color indexed="8"/>
      <name val="Arial"/>
    </font>
    <font>
      <b/>
      <sz val="10"/>
      <color indexed="8"/>
      <name val="Arial"/>
      <family val="2"/>
    </font>
    <font>
      <b/>
      <sz val="9"/>
      <color indexed="12"/>
      <name val="Arial"/>
      <family val="2"/>
    </font>
    <font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9"/>
      <color indexed="9"/>
      <name val="Arial"/>
      <family val="2"/>
    </font>
    <font>
      <b/>
      <sz val="9"/>
      <color indexed="8"/>
      <name val="Arial"/>
      <family val="2"/>
    </font>
    <font>
      <b/>
      <u/>
      <sz val="12"/>
      <color indexed="10"/>
      <name val="Arial"/>
      <family val="2"/>
    </font>
    <font>
      <b/>
      <i/>
      <sz val="14"/>
      <color indexed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</fills>
  <borders count="1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8"/>
      </left>
      <right style="dashed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8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11"/>
      </left>
      <right/>
      <top style="thin">
        <color indexed="64"/>
      </top>
      <bottom/>
      <diagonal/>
    </border>
    <border>
      <left/>
      <right style="thick">
        <color indexed="11"/>
      </right>
      <top style="thin">
        <color indexed="64"/>
      </top>
      <bottom/>
      <diagonal/>
    </border>
    <border>
      <left style="thick">
        <color indexed="11"/>
      </left>
      <right/>
      <top/>
      <bottom/>
      <diagonal/>
    </border>
    <border>
      <left/>
      <right style="thick">
        <color indexed="11"/>
      </right>
      <top/>
      <bottom/>
      <diagonal/>
    </border>
    <border>
      <left/>
      <right/>
      <top/>
      <bottom style="thick">
        <color indexed="11"/>
      </bottom>
      <diagonal/>
    </border>
    <border>
      <left/>
      <right style="thick">
        <color indexed="11"/>
      </right>
      <top/>
      <bottom style="thick">
        <color indexed="11"/>
      </bottom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1"/>
      </bottom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ck">
        <color indexed="11"/>
      </bottom>
      <diagonal/>
    </border>
    <border>
      <left style="thin">
        <color indexed="64"/>
      </left>
      <right style="thick">
        <color indexed="11"/>
      </right>
      <top/>
      <bottom style="thin">
        <color indexed="64"/>
      </bottom>
      <diagonal/>
    </border>
    <border>
      <left style="thick">
        <color indexed="11"/>
      </left>
      <right/>
      <top style="thin">
        <color indexed="64"/>
      </top>
      <bottom style="thin">
        <color indexed="64"/>
      </bottom>
      <diagonal/>
    </border>
    <border>
      <left style="thick">
        <color indexed="11"/>
      </left>
      <right/>
      <top style="thin">
        <color indexed="64"/>
      </top>
      <bottom style="thick">
        <color indexed="11"/>
      </bottom>
      <diagonal/>
    </border>
    <border>
      <left/>
      <right/>
      <top style="thin">
        <color indexed="64"/>
      </top>
      <bottom style="thick">
        <color indexed="11"/>
      </bottom>
      <diagonal/>
    </border>
    <border>
      <left style="thick">
        <color indexed="11"/>
      </left>
      <right style="medium">
        <color indexed="64"/>
      </right>
      <top style="medium">
        <color indexed="64"/>
      </top>
      <bottom/>
      <diagonal/>
    </border>
    <border>
      <left style="thick">
        <color indexed="11"/>
      </left>
      <right/>
      <top style="medium">
        <color indexed="64"/>
      </top>
      <bottom/>
      <diagonal/>
    </border>
    <border>
      <left/>
      <right style="thick">
        <color indexed="11"/>
      </right>
      <top style="medium">
        <color indexed="64"/>
      </top>
      <bottom/>
      <diagonal/>
    </border>
    <border>
      <left style="thick">
        <color indexed="11"/>
      </left>
      <right/>
      <top/>
      <bottom style="thin">
        <color indexed="64"/>
      </bottom>
      <diagonal/>
    </border>
    <border>
      <left/>
      <right style="thick">
        <color indexed="11"/>
      </right>
      <top/>
      <bottom style="thin">
        <color indexed="64"/>
      </bottom>
      <diagonal/>
    </border>
    <border>
      <left style="thick">
        <color indexed="11"/>
      </left>
      <right/>
      <top/>
      <bottom style="thick">
        <color indexed="11"/>
      </bottom>
      <diagonal/>
    </border>
    <border>
      <left/>
      <right style="thin">
        <color indexed="64"/>
      </right>
      <top/>
      <bottom style="thick">
        <color indexed="11"/>
      </bottom>
      <diagonal/>
    </border>
    <border>
      <left style="thin">
        <color indexed="64"/>
      </left>
      <right/>
      <top/>
      <bottom style="thick">
        <color indexed="11"/>
      </bottom>
      <diagonal/>
    </border>
    <border>
      <left style="thick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1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11"/>
      </bottom>
      <diagonal/>
    </border>
    <border>
      <left style="thin">
        <color indexed="64"/>
      </left>
      <right style="thick">
        <color indexed="1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1"/>
      </right>
      <top style="thick">
        <color indexed="11"/>
      </top>
      <bottom style="thin">
        <color indexed="64"/>
      </bottom>
      <diagonal/>
    </border>
    <border>
      <left style="thick">
        <color indexed="11"/>
      </left>
      <right style="thin">
        <color indexed="64"/>
      </right>
      <top style="thick">
        <color indexed="1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11"/>
      </top>
      <bottom style="thin">
        <color indexed="64"/>
      </bottom>
      <diagonal/>
    </border>
    <border>
      <left style="thick">
        <color indexed="11"/>
      </left>
      <right style="thin">
        <color indexed="64"/>
      </right>
      <top style="thin">
        <color indexed="64"/>
      </top>
      <bottom style="thick">
        <color indexed="11"/>
      </bottom>
      <diagonal/>
    </border>
    <border>
      <left style="thick">
        <color indexed="11"/>
      </left>
      <right/>
      <top style="thick">
        <color indexed="11"/>
      </top>
      <bottom style="thin">
        <color indexed="64"/>
      </bottom>
      <diagonal/>
    </border>
    <border>
      <left/>
      <right/>
      <top style="thick">
        <color indexed="11"/>
      </top>
      <bottom style="thin">
        <color indexed="64"/>
      </bottom>
      <diagonal/>
    </border>
    <border>
      <left/>
      <right style="thick">
        <color indexed="11"/>
      </right>
      <top style="thick">
        <color indexed="1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11"/>
      </bottom>
      <diagonal/>
    </border>
    <border>
      <left/>
      <right style="thick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11"/>
      </bottom>
      <diagonal/>
    </border>
    <border>
      <left/>
      <right style="thick">
        <color indexed="11"/>
      </right>
      <top style="thin">
        <color indexed="64"/>
      </top>
      <bottom style="thick">
        <color indexed="11"/>
      </bottom>
      <diagonal/>
    </border>
    <border>
      <left style="thick">
        <color indexed="1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954">
    <xf numFmtId="0" fontId="0" fillId="0" borderId="0" xfId="0"/>
    <xf numFmtId="0" fontId="7" fillId="2" borderId="1" xfId="0" applyFont="1" applyFill="1" applyBorder="1" applyProtection="1">
      <protection hidden="1"/>
    </xf>
    <xf numFmtId="0" fontId="7" fillId="0" borderId="0" xfId="0" applyFont="1" applyBorder="1" applyProtection="1">
      <protection hidden="1"/>
    </xf>
    <xf numFmtId="164" fontId="7" fillId="0" borderId="0" xfId="0" applyNumberFormat="1" applyFont="1" applyBorder="1" applyProtection="1">
      <protection hidden="1"/>
    </xf>
    <xf numFmtId="164" fontId="17" fillId="0" borderId="0" xfId="0" applyNumberFormat="1" applyFont="1" applyFill="1" applyBorder="1" applyProtection="1">
      <protection hidden="1"/>
    </xf>
    <xf numFmtId="0" fontId="3" fillId="0" borderId="0" xfId="0" applyFont="1" applyBorder="1" applyProtection="1">
      <protection hidden="1"/>
    </xf>
    <xf numFmtId="0" fontId="5" fillId="0" borderId="0" xfId="0" applyFont="1" applyBorder="1" applyProtection="1">
      <protection hidden="1"/>
    </xf>
    <xf numFmtId="0" fontId="0" fillId="0" borderId="0" xfId="0" applyBorder="1" applyProtection="1"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right"/>
      <protection hidden="1"/>
    </xf>
    <xf numFmtId="164" fontId="3" fillId="0" borderId="0" xfId="0" applyNumberFormat="1" applyFont="1" applyBorder="1" applyProtection="1">
      <protection hidden="1"/>
    </xf>
    <xf numFmtId="164" fontId="5" fillId="0" borderId="0" xfId="0" applyNumberFormat="1" applyFont="1" applyBorder="1" applyProtection="1">
      <protection hidden="1"/>
    </xf>
    <xf numFmtId="0" fontId="14" fillId="0" borderId="0" xfId="0" applyFont="1" applyBorder="1" applyProtection="1">
      <protection hidden="1"/>
    </xf>
    <xf numFmtId="0" fontId="15" fillId="0" borderId="0" xfId="0" applyFont="1" applyBorder="1" applyProtection="1">
      <protection hidden="1"/>
    </xf>
    <xf numFmtId="164" fontId="16" fillId="0" borderId="0" xfId="0" applyNumberFormat="1" applyFont="1" applyBorder="1" applyProtection="1">
      <protection hidden="1"/>
    </xf>
    <xf numFmtId="0" fontId="5" fillId="0" borderId="0" xfId="0" applyFont="1" applyBorder="1" applyAlignment="1" applyProtection="1">
      <alignment horizontal="left"/>
      <protection hidden="1"/>
    </xf>
    <xf numFmtId="0" fontId="3" fillId="0" borderId="0" xfId="0" applyFont="1" applyFill="1" applyProtection="1">
      <protection hidden="1"/>
    </xf>
    <xf numFmtId="0" fontId="3" fillId="0" borderId="0" xfId="0" applyFont="1" applyFill="1" applyBorder="1" applyProtection="1">
      <protection hidden="1"/>
    </xf>
    <xf numFmtId="0" fontId="21" fillId="0" borderId="0" xfId="0" applyFont="1" applyBorder="1" applyProtection="1">
      <protection hidden="1"/>
    </xf>
    <xf numFmtId="0" fontId="24" fillId="0" borderId="0" xfId="0" applyFont="1" applyFill="1" applyBorder="1" applyProtection="1">
      <protection hidden="1"/>
    </xf>
    <xf numFmtId="0" fontId="3" fillId="0" borderId="0" xfId="0" applyFont="1" applyProtection="1">
      <protection hidden="1"/>
    </xf>
    <xf numFmtId="169" fontId="22" fillId="0" borderId="0" xfId="0" applyNumberFormat="1" applyFont="1" applyBorder="1" applyAlignment="1" applyProtection="1">
      <alignment horizontal="center"/>
      <protection hidden="1"/>
    </xf>
    <xf numFmtId="169" fontId="25" fillId="0" borderId="0" xfId="0" applyNumberFormat="1" applyFont="1" applyBorder="1" applyProtection="1">
      <protection hidden="1"/>
    </xf>
    <xf numFmtId="0" fontId="3" fillId="0" borderId="0" xfId="0" applyFont="1" applyBorder="1" applyAlignment="1" applyProtection="1">
      <alignment horizontal="centerContinuous"/>
      <protection hidden="1"/>
    </xf>
    <xf numFmtId="0" fontId="6" fillId="0" borderId="0" xfId="0" applyFont="1" applyBorder="1" applyProtection="1">
      <protection hidden="1"/>
    </xf>
    <xf numFmtId="9" fontId="3" fillId="0" borderId="0" xfId="0" applyNumberFormat="1" applyFont="1" applyBorder="1" applyProtection="1">
      <protection hidden="1"/>
    </xf>
    <xf numFmtId="9" fontId="11" fillId="0" borderId="0" xfId="0" applyNumberFormat="1" applyFont="1" applyBorder="1" applyAlignment="1" applyProtection="1">
      <alignment horizontal="left"/>
      <protection hidden="1"/>
    </xf>
    <xf numFmtId="9" fontId="12" fillId="0" borderId="0" xfId="0" applyNumberFormat="1" applyFont="1" applyBorder="1" applyAlignment="1" applyProtection="1">
      <alignment horizontal="left"/>
      <protection hidden="1"/>
    </xf>
    <xf numFmtId="0" fontId="28" fillId="0" borderId="0" xfId="0" applyFont="1" applyFill="1" applyBorder="1" applyProtection="1">
      <protection hidden="1"/>
    </xf>
    <xf numFmtId="0" fontId="7" fillId="0" borderId="0" xfId="0" applyFont="1" applyBorder="1" applyAlignment="1" applyProtection="1">
      <alignment horizontal="left"/>
      <protection hidden="1"/>
    </xf>
    <xf numFmtId="0" fontId="28" fillId="0" borderId="0" xfId="0" applyFont="1" applyBorder="1" applyAlignment="1" applyProtection="1">
      <alignment horizontal="left"/>
      <protection hidden="1"/>
    </xf>
    <xf numFmtId="164" fontId="7" fillId="2" borderId="1" xfId="0" applyNumberFormat="1" applyFont="1" applyFill="1" applyBorder="1" applyProtection="1">
      <protection hidden="1"/>
    </xf>
    <xf numFmtId="0" fontId="3" fillId="0" borderId="0" xfId="0" applyFont="1" applyFill="1" applyBorder="1" applyAlignment="1" applyProtection="1">
      <alignment horizontal="left"/>
      <protection hidden="1"/>
    </xf>
    <xf numFmtId="0" fontId="15" fillId="0" borderId="0" xfId="0" applyFont="1" applyFill="1" applyProtection="1">
      <protection hidden="1"/>
    </xf>
    <xf numFmtId="0" fontId="15" fillId="0" borderId="0" xfId="0" applyFont="1" applyFill="1" applyBorder="1" applyAlignment="1" applyProtection="1">
      <alignment horizontal="left"/>
      <protection hidden="1"/>
    </xf>
    <xf numFmtId="9" fontId="11" fillId="0" borderId="0" xfId="0" applyNumberFormat="1" applyFont="1" applyBorder="1" applyAlignment="1" applyProtection="1">
      <alignment horizontal="right"/>
      <protection hidden="1"/>
    </xf>
    <xf numFmtId="9" fontId="5" fillId="0" borderId="0" xfId="0" applyNumberFormat="1" applyFont="1" applyBorder="1" applyAlignment="1" applyProtection="1">
      <alignment horizontal="left"/>
      <protection hidden="1"/>
    </xf>
    <xf numFmtId="164" fontId="5" fillId="0" borderId="0" xfId="0" applyNumberFormat="1" applyFont="1" applyBorder="1" applyAlignment="1" applyProtection="1">
      <alignment horizontal="left"/>
      <protection hidden="1"/>
    </xf>
    <xf numFmtId="14" fontId="15" fillId="0" borderId="0" xfId="0" applyNumberFormat="1" applyFont="1" applyFill="1" applyBorder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left"/>
      <protection hidden="1"/>
    </xf>
    <xf numFmtId="164" fontId="3" fillId="0" borderId="0" xfId="0" applyNumberFormat="1" applyFont="1" applyBorder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20" fillId="0" borderId="0" xfId="0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protection hidden="1"/>
    </xf>
    <xf numFmtId="164" fontId="3" fillId="0" borderId="0" xfId="0" applyNumberFormat="1" applyFont="1" applyBorder="1" applyAlignment="1" applyProtection="1">
      <protection hidden="1"/>
    </xf>
    <xf numFmtId="0" fontId="5" fillId="0" borderId="0" xfId="0" applyFont="1" applyBorder="1" applyAlignment="1" applyProtection="1">
      <protection hidden="1"/>
    </xf>
    <xf numFmtId="164" fontId="15" fillId="0" borderId="0" xfId="0" applyNumberFormat="1" applyFont="1" applyBorder="1" applyProtection="1">
      <protection hidden="1"/>
    </xf>
    <xf numFmtId="0" fontId="23" fillId="0" borderId="0" xfId="0" applyFont="1" applyAlignment="1" applyProtection="1">
      <protection hidden="1"/>
    </xf>
    <xf numFmtId="0" fontId="0" fillId="0" borderId="0" xfId="0" applyAlignment="1" applyProtection="1">
      <protection hidden="1"/>
    </xf>
    <xf numFmtId="0" fontId="23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3" fillId="0" borderId="0" xfId="0" applyFont="1" applyAlignment="1" applyProtection="1">
      <protection hidden="1"/>
    </xf>
    <xf numFmtId="164" fontId="3" fillId="0" borderId="0" xfId="0" applyNumberFormat="1" applyFont="1" applyBorder="1" applyAlignment="1" applyProtection="1">
      <alignment horizontal="center"/>
      <protection hidden="1"/>
    </xf>
    <xf numFmtId="164" fontId="5" fillId="0" borderId="0" xfId="0" applyNumberFormat="1" applyFont="1" applyBorder="1" applyAlignment="1" applyProtection="1">
      <protection hidden="1"/>
    </xf>
    <xf numFmtId="13" fontId="5" fillId="0" borderId="2" xfId="0" applyNumberFormat="1" applyFont="1" applyBorder="1" applyAlignment="1" applyProtection="1">
      <alignment horizontal="left"/>
      <protection hidden="1"/>
    </xf>
    <xf numFmtId="9" fontId="11" fillId="0" borderId="2" xfId="0" applyNumberFormat="1" applyFont="1" applyBorder="1" applyAlignment="1" applyProtection="1">
      <alignment horizontal="left"/>
      <protection hidden="1"/>
    </xf>
    <xf numFmtId="0" fontId="15" fillId="0" borderId="2" xfId="0" applyFont="1" applyBorder="1" applyProtection="1">
      <protection hidden="1"/>
    </xf>
    <xf numFmtId="164" fontId="3" fillId="0" borderId="0" xfId="0" applyNumberFormat="1" applyFont="1" applyBorder="1" applyAlignment="1" applyProtection="1">
      <alignment horizontal="right"/>
      <protection hidden="1"/>
    </xf>
    <xf numFmtId="0" fontId="3" fillId="0" borderId="0" xfId="0" applyFont="1" applyBorder="1" applyAlignment="1" applyProtection="1">
      <alignment horizontal="right"/>
      <protection hidden="1"/>
    </xf>
    <xf numFmtId="169" fontId="5" fillId="0" borderId="0" xfId="0" applyNumberFormat="1" applyFont="1" applyBorder="1" applyProtection="1">
      <protection hidden="1"/>
    </xf>
    <xf numFmtId="1" fontId="3" fillId="0" borderId="0" xfId="0" applyNumberFormat="1" applyFont="1" applyBorder="1" applyProtection="1">
      <protection hidden="1"/>
    </xf>
    <xf numFmtId="0" fontId="3" fillId="0" borderId="0" xfId="0" applyFont="1" applyFill="1" applyBorder="1" applyAlignment="1" applyProtection="1">
      <alignment horizontal="centerContinuous"/>
      <protection hidden="1"/>
    </xf>
    <xf numFmtId="14" fontId="5" fillId="0" borderId="0" xfId="0" applyNumberFormat="1" applyFont="1" applyBorder="1" applyProtection="1">
      <protection hidden="1"/>
    </xf>
    <xf numFmtId="164" fontId="11" fillId="0" borderId="0" xfId="0" applyNumberFormat="1" applyFont="1" applyBorder="1" applyAlignment="1" applyProtection="1">
      <alignment horizontal="left"/>
      <protection hidden="1"/>
    </xf>
    <xf numFmtId="164" fontId="3" fillId="0" borderId="0" xfId="0" applyNumberFormat="1" applyFont="1" applyProtection="1">
      <protection hidden="1"/>
    </xf>
    <xf numFmtId="164" fontId="3" fillId="0" borderId="0" xfId="0" applyNumberFormat="1" applyFont="1" applyBorder="1" applyAlignment="1" applyProtection="1">
      <alignment horizontal="centerContinuous"/>
      <protection hidden="1"/>
    </xf>
    <xf numFmtId="0" fontId="0" fillId="0" borderId="0" xfId="0" applyProtection="1">
      <protection hidden="1"/>
    </xf>
    <xf numFmtId="164" fontId="0" fillId="0" borderId="0" xfId="0" applyNumberFormat="1" applyProtection="1">
      <protection hidden="1"/>
    </xf>
    <xf numFmtId="0" fontId="3" fillId="0" borderId="3" xfId="0" applyFont="1" applyBorder="1" applyProtection="1">
      <protection hidden="1"/>
    </xf>
    <xf numFmtId="164" fontId="30" fillId="0" borderId="0" xfId="0" applyNumberFormat="1" applyFont="1" applyFill="1" applyBorder="1" applyAlignment="1" applyProtection="1">
      <alignment horizontal="left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31" fillId="0" borderId="0" xfId="0" applyFont="1" applyBorder="1" applyProtection="1">
      <protection hidden="1"/>
    </xf>
    <xf numFmtId="0" fontId="15" fillId="0" borderId="4" xfId="0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15" fillId="3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164" fontId="35" fillId="0" borderId="0" xfId="0" applyNumberFormat="1" applyFont="1" applyBorder="1" applyProtection="1">
      <protection hidden="1"/>
    </xf>
    <xf numFmtId="0" fontId="35" fillId="4" borderId="0" xfId="0" applyFont="1" applyFill="1" applyProtection="1">
      <protection hidden="1"/>
    </xf>
    <xf numFmtId="0" fontId="35" fillId="4" borderId="0" xfId="0" applyFont="1" applyFill="1" applyBorder="1" applyAlignment="1" applyProtection="1">
      <alignment horizontal="centerContinuous"/>
      <protection hidden="1"/>
    </xf>
    <xf numFmtId="0" fontId="35" fillId="4" borderId="0" xfId="0" applyFont="1" applyFill="1" applyBorder="1" applyProtection="1">
      <protection hidden="1"/>
    </xf>
    <xf numFmtId="0" fontId="33" fillId="4" borderId="0" xfId="0" applyFont="1" applyFill="1" applyProtection="1">
      <protection hidden="1"/>
    </xf>
    <xf numFmtId="164" fontId="35" fillId="4" borderId="0" xfId="0" applyNumberFormat="1" applyFont="1" applyFill="1" applyBorder="1" applyProtection="1">
      <protection hidden="1"/>
    </xf>
    <xf numFmtId="164" fontId="3" fillId="4" borderId="0" xfId="0" applyNumberFormat="1" applyFont="1" applyFill="1" applyBorder="1" applyProtection="1">
      <protection hidden="1"/>
    </xf>
    <xf numFmtId="164" fontId="34" fillId="0" borderId="0" xfId="0" applyNumberFormat="1" applyFont="1" applyFill="1" applyBorder="1" applyProtection="1">
      <protection hidden="1"/>
    </xf>
    <xf numFmtId="0" fontId="32" fillId="0" borderId="0" xfId="0" applyFont="1" applyFill="1" applyProtection="1">
      <protection hidden="1"/>
    </xf>
    <xf numFmtId="0" fontId="3" fillId="5" borderId="5" xfId="0" applyFont="1" applyFill="1" applyBorder="1" applyProtection="1">
      <protection hidden="1"/>
    </xf>
    <xf numFmtId="0" fontId="15" fillId="5" borderId="6" xfId="0" applyFont="1" applyFill="1" applyBorder="1" applyProtection="1">
      <protection hidden="1"/>
    </xf>
    <xf numFmtId="0" fontId="3" fillId="5" borderId="0" xfId="0" applyFont="1" applyFill="1" applyBorder="1" applyProtection="1">
      <protection hidden="1"/>
    </xf>
    <xf numFmtId="0" fontId="3" fillId="5" borderId="7" xfId="0" applyFont="1" applyFill="1" applyBorder="1" applyProtection="1">
      <protection hidden="1"/>
    </xf>
    <xf numFmtId="0" fontId="3" fillId="5" borderId="8" xfId="0" applyFont="1" applyFill="1" applyBorder="1" applyProtection="1">
      <protection hidden="1"/>
    </xf>
    <xf numFmtId="164" fontId="3" fillId="5" borderId="7" xfId="0" applyNumberFormat="1" applyFont="1" applyFill="1" applyBorder="1" applyProtection="1">
      <protection hidden="1"/>
    </xf>
    <xf numFmtId="164" fontId="3" fillId="5" borderId="9" xfId="0" applyNumberFormat="1" applyFont="1" applyFill="1" applyBorder="1" applyProtection="1">
      <protection hidden="1"/>
    </xf>
    <xf numFmtId="0" fontId="3" fillId="5" borderId="10" xfId="0" applyFont="1" applyFill="1" applyBorder="1" applyProtection="1">
      <protection hidden="1"/>
    </xf>
    <xf numFmtId="0" fontId="3" fillId="5" borderId="11" xfId="0" applyFont="1" applyFill="1" applyBorder="1" applyProtection="1">
      <protection hidden="1"/>
    </xf>
    <xf numFmtId="0" fontId="31" fillId="5" borderId="6" xfId="0" applyFont="1" applyFill="1" applyBorder="1" applyProtection="1">
      <protection hidden="1"/>
    </xf>
    <xf numFmtId="0" fontId="36" fillId="5" borderId="6" xfId="0" applyFont="1" applyFill="1" applyBorder="1" applyProtection="1">
      <protection hidden="1"/>
    </xf>
    <xf numFmtId="0" fontId="36" fillId="5" borderId="12" xfId="0" applyFont="1" applyFill="1" applyBorder="1" applyProtection="1">
      <protection hidden="1"/>
    </xf>
    <xf numFmtId="0" fontId="29" fillId="0" borderId="0" xfId="0" applyFont="1" applyBorder="1" applyProtection="1">
      <protection hidden="1"/>
    </xf>
    <xf numFmtId="169" fontId="12" fillId="0" borderId="13" xfId="0" applyNumberFormat="1" applyFont="1" applyBorder="1" applyAlignment="1" applyProtection="1">
      <alignment horizontal="left"/>
      <protection hidden="1"/>
    </xf>
    <xf numFmtId="169" fontId="26" fillId="0" borderId="13" xfId="0" applyNumberFormat="1" applyFont="1" applyBorder="1" applyAlignment="1" applyProtection="1">
      <alignment horizontal="left"/>
      <protection hidden="1"/>
    </xf>
    <xf numFmtId="164" fontId="0" fillId="0" borderId="0" xfId="0" applyNumberFormat="1" applyAlignment="1" applyProtection="1">
      <protection hidden="1"/>
    </xf>
    <xf numFmtId="171" fontId="38" fillId="0" borderId="0" xfId="0" applyNumberFormat="1" applyFont="1" applyBorder="1" applyAlignment="1" applyProtection="1">
      <alignment horizontal="center"/>
      <protection hidden="1"/>
    </xf>
    <xf numFmtId="171" fontId="5" fillId="0" borderId="0" xfId="0" applyNumberFormat="1" applyFont="1" applyBorder="1" applyAlignment="1" applyProtection="1">
      <alignment horizontal="center"/>
      <protection hidden="1"/>
    </xf>
    <xf numFmtId="171" fontId="29" fillId="0" borderId="0" xfId="0" applyNumberFormat="1" applyFont="1" applyBorder="1" applyAlignment="1" applyProtection="1">
      <alignment horizontal="center"/>
      <protection hidden="1"/>
    </xf>
    <xf numFmtId="0" fontId="42" fillId="0" borderId="0" xfId="0" applyFont="1" applyAlignment="1" applyProtection="1">
      <protection hidden="1"/>
    </xf>
    <xf numFmtId="0" fontId="37" fillId="0" borderId="0" xfId="0" applyFont="1" applyAlignment="1" applyProtection="1">
      <alignment horizontal="left"/>
      <protection hidden="1"/>
    </xf>
    <xf numFmtId="169" fontId="12" fillId="0" borderId="0" xfId="0" applyNumberFormat="1" applyFont="1" applyBorder="1" applyAlignment="1" applyProtection="1">
      <alignment horizontal="left"/>
      <protection hidden="1"/>
    </xf>
    <xf numFmtId="169" fontId="26" fillId="0" borderId="0" xfId="0" applyNumberFormat="1" applyFont="1" applyBorder="1" applyAlignment="1" applyProtection="1">
      <alignment horizontal="left"/>
      <protection hidden="1"/>
    </xf>
    <xf numFmtId="0" fontId="0" fillId="0" borderId="0" xfId="0" applyBorder="1" applyAlignment="1" applyProtection="1">
      <protection hidden="1"/>
    </xf>
    <xf numFmtId="164" fontId="0" fillId="0" borderId="0" xfId="0" applyNumberFormat="1" applyBorder="1" applyAlignment="1" applyProtection="1">
      <protection hidden="1"/>
    </xf>
    <xf numFmtId="164" fontId="44" fillId="0" borderId="0" xfId="0" applyNumberFormat="1" applyFont="1" applyAlignment="1" applyProtection="1">
      <protection hidden="1"/>
    </xf>
    <xf numFmtId="9" fontId="26" fillId="0" borderId="0" xfId="0" applyNumberFormat="1" applyFont="1" applyBorder="1" applyAlignment="1" applyProtection="1">
      <alignment horizontal="left"/>
      <protection hidden="1"/>
    </xf>
    <xf numFmtId="0" fontId="27" fillId="0" borderId="0" xfId="0" applyFont="1" applyBorder="1" applyProtection="1">
      <protection hidden="1"/>
    </xf>
    <xf numFmtId="164" fontId="0" fillId="0" borderId="0" xfId="0" applyNumberFormat="1" applyBorder="1" applyProtection="1">
      <protection hidden="1"/>
    </xf>
    <xf numFmtId="0" fontId="6" fillId="0" borderId="14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0" fillId="0" borderId="4" xfId="0" applyBorder="1" applyProtection="1">
      <protection hidden="1"/>
    </xf>
    <xf numFmtId="164" fontId="0" fillId="0" borderId="4" xfId="0" applyNumberFormat="1" applyBorder="1" applyProtection="1">
      <protection hidden="1"/>
    </xf>
    <xf numFmtId="0" fontId="0" fillId="0" borderId="15" xfId="0" applyBorder="1" applyProtection="1">
      <protection hidden="1"/>
    </xf>
    <xf numFmtId="0" fontId="1" fillId="0" borderId="3" xfId="0" applyFont="1" applyBorder="1" applyProtection="1">
      <protection hidden="1"/>
    </xf>
    <xf numFmtId="164" fontId="0" fillId="0" borderId="1" xfId="0" applyNumberFormat="1" applyBorder="1" applyProtection="1">
      <protection hidden="1"/>
    </xf>
    <xf numFmtId="0" fontId="6" fillId="0" borderId="16" xfId="0" applyFont="1" applyBorder="1" applyProtection="1">
      <protection hidden="1"/>
    </xf>
    <xf numFmtId="9" fontId="3" fillId="0" borderId="17" xfId="0" applyNumberFormat="1" applyFont="1" applyBorder="1" applyProtection="1">
      <protection hidden="1"/>
    </xf>
    <xf numFmtId="9" fontId="3" fillId="0" borderId="18" xfId="0" applyNumberFormat="1" applyFont="1" applyBorder="1" applyProtection="1">
      <protection hidden="1"/>
    </xf>
    <xf numFmtId="0" fontId="3" fillId="0" borderId="15" xfId="0" applyFont="1" applyBorder="1" applyProtection="1">
      <protection hidden="1"/>
    </xf>
    <xf numFmtId="171" fontId="3" fillId="0" borderId="17" xfId="0" applyNumberFormat="1" applyFont="1" applyBorder="1" applyProtection="1">
      <protection hidden="1"/>
    </xf>
    <xf numFmtId="9" fontId="12" fillId="0" borderId="16" xfId="0" applyNumberFormat="1" applyFont="1" applyBorder="1" applyAlignment="1" applyProtection="1">
      <alignment horizontal="left"/>
      <protection hidden="1"/>
    </xf>
    <xf numFmtId="0" fontId="5" fillId="0" borderId="17" xfId="0" applyFont="1" applyBorder="1" applyAlignment="1" applyProtection="1">
      <alignment horizontal="center"/>
      <protection hidden="1"/>
    </xf>
    <xf numFmtId="0" fontId="3" fillId="0" borderId="17" xfId="0" applyFont="1" applyBorder="1" applyProtection="1">
      <protection hidden="1"/>
    </xf>
    <xf numFmtId="9" fontId="11" fillId="0" borderId="17" xfId="0" applyNumberFormat="1" applyFont="1" applyBorder="1" applyAlignment="1" applyProtection="1">
      <alignment horizontal="left"/>
      <protection hidden="1"/>
    </xf>
    <xf numFmtId="9" fontId="12" fillId="0" borderId="17" xfId="0" applyNumberFormat="1" applyFont="1" applyBorder="1" applyAlignment="1" applyProtection="1">
      <alignment horizontal="left"/>
      <protection hidden="1"/>
    </xf>
    <xf numFmtId="9" fontId="26" fillId="0" borderId="17" xfId="0" applyNumberFormat="1" applyFont="1" applyBorder="1" applyAlignment="1" applyProtection="1">
      <alignment horizontal="left"/>
      <protection hidden="1"/>
    </xf>
    <xf numFmtId="0" fontId="29" fillId="0" borderId="17" xfId="0" applyFont="1" applyBorder="1" applyProtection="1">
      <protection hidden="1"/>
    </xf>
    <xf numFmtId="0" fontId="27" fillId="0" borderId="17" xfId="0" applyFont="1" applyBorder="1" applyProtection="1">
      <protection hidden="1"/>
    </xf>
    <xf numFmtId="9" fontId="26" fillId="0" borderId="18" xfId="0" applyNumberFormat="1" applyFont="1" applyBorder="1" applyAlignment="1" applyProtection="1">
      <alignment horizontal="left"/>
      <protection hidden="1"/>
    </xf>
    <xf numFmtId="9" fontId="3" fillId="0" borderId="4" xfId="0" applyNumberFormat="1" applyFont="1" applyBorder="1" applyProtection="1">
      <protection hidden="1"/>
    </xf>
    <xf numFmtId="164" fontId="0" fillId="0" borderId="15" xfId="0" applyNumberFormat="1" applyBorder="1" applyProtection="1">
      <protection hidden="1"/>
    </xf>
    <xf numFmtId="0" fontId="3" fillId="0" borderId="19" xfId="0" applyFont="1" applyBorder="1" applyProtection="1">
      <protection hidden="1"/>
    </xf>
    <xf numFmtId="0" fontId="3" fillId="0" borderId="20" xfId="0" applyFont="1" applyBorder="1" applyProtection="1">
      <protection hidden="1"/>
    </xf>
    <xf numFmtId="9" fontId="3" fillId="0" borderId="21" xfId="0" applyNumberFormat="1" applyFont="1" applyBorder="1" applyProtection="1">
      <protection hidden="1"/>
    </xf>
    <xf numFmtId="0" fontId="1" fillId="0" borderId="14" xfId="0" applyFont="1" applyBorder="1" applyProtection="1">
      <protection hidden="1"/>
    </xf>
    <xf numFmtId="171" fontId="38" fillId="6" borderId="13" xfId="0" applyNumberFormat="1" applyFont="1" applyFill="1" applyBorder="1" applyAlignment="1" applyProtection="1">
      <alignment horizontal="center"/>
      <protection hidden="1"/>
    </xf>
    <xf numFmtId="171" fontId="38" fillId="6" borderId="10" xfId="0" applyNumberFormat="1" applyFont="1" applyFill="1" applyBorder="1" applyAlignment="1" applyProtection="1">
      <alignment horizontal="center"/>
      <protection hidden="1"/>
    </xf>
    <xf numFmtId="169" fontId="44" fillId="6" borderId="11" xfId="0" applyNumberFormat="1" applyFont="1" applyFill="1" applyBorder="1" applyAlignment="1" applyProtection="1">
      <protection hidden="1"/>
    </xf>
    <xf numFmtId="171" fontId="3" fillId="0" borderId="18" xfId="0" applyNumberFormat="1" applyFont="1" applyBorder="1" applyProtection="1">
      <protection hidden="1"/>
    </xf>
    <xf numFmtId="9" fontId="38" fillId="0" borderId="0" xfId="0" applyNumberFormat="1" applyFont="1" applyBorder="1" applyAlignment="1" applyProtection="1">
      <alignment horizontal="center"/>
      <protection hidden="1"/>
    </xf>
    <xf numFmtId="0" fontId="20" fillId="0" borderId="3" xfId="0" applyFont="1" applyBorder="1" applyProtection="1">
      <protection hidden="1"/>
    </xf>
    <xf numFmtId="0" fontId="20" fillId="0" borderId="0" xfId="0" applyFont="1" applyBorder="1" applyProtection="1">
      <protection hidden="1"/>
    </xf>
    <xf numFmtId="0" fontId="30" fillId="0" borderId="14" xfId="0" applyFont="1" applyBorder="1" applyProtection="1">
      <protection hidden="1"/>
    </xf>
    <xf numFmtId="0" fontId="30" fillId="0" borderId="4" xfId="0" applyFont="1" applyBorder="1" applyProtection="1">
      <protection hidden="1"/>
    </xf>
    <xf numFmtId="0" fontId="30" fillId="0" borderId="0" xfId="0" applyFont="1" applyBorder="1" applyProtection="1">
      <protection hidden="1"/>
    </xf>
    <xf numFmtId="14" fontId="20" fillId="0" borderId="0" xfId="0" applyNumberFormat="1" applyFont="1" applyBorder="1" applyProtection="1">
      <protection hidden="1"/>
    </xf>
    <xf numFmtId="14" fontId="20" fillId="0" borderId="0" xfId="0" applyNumberFormat="1" applyFont="1" applyBorder="1" applyAlignment="1" applyProtection="1">
      <alignment horizontal="center"/>
      <protection hidden="1"/>
    </xf>
    <xf numFmtId="0" fontId="20" fillId="0" borderId="0" xfId="0" applyFont="1" applyBorder="1" applyAlignment="1" applyProtection="1">
      <protection hidden="1"/>
    </xf>
    <xf numFmtId="164" fontId="20" fillId="0" borderId="1" xfId="0" applyNumberFormat="1" applyFont="1" applyBorder="1" applyProtection="1">
      <protection hidden="1"/>
    </xf>
    <xf numFmtId="1" fontId="20" fillId="0" borderId="1" xfId="0" applyNumberFormat="1" applyFont="1" applyBorder="1" applyProtection="1">
      <protection hidden="1"/>
    </xf>
    <xf numFmtId="164" fontId="20" fillId="0" borderId="0" xfId="0" applyNumberFormat="1" applyFont="1" applyBorder="1" applyAlignment="1" applyProtection="1">
      <alignment horizontal="center"/>
      <protection hidden="1"/>
    </xf>
    <xf numFmtId="0" fontId="20" fillId="0" borderId="17" xfId="0" applyFont="1" applyBorder="1" applyAlignment="1" applyProtection="1">
      <protection hidden="1"/>
    </xf>
    <xf numFmtId="0" fontId="20" fillId="0" borderId="17" xfId="0" applyFont="1" applyBorder="1" applyAlignment="1" applyProtection="1">
      <alignment horizontal="center"/>
      <protection hidden="1"/>
    </xf>
    <xf numFmtId="0" fontId="20" fillId="0" borderId="17" xfId="0" applyFont="1" applyBorder="1" applyProtection="1">
      <protection hidden="1"/>
    </xf>
    <xf numFmtId="14" fontId="20" fillId="0" borderId="17" xfId="0" applyNumberFormat="1" applyFont="1" applyBorder="1" applyProtection="1">
      <protection hidden="1"/>
    </xf>
    <xf numFmtId="164" fontId="20" fillId="0" borderId="17" xfId="0" applyNumberFormat="1" applyFont="1" applyBorder="1" applyAlignment="1" applyProtection="1">
      <alignment horizontal="center"/>
      <protection hidden="1"/>
    </xf>
    <xf numFmtId="164" fontId="20" fillId="0" borderId="18" xfId="0" applyNumberFormat="1" applyFont="1" applyBorder="1" applyProtection="1">
      <protection hidden="1"/>
    </xf>
    <xf numFmtId="164" fontId="52" fillId="0" borderId="0" xfId="0" applyNumberFormat="1" applyFont="1" applyBorder="1" applyProtection="1">
      <protection hidden="1"/>
    </xf>
    <xf numFmtId="164" fontId="17" fillId="0" borderId="0" xfId="0" applyNumberFormat="1" applyFont="1" applyBorder="1" applyProtection="1">
      <protection hidden="1"/>
    </xf>
    <xf numFmtId="0" fontId="30" fillId="0" borderId="3" xfId="0" applyFont="1" applyBorder="1" applyProtection="1">
      <protection hidden="1"/>
    </xf>
    <xf numFmtId="169" fontId="20" fillId="0" borderId="3" xfId="0" applyNumberFormat="1" applyFont="1" applyBorder="1" applyAlignment="1" applyProtection="1">
      <alignment horizontal="center"/>
      <protection hidden="1"/>
    </xf>
    <xf numFmtId="169" fontId="20" fillId="0" borderId="14" xfId="0" applyNumberFormat="1" applyFont="1" applyBorder="1" applyAlignment="1" applyProtection="1">
      <alignment horizontal="center"/>
      <protection hidden="1"/>
    </xf>
    <xf numFmtId="164" fontId="20" fillId="0" borderId="22" xfId="0" applyNumberFormat="1" applyFont="1" applyBorder="1" applyProtection="1">
      <protection hidden="1"/>
    </xf>
    <xf numFmtId="14" fontId="20" fillId="0" borderId="23" xfId="0" applyNumberFormat="1" applyFont="1" applyBorder="1" applyAlignment="1" applyProtection="1">
      <alignment horizontal="center"/>
      <protection hidden="1"/>
    </xf>
    <xf numFmtId="164" fontId="20" fillId="0" borderId="24" xfId="0" applyNumberFormat="1" applyFont="1" applyBorder="1" applyAlignment="1" applyProtection="1">
      <alignment horizontal="center"/>
      <protection hidden="1"/>
    </xf>
    <xf numFmtId="169" fontId="54" fillId="0" borderId="3" xfId="0" applyNumberFormat="1" applyFont="1" applyFill="1" applyBorder="1" applyAlignment="1" applyProtection="1">
      <alignment horizontal="center"/>
      <protection hidden="1"/>
    </xf>
    <xf numFmtId="169" fontId="20" fillId="0" borderId="25" xfId="0" applyNumberFormat="1" applyFont="1" applyBorder="1" applyAlignment="1" applyProtection="1">
      <alignment horizontal="center"/>
      <protection hidden="1"/>
    </xf>
    <xf numFmtId="169" fontId="54" fillId="0" borderId="25" xfId="0" applyNumberFormat="1" applyFont="1" applyFill="1" applyBorder="1" applyAlignment="1" applyProtection="1">
      <alignment horizontal="center"/>
      <protection hidden="1"/>
    </xf>
    <xf numFmtId="0" fontId="47" fillId="0" borderId="14" xfId="0" applyFont="1" applyBorder="1" applyProtection="1">
      <protection hidden="1"/>
    </xf>
    <xf numFmtId="164" fontId="56" fillId="0" borderId="0" xfId="0" applyNumberFormat="1" applyFont="1" applyProtection="1">
      <protection hidden="1"/>
    </xf>
    <xf numFmtId="164" fontId="56" fillId="0" borderId="0" xfId="0" applyNumberFormat="1" applyFont="1" applyBorder="1" applyAlignment="1" applyProtection="1">
      <alignment horizontal="center"/>
      <protection hidden="1"/>
    </xf>
    <xf numFmtId="0" fontId="20" fillId="0" borderId="4" xfId="0" applyFont="1" applyBorder="1" applyProtection="1">
      <protection hidden="1"/>
    </xf>
    <xf numFmtId="0" fontId="47" fillId="0" borderId="3" xfId="0" applyFont="1" applyBorder="1" applyProtection="1">
      <protection hidden="1"/>
    </xf>
    <xf numFmtId="0" fontId="47" fillId="0" borderId="0" xfId="0" applyFont="1" applyBorder="1" applyAlignment="1" applyProtection="1">
      <alignment horizontal="center"/>
      <protection hidden="1"/>
    </xf>
    <xf numFmtId="164" fontId="30" fillId="0" borderId="0" xfId="0" applyNumberFormat="1" applyFont="1" applyProtection="1">
      <protection hidden="1"/>
    </xf>
    <xf numFmtId="165" fontId="30" fillId="0" borderId="0" xfId="0" applyNumberFormat="1" applyFont="1" applyFill="1" applyBorder="1" applyProtection="1">
      <protection hidden="1"/>
    </xf>
    <xf numFmtId="0" fontId="20" fillId="0" borderId="0" xfId="0" applyFont="1" applyFill="1" applyBorder="1" applyProtection="1">
      <protection hidden="1"/>
    </xf>
    <xf numFmtId="164" fontId="20" fillId="0" borderId="0" xfId="0" applyNumberFormat="1" applyFont="1" applyFill="1" applyBorder="1" applyProtection="1">
      <protection hidden="1"/>
    </xf>
    <xf numFmtId="164" fontId="50" fillId="0" borderId="0" xfId="0" applyNumberFormat="1" applyFont="1" applyFill="1" applyBorder="1" applyProtection="1">
      <protection hidden="1"/>
    </xf>
    <xf numFmtId="0" fontId="20" fillId="0" borderId="1" xfId="0" applyFont="1" applyFill="1" applyBorder="1" applyProtection="1">
      <protection hidden="1"/>
    </xf>
    <xf numFmtId="164" fontId="30" fillId="0" borderId="0" xfId="0" applyNumberFormat="1" applyFont="1" applyBorder="1" applyAlignment="1" applyProtection="1">
      <alignment horizontal="center"/>
      <protection hidden="1"/>
    </xf>
    <xf numFmtId="0" fontId="30" fillId="7" borderId="26" xfId="0" applyFont="1" applyFill="1" applyBorder="1" applyProtection="1">
      <protection hidden="1"/>
    </xf>
    <xf numFmtId="0" fontId="20" fillId="7" borderId="13" xfId="0" applyFont="1" applyFill="1" applyBorder="1" applyAlignment="1" applyProtection="1">
      <alignment horizontal="center"/>
      <protection hidden="1"/>
    </xf>
    <xf numFmtId="0" fontId="20" fillId="7" borderId="13" xfId="0" applyFont="1" applyFill="1" applyBorder="1" applyProtection="1">
      <protection hidden="1"/>
    </xf>
    <xf numFmtId="164" fontId="20" fillId="7" borderId="13" xfId="0" applyNumberFormat="1" applyFont="1" applyFill="1" applyBorder="1" applyProtection="1">
      <protection hidden="1"/>
    </xf>
    <xf numFmtId="0" fontId="30" fillId="7" borderId="13" xfId="0" applyFont="1" applyFill="1" applyBorder="1" applyProtection="1">
      <protection hidden="1"/>
    </xf>
    <xf numFmtId="164" fontId="50" fillId="7" borderId="13" xfId="0" applyNumberFormat="1" applyFont="1" applyFill="1" applyBorder="1" applyProtection="1">
      <protection hidden="1"/>
    </xf>
    <xf numFmtId="0" fontId="20" fillId="7" borderId="27" xfId="0" applyFont="1" applyFill="1" applyBorder="1" applyProtection="1">
      <protection hidden="1"/>
    </xf>
    <xf numFmtId="0" fontId="30" fillId="7" borderId="7" xfId="0" applyFont="1" applyFill="1" applyBorder="1" applyProtection="1">
      <protection hidden="1"/>
    </xf>
    <xf numFmtId="0" fontId="20" fillId="7" borderId="0" xfId="0" applyFont="1" applyFill="1" applyBorder="1" applyAlignment="1" applyProtection="1">
      <alignment horizontal="center"/>
      <protection hidden="1"/>
    </xf>
    <xf numFmtId="0" fontId="20" fillId="7" borderId="0" xfId="0" applyFont="1" applyFill="1" applyBorder="1" applyProtection="1">
      <protection hidden="1"/>
    </xf>
    <xf numFmtId="0" fontId="30" fillId="7" borderId="0" xfId="0" applyFont="1" applyFill="1" applyBorder="1" applyProtection="1">
      <protection hidden="1"/>
    </xf>
    <xf numFmtId="164" fontId="20" fillId="7" borderId="0" xfId="0" applyNumberFormat="1" applyFont="1" applyFill="1" applyBorder="1" applyProtection="1">
      <protection hidden="1"/>
    </xf>
    <xf numFmtId="164" fontId="50" fillId="7" borderId="0" xfId="0" applyNumberFormat="1" applyFont="1" applyFill="1" applyBorder="1" applyProtection="1">
      <protection hidden="1"/>
    </xf>
    <xf numFmtId="0" fontId="20" fillId="7" borderId="8" xfId="0" applyFont="1" applyFill="1" applyBorder="1" applyProtection="1">
      <protection hidden="1"/>
    </xf>
    <xf numFmtId="0" fontId="30" fillId="7" borderId="9" xfId="0" applyFont="1" applyFill="1" applyBorder="1" applyProtection="1">
      <protection hidden="1"/>
    </xf>
    <xf numFmtId="0" fontId="20" fillId="7" borderId="10" xfId="0" applyFont="1" applyFill="1" applyBorder="1" applyAlignment="1" applyProtection="1">
      <alignment horizontal="center"/>
      <protection hidden="1"/>
    </xf>
    <xf numFmtId="0" fontId="20" fillId="7" borderId="10" xfId="0" applyFont="1" applyFill="1" applyBorder="1" applyProtection="1">
      <protection hidden="1"/>
    </xf>
    <xf numFmtId="164" fontId="20" fillId="7" borderId="10" xfId="0" applyNumberFormat="1" applyFont="1" applyFill="1" applyBorder="1" applyProtection="1">
      <protection hidden="1"/>
    </xf>
    <xf numFmtId="0" fontId="20" fillId="7" borderId="11" xfId="0" applyFont="1" applyFill="1" applyBorder="1" applyProtection="1">
      <protection hidden="1"/>
    </xf>
    <xf numFmtId="164" fontId="59" fillId="7" borderId="10" xfId="0" applyNumberFormat="1" applyFont="1" applyFill="1" applyBorder="1" applyAlignment="1" applyProtection="1">
      <alignment horizontal="center"/>
      <protection hidden="1"/>
    </xf>
    <xf numFmtId="0" fontId="47" fillId="0" borderId="26" xfId="0" applyFont="1" applyBorder="1" applyProtection="1">
      <protection hidden="1"/>
    </xf>
    <xf numFmtId="9" fontId="28" fillId="0" borderId="13" xfId="0" applyNumberFormat="1" applyFont="1" applyBorder="1" applyAlignment="1" applyProtection="1">
      <alignment horizontal="left"/>
      <protection hidden="1"/>
    </xf>
    <xf numFmtId="0" fontId="28" fillId="0" borderId="13" xfId="0" applyFont="1" applyBorder="1" applyAlignment="1" applyProtection="1">
      <alignment horizontal="center"/>
      <protection hidden="1"/>
    </xf>
    <xf numFmtId="0" fontId="28" fillId="0" borderId="13" xfId="0" applyFont="1" applyBorder="1" applyProtection="1">
      <protection hidden="1"/>
    </xf>
    <xf numFmtId="9" fontId="57" fillId="0" borderId="13" xfId="0" applyNumberFormat="1" applyFont="1" applyBorder="1" applyAlignment="1" applyProtection="1">
      <alignment horizontal="left"/>
      <protection hidden="1"/>
    </xf>
    <xf numFmtId="0" fontId="20" fillId="0" borderId="13" xfId="0" applyFont="1" applyBorder="1" applyProtection="1">
      <protection hidden="1"/>
    </xf>
    <xf numFmtId="9" fontId="30" fillId="0" borderId="13" xfId="0" applyNumberFormat="1" applyFont="1" applyBorder="1" applyAlignment="1" applyProtection="1">
      <alignment horizontal="right"/>
      <protection hidden="1"/>
    </xf>
    <xf numFmtId="0" fontId="60" fillId="0" borderId="13" xfId="0" applyFont="1" applyBorder="1" applyProtection="1">
      <protection hidden="1"/>
    </xf>
    <xf numFmtId="9" fontId="30" fillId="0" borderId="27" xfId="0" applyNumberFormat="1" applyFont="1" applyBorder="1" applyProtection="1">
      <protection hidden="1"/>
    </xf>
    <xf numFmtId="0" fontId="30" fillId="0" borderId="7" xfId="0" applyFont="1" applyBorder="1" applyProtection="1">
      <protection hidden="1"/>
    </xf>
    <xf numFmtId="0" fontId="61" fillId="2" borderId="0" xfId="0" applyFont="1" applyFill="1" applyBorder="1" applyProtection="1">
      <protection hidden="1"/>
    </xf>
    <xf numFmtId="0" fontId="48" fillId="0" borderId="0" xfId="0" applyFont="1" applyBorder="1" applyProtection="1">
      <protection hidden="1"/>
    </xf>
    <xf numFmtId="0" fontId="58" fillId="2" borderId="0" xfId="0" applyFont="1" applyFill="1" applyBorder="1" applyProtection="1">
      <protection hidden="1"/>
    </xf>
    <xf numFmtId="13" fontId="30" fillId="0" borderId="8" xfId="0" applyNumberFormat="1" applyFont="1" applyBorder="1" applyAlignment="1" applyProtection="1">
      <alignment horizontal="right"/>
      <protection hidden="1"/>
    </xf>
    <xf numFmtId="0" fontId="28" fillId="0" borderId="0" xfId="0" applyFont="1" applyBorder="1" applyAlignment="1" applyProtection="1">
      <alignment horizontal="center"/>
      <protection hidden="1"/>
    </xf>
    <xf numFmtId="171" fontId="30" fillId="0" borderId="8" xfId="0" applyNumberFormat="1" applyFont="1" applyBorder="1" applyProtection="1">
      <protection hidden="1"/>
    </xf>
    <xf numFmtId="13" fontId="28" fillId="0" borderId="8" xfId="0" applyNumberFormat="1" applyFont="1" applyBorder="1" applyAlignment="1" applyProtection="1">
      <alignment horizontal="right"/>
      <protection hidden="1"/>
    </xf>
    <xf numFmtId="0" fontId="20" fillId="0" borderId="0" xfId="0" applyFont="1" applyBorder="1" applyAlignment="1" applyProtection="1">
      <alignment horizontal="left"/>
      <protection hidden="1"/>
    </xf>
    <xf numFmtId="9" fontId="57" fillId="0" borderId="0" xfId="0" applyNumberFormat="1" applyFont="1" applyBorder="1" applyAlignment="1" applyProtection="1">
      <alignment horizontal="left"/>
      <protection hidden="1"/>
    </xf>
    <xf numFmtId="9" fontId="55" fillId="0" borderId="0" xfId="0" applyNumberFormat="1" applyFont="1" applyBorder="1" applyAlignment="1" applyProtection="1">
      <alignment horizontal="left"/>
      <protection hidden="1"/>
    </xf>
    <xf numFmtId="0" fontId="55" fillId="0" borderId="0" xfId="0" applyFont="1" applyBorder="1" applyProtection="1">
      <protection hidden="1"/>
    </xf>
    <xf numFmtId="171" fontId="28" fillId="0" borderId="8" xfId="0" applyNumberFormat="1" applyFont="1" applyBorder="1" applyProtection="1">
      <protection hidden="1"/>
    </xf>
    <xf numFmtId="9" fontId="30" fillId="0" borderId="0" xfId="0" applyNumberFormat="1" applyFont="1" applyBorder="1" applyAlignment="1" applyProtection="1">
      <alignment horizontal="left"/>
      <protection hidden="1"/>
    </xf>
    <xf numFmtId="164" fontId="55" fillId="0" borderId="8" xfId="0" applyNumberFormat="1" applyFont="1" applyBorder="1" applyAlignment="1" applyProtection="1">
      <alignment horizontal="right"/>
      <protection hidden="1"/>
    </xf>
    <xf numFmtId="0" fontId="46" fillId="0" borderId="0" xfId="0" applyFont="1" applyBorder="1" applyProtection="1">
      <protection hidden="1"/>
    </xf>
    <xf numFmtId="164" fontId="46" fillId="0" borderId="0" xfId="0" applyNumberFormat="1" applyFont="1" applyBorder="1" applyProtection="1">
      <protection hidden="1"/>
    </xf>
    <xf numFmtId="0" fontId="46" fillId="0" borderId="8" xfId="0" applyFont="1" applyBorder="1" applyAlignment="1" applyProtection="1">
      <protection hidden="1"/>
    </xf>
    <xf numFmtId="0" fontId="56" fillId="0" borderId="9" xfId="0" applyFont="1" applyBorder="1" applyAlignment="1" applyProtection="1">
      <alignment horizontal="left"/>
      <protection hidden="1"/>
    </xf>
    <xf numFmtId="0" fontId="20" fillId="0" borderId="10" xfId="0" applyFont="1" applyBorder="1" applyProtection="1">
      <protection hidden="1"/>
    </xf>
    <xf numFmtId="164" fontId="62" fillId="0" borderId="10" xfId="0" applyNumberFormat="1" applyFont="1" applyBorder="1" applyAlignment="1" applyProtection="1">
      <protection hidden="1"/>
    </xf>
    <xf numFmtId="0" fontId="30" fillId="0" borderId="10" xfId="0" applyFont="1" applyBorder="1" applyProtection="1">
      <protection hidden="1"/>
    </xf>
    <xf numFmtId="0" fontId="46" fillId="0" borderId="10" xfId="0" applyFont="1" applyBorder="1" applyProtection="1">
      <protection hidden="1"/>
    </xf>
    <xf numFmtId="164" fontId="20" fillId="0" borderId="11" xfId="0" applyNumberFormat="1" applyFont="1" applyBorder="1" applyProtection="1">
      <protection hidden="1"/>
    </xf>
    <xf numFmtId="0" fontId="7" fillId="0" borderId="1" xfId="0" applyFont="1" applyBorder="1" applyProtection="1">
      <protection hidden="1"/>
    </xf>
    <xf numFmtId="164" fontId="63" fillId="7" borderId="0" xfId="0" applyNumberFormat="1" applyFont="1" applyFill="1" applyBorder="1" applyAlignment="1" applyProtection="1">
      <alignment horizontal="left"/>
      <protection hidden="1"/>
    </xf>
    <xf numFmtId="169" fontId="3" fillId="0" borderId="0" xfId="0" applyNumberFormat="1" applyFont="1" applyBorder="1" applyProtection="1">
      <protection hidden="1"/>
    </xf>
    <xf numFmtId="169" fontId="3" fillId="0" borderId="0" xfId="0" applyNumberFormat="1" applyFont="1" applyProtection="1">
      <protection hidden="1"/>
    </xf>
    <xf numFmtId="0" fontId="19" fillId="0" borderId="0" xfId="0" applyFont="1" applyBorder="1" applyAlignment="1" applyProtection="1">
      <protection hidden="1"/>
    </xf>
    <xf numFmtId="0" fontId="19" fillId="0" borderId="0" xfId="0" applyFont="1" applyAlignment="1" applyProtection="1">
      <protection hidden="1"/>
    </xf>
    <xf numFmtId="0" fontId="30" fillId="0" borderId="3" xfId="0" applyFont="1" applyBorder="1" applyAlignment="1" applyProtection="1">
      <alignment vertical="center"/>
      <protection hidden="1"/>
    </xf>
    <xf numFmtId="14" fontId="30" fillId="0" borderId="1" xfId="0" applyNumberFormat="1" applyFont="1" applyBorder="1" applyAlignment="1" applyProtection="1">
      <alignment horizontal="center"/>
      <protection hidden="1"/>
    </xf>
    <xf numFmtId="0" fontId="20" fillId="0" borderId="16" xfId="0" applyFont="1" applyBorder="1" applyProtection="1">
      <protection hidden="1"/>
    </xf>
    <xf numFmtId="9" fontId="30" fillId="0" borderId="13" xfId="0" applyNumberFormat="1" applyFont="1" applyBorder="1" applyAlignment="1" applyProtection="1">
      <alignment horizontal="left"/>
      <protection hidden="1"/>
    </xf>
    <xf numFmtId="170" fontId="3" fillId="0" borderId="0" xfId="0" applyNumberFormat="1" applyFont="1" applyBorder="1" applyProtection="1">
      <protection hidden="1"/>
    </xf>
    <xf numFmtId="0" fontId="36" fillId="0" borderId="0" xfId="0" applyFont="1" applyProtection="1">
      <protection hidden="1"/>
    </xf>
    <xf numFmtId="164" fontId="36" fillId="0" borderId="0" xfId="0" applyNumberFormat="1" applyFont="1" applyBorder="1" applyProtection="1">
      <protection hidden="1"/>
    </xf>
    <xf numFmtId="171" fontId="68" fillId="6" borderId="13" xfId="0" applyNumberFormat="1" applyFont="1" applyFill="1" applyBorder="1" applyAlignment="1" applyProtection="1">
      <alignment horizontal="center"/>
      <protection hidden="1"/>
    </xf>
    <xf numFmtId="171" fontId="68" fillId="6" borderId="10" xfId="0" applyNumberFormat="1" applyFont="1" applyFill="1" applyBorder="1" applyAlignment="1" applyProtection="1">
      <alignment horizontal="center"/>
      <protection hidden="1"/>
    </xf>
    <xf numFmtId="0" fontId="36" fillId="0" borderId="0" xfId="0" applyFont="1" applyAlignment="1" applyProtection="1">
      <protection hidden="1"/>
    </xf>
    <xf numFmtId="0" fontId="36" fillId="0" borderId="0" xfId="0" applyFont="1" applyAlignment="1" applyProtection="1">
      <alignment horizontal="right"/>
      <protection hidden="1"/>
    </xf>
    <xf numFmtId="164" fontId="20" fillId="0" borderId="0" xfId="0" applyNumberFormat="1" applyFont="1" applyBorder="1" applyProtection="1">
      <protection hidden="1"/>
    </xf>
    <xf numFmtId="164" fontId="20" fillId="0" borderId="28" xfId="0" applyNumberFormat="1" applyFont="1" applyBorder="1" applyProtection="1">
      <protection hidden="1"/>
    </xf>
    <xf numFmtId="164" fontId="20" fillId="0" borderId="25" xfId="0" applyNumberFormat="1" applyFont="1" applyBorder="1" applyProtection="1">
      <protection hidden="1"/>
    </xf>
    <xf numFmtId="0" fontId="30" fillId="0" borderId="26" xfId="0" applyFont="1" applyBorder="1" applyProtection="1">
      <protection hidden="1"/>
    </xf>
    <xf numFmtId="169" fontId="30" fillId="0" borderId="29" xfId="0" applyNumberFormat="1" applyFont="1" applyBorder="1" applyAlignment="1" applyProtection="1">
      <alignment horizontal="center"/>
      <protection hidden="1"/>
    </xf>
    <xf numFmtId="169" fontId="20" fillId="0" borderId="29" xfId="0" applyNumberFormat="1" applyFont="1" applyBorder="1" applyProtection="1">
      <protection hidden="1"/>
    </xf>
    <xf numFmtId="0" fontId="20" fillId="0" borderId="30" xfId="0" applyFont="1" applyBorder="1" applyProtection="1">
      <protection hidden="1"/>
    </xf>
    <xf numFmtId="0" fontId="30" fillId="0" borderId="9" xfId="0" applyFont="1" applyBorder="1" applyProtection="1">
      <protection hidden="1"/>
    </xf>
    <xf numFmtId="169" fontId="55" fillId="0" borderId="31" xfId="0" applyNumberFormat="1" applyFont="1" applyBorder="1" applyAlignment="1" applyProtection="1">
      <alignment horizontal="center"/>
      <protection hidden="1"/>
    </xf>
    <xf numFmtId="169" fontId="56" fillId="0" borderId="31" xfId="0" applyNumberFormat="1" applyFont="1" applyBorder="1" applyAlignment="1" applyProtection="1">
      <alignment horizontal="center"/>
      <protection hidden="1"/>
    </xf>
    <xf numFmtId="0" fontId="20" fillId="0" borderId="32" xfId="0" applyFont="1" applyBorder="1" applyProtection="1">
      <protection hidden="1"/>
    </xf>
    <xf numFmtId="169" fontId="20" fillId="0" borderId="23" xfId="0" applyNumberFormat="1" applyFont="1" applyBorder="1" applyAlignment="1" applyProtection="1">
      <alignment horizontal="center"/>
      <protection hidden="1"/>
    </xf>
    <xf numFmtId="169" fontId="46" fillId="0" borderId="33" xfId="0" applyNumberFormat="1" applyFont="1" applyFill="1" applyBorder="1" applyAlignment="1" applyProtection="1">
      <alignment horizontal="center"/>
      <protection hidden="1"/>
    </xf>
    <xf numFmtId="169" fontId="20" fillId="0" borderId="0" xfId="0" applyNumberFormat="1" applyFont="1" applyBorder="1" applyAlignment="1" applyProtection="1">
      <alignment horizontal="center"/>
      <protection hidden="1"/>
    </xf>
    <xf numFmtId="169" fontId="57" fillId="0" borderId="0" xfId="0" applyNumberFormat="1" applyFont="1" applyBorder="1" applyAlignment="1" applyProtection="1">
      <alignment horizontal="center"/>
      <protection hidden="1"/>
    </xf>
    <xf numFmtId="169" fontId="46" fillId="0" borderId="0" xfId="0" applyNumberFormat="1" applyFont="1" applyBorder="1" applyProtection="1">
      <protection hidden="1"/>
    </xf>
    <xf numFmtId="164" fontId="50" fillId="0" borderId="0" xfId="0" applyNumberFormat="1" applyFont="1" applyBorder="1" applyProtection="1">
      <protection hidden="1"/>
    </xf>
    <xf numFmtId="169" fontId="55" fillId="0" borderId="0" xfId="0" applyNumberFormat="1" applyFont="1" applyBorder="1" applyAlignment="1" applyProtection="1">
      <alignment horizontal="center"/>
      <protection hidden="1"/>
    </xf>
    <xf numFmtId="164" fontId="55" fillId="0" borderId="0" xfId="0" applyNumberFormat="1" applyFont="1" applyBorder="1" applyProtection="1">
      <protection hidden="1"/>
    </xf>
    <xf numFmtId="164" fontId="20" fillId="0" borderId="6" xfId="0" applyNumberFormat="1" applyFont="1" applyBorder="1" applyProtection="1">
      <protection hidden="1"/>
    </xf>
    <xf numFmtId="0" fontId="20" fillId="0" borderId="6" xfId="0" applyFont="1" applyBorder="1" applyProtection="1">
      <protection hidden="1"/>
    </xf>
    <xf numFmtId="0" fontId="53" fillId="0" borderId="6" xfId="0" applyFont="1" applyBorder="1" applyProtection="1">
      <protection hidden="1"/>
    </xf>
    <xf numFmtId="0" fontId="30" fillId="0" borderId="6" xfId="0" applyFont="1" applyBorder="1" applyProtection="1">
      <protection hidden="1"/>
    </xf>
    <xf numFmtId="164" fontId="53" fillId="0" borderId="6" xfId="0" applyNumberFormat="1" applyFont="1" applyBorder="1" applyAlignment="1" applyProtection="1">
      <alignment horizontal="center"/>
      <protection hidden="1"/>
    </xf>
    <xf numFmtId="0" fontId="56" fillId="0" borderId="0" xfId="0" applyFont="1" applyBorder="1" applyAlignment="1" applyProtection="1">
      <alignment horizontal="center"/>
      <protection hidden="1"/>
    </xf>
    <xf numFmtId="0" fontId="53" fillId="0" borderId="0" xfId="0" applyFont="1" applyBorder="1" applyProtection="1">
      <protection hidden="1"/>
    </xf>
    <xf numFmtId="164" fontId="53" fillId="0" borderId="0" xfId="0" applyNumberFormat="1" applyFont="1" applyBorder="1" applyAlignment="1" applyProtection="1">
      <alignment horizontal="center"/>
      <protection hidden="1"/>
    </xf>
    <xf numFmtId="0" fontId="30" fillId="0" borderId="17" xfId="0" applyFont="1" applyBorder="1" applyProtection="1">
      <protection hidden="1"/>
    </xf>
    <xf numFmtId="169" fontId="54" fillId="0" borderId="34" xfId="0" applyNumberFormat="1" applyFont="1" applyFill="1" applyBorder="1" applyAlignment="1" applyProtection="1">
      <alignment horizontal="center"/>
      <protection hidden="1"/>
    </xf>
    <xf numFmtId="169" fontId="55" fillId="0" borderId="25" xfId="0" applyNumberFormat="1" applyFont="1" applyBorder="1" applyAlignment="1" applyProtection="1">
      <alignment horizontal="center"/>
      <protection hidden="1"/>
    </xf>
    <xf numFmtId="164" fontId="53" fillId="0" borderId="6" xfId="0" applyNumberFormat="1" applyFont="1" applyBorder="1" applyProtection="1">
      <protection hidden="1"/>
    </xf>
    <xf numFmtId="0" fontId="47" fillId="0" borderId="5" xfId="0" applyFont="1" applyBorder="1" applyProtection="1">
      <protection hidden="1"/>
    </xf>
    <xf numFmtId="169" fontId="57" fillId="0" borderId="35" xfId="0" applyNumberFormat="1" applyFont="1" applyBorder="1" applyAlignment="1" applyProtection="1">
      <alignment horizontal="center"/>
      <protection hidden="1"/>
    </xf>
    <xf numFmtId="164" fontId="50" fillId="0" borderId="6" xfId="0" applyNumberFormat="1" applyFont="1" applyBorder="1" applyProtection="1">
      <protection hidden="1"/>
    </xf>
    <xf numFmtId="0" fontId="20" fillId="0" borderId="12" xfId="0" applyFont="1" applyBorder="1" applyProtection="1">
      <protection hidden="1"/>
    </xf>
    <xf numFmtId="0" fontId="7" fillId="0" borderId="0" xfId="0" applyFont="1" applyAlignment="1" applyProtection="1">
      <alignment horizontal="right"/>
      <protection hidden="1"/>
    </xf>
    <xf numFmtId="0" fontId="20" fillId="0" borderId="14" xfId="0" applyFont="1" applyBorder="1" applyProtection="1">
      <protection hidden="1"/>
    </xf>
    <xf numFmtId="164" fontId="50" fillId="0" borderId="17" xfId="0" applyNumberFormat="1" applyFont="1" applyBorder="1" applyProtection="1">
      <protection hidden="1"/>
    </xf>
    <xf numFmtId="0" fontId="20" fillId="0" borderId="1" xfId="0" applyFont="1" applyBorder="1" applyProtection="1">
      <protection hidden="1"/>
    </xf>
    <xf numFmtId="0" fontId="30" fillId="0" borderId="5" xfId="0" applyFont="1" applyBorder="1" applyProtection="1">
      <protection hidden="1"/>
    </xf>
    <xf numFmtId="0" fontId="20" fillId="0" borderId="6" xfId="0" applyFont="1" applyBorder="1" applyAlignment="1" applyProtection="1">
      <alignment horizontal="center"/>
      <protection hidden="1"/>
    </xf>
    <xf numFmtId="0" fontId="20" fillId="0" borderId="12" xfId="0" applyFont="1" applyBorder="1" applyAlignment="1" applyProtection="1">
      <alignment horizontal="center"/>
      <protection hidden="1"/>
    </xf>
    <xf numFmtId="164" fontId="18" fillId="0" borderId="0" xfId="0" applyNumberFormat="1" applyFont="1" applyBorder="1" applyProtection="1">
      <protection hidden="1"/>
    </xf>
    <xf numFmtId="0" fontId="18" fillId="0" borderId="0" xfId="0" applyFont="1" applyBorder="1" applyProtection="1">
      <protection hidden="1"/>
    </xf>
    <xf numFmtId="0" fontId="36" fillId="8" borderId="0" xfId="0" applyFont="1" applyFill="1" applyAlignment="1" applyProtection="1">
      <alignment horizontal="right"/>
      <protection hidden="1"/>
    </xf>
    <xf numFmtId="171" fontId="38" fillId="8" borderId="0" xfId="0" applyNumberFormat="1" applyFont="1" applyFill="1" applyBorder="1" applyAlignment="1" applyProtection="1">
      <alignment horizontal="center"/>
      <protection hidden="1"/>
    </xf>
    <xf numFmtId="164" fontId="44" fillId="8" borderId="0" xfId="0" applyNumberFormat="1" applyFont="1" applyFill="1" applyAlignment="1" applyProtection="1">
      <protection hidden="1"/>
    </xf>
    <xf numFmtId="164" fontId="0" fillId="8" borderId="0" xfId="0" applyNumberFormat="1" applyFill="1" applyAlignment="1" applyProtection="1">
      <protection hidden="1"/>
    </xf>
    <xf numFmtId="0" fontId="3" fillId="8" borderId="0" xfId="0" applyFont="1" applyFill="1" applyProtection="1">
      <protection hidden="1"/>
    </xf>
    <xf numFmtId="0" fontId="36" fillId="8" borderId="0" xfId="0" applyFont="1" applyFill="1" applyProtection="1">
      <protection hidden="1"/>
    </xf>
    <xf numFmtId="164" fontId="3" fillId="8" borderId="0" xfId="0" applyNumberFormat="1" applyFont="1" applyFill="1" applyProtection="1">
      <protection hidden="1"/>
    </xf>
    <xf numFmtId="0" fontId="3" fillId="4" borderId="0" xfId="0" applyFont="1" applyFill="1" applyProtection="1">
      <protection hidden="1"/>
    </xf>
    <xf numFmtId="0" fontId="9" fillId="0" borderId="36" xfId="0" applyFont="1" applyBorder="1" applyProtection="1">
      <protection hidden="1"/>
    </xf>
    <xf numFmtId="164" fontId="8" fillId="0" borderId="37" xfId="0" applyNumberFormat="1" applyFont="1" applyBorder="1" applyAlignment="1" applyProtection="1">
      <alignment horizontal="right"/>
      <protection hidden="1"/>
    </xf>
    <xf numFmtId="164" fontId="8" fillId="0" borderId="38" xfId="0" applyNumberFormat="1" applyFont="1" applyBorder="1" applyAlignment="1" applyProtection="1">
      <alignment horizontal="right"/>
      <protection hidden="1"/>
    </xf>
    <xf numFmtId="0" fontId="8" fillId="0" borderId="38" xfId="0" applyFont="1" applyBorder="1" applyAlignment="1" applyProtection="1">
      <alignment horizontal="center"/>
      <protection hidden="1"/>
    </xf>
    <xf numFmtId="0" fontId="8" fillId="0" borderId="39" xfId="0" applyFont="1" applyBorder="1" applyAlignment="1" applyProtection="1">
      <alignment horizontal="center"/>
      <protection hidden="1"/>
    </xf>
    <xf numFmtId="165" fontId="9" fillId="0" borderId="38" xfId="1" applyFont="1" applyBorder="1" applyAlignment="1" applyProtection="1">
      <alignment horizontal="center"/>
      <protection hidden="1"/>
    </xf>
    <xf numFmtId="165" fontId="10" fillId="0" borderId="38" xfId="1" applyFont="1" applyBorder="1" applyProtection="1">
      <protection hidden="1"/>
    </xf>
    <xf numFmtId="2" fontId="10" fillId="0" borderId="38" xfId="0" applyNumberFormat="1" applyFont="1" applyBorder="1" applyProtection="1">
      <protection hidden="1"/>
    </xf>
    <xf numFmtId="2" fontId="0" fillId="0" borderId="39" xfId="0" applyNumberFormat="1" applyBorder="1" applyProtection="1">
      <protection hidden="1"/>
    </xf>
    <xf numFmtId="0" fontId="8" fillId="0" borderId="0" xfId="0" applyFont="1" applyBorder="1" applyProtection="1">
      <protection hidden="1"/>
    </xf>
    <xf numFmtId="164" fontId="8" fillId="0" borderId="0" xfId="0" applyNumberFormat="1" applyFont="1" applyBorder="1" applyAlignment="1" applyProtection="1">
      <alignment horizontal="right"/>
      <protection hidden="1"/>
    </xf>
    <xf numFmtId="0" fontId="8" fillId="0" borderId="0" xfId="0" applyFont="1" applyBorder="1" applyAlignment="1" applyProtection="1">
      <alignment horizontal="center"/>
      <protection hidden="1"/>
    </xf>
    <xf numFmtId="165" fontId="9" fillId="0" borderId="0" xfId="1" applyFont="1" applyBorder="1" applyAlignment="1" applyProtection="1">
      <alignment horizontal="center"/>
      <protection hidden="1"/>
    </xf>
    <xf numFmtId="165" fontId="10" fillId="0" borderId="0" xfId="1" applyFont="1" applyBorder="1" applyProtection="1">
      <protection hidden="1"/>
    </xf>
    <xf numFmtId="2" fontId="10" fillId="0" borderId="0" xfId="0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71" fontId="5" fillId="0" borderId="0" xfId="0" applyNumberFormat="1" applyFont="1" applyProtection="1">
      <protection hidden="1"/>
    </xf>
    <xf numFmtId="164" fontId="0" fillId="0" borderId="0" xfId="0" applyNumberFormat="1" applyAlignment="1" applyProtection="1">
      <alignment horizontal="center"/>
      <protection hidden="1"/>
    </xf>
    <xf numFmtId="49" fontId="0" fillId="0" borderId="0" xfId="0" applyNumberFormat="1" applyProtection="1">
      <protection hidden="1"/>
    </xf>
    <xf numFmtId="0" fontId="0" fillId="0" borderId="0" xfId="0" applyNumberFormat="1" applyProtection="1">
      <protection hidden="1"/>
    </xf>
    <xf numFmtId="164" fontId="0" fillId="0" borderId="0" xfId="0" applyNumberFormat="1" applyBorder="1" applyAlignment="1" applyProtection="1">
      <alignment horizontal="center"/>
      <protection hidden="1"/>
    </xf>
    <xf numFmtId="0" fontId="0" fillId="6" borderId="0" xfId="0" applyFill="1" applyProtection="1">
      <protection hidden="1"/>
    </xf>
    <xf numFmtId="171" fontId="39" fillId="0" borderId="0" xfId="0" applyNumberFormat="1" applyFont="1" applyAlignment="1" applyProtection="1">
      <alignment horizontal="right"/>
      <protection hidden="1"/>
    </xf>
    <xf numFmtId="171" fontId="0" fillId="0" borderId="0" xfId="0" applyNumberFormat="1" applyAlignment="1" applyProtection="1">
      <protection hidden="1"/>
    </xf>
    <xf numFmtId="171" fontId="37" fillId="0" borderId="0" xfId="0" applyNumberFormat="1" applyFont="1" applyAlignment="1" applyProtection="1">
      <protection hidden="1"/>
    </xf>
    <xf numFmtId="0" fontId="44" fillId="0" borderId="0" xfId="0" applyFont="1" applyAlignment="1" applyProtection="1">
      <protection hidden="1"/>
    </xf>
    <xf numFmtId="0" fontId="39" fillId="0" borderId="0" xfId="0" applyFont="1" applyAlignment="1" applyProtection="1">
      <protection hidden="1"/>
    </xf>
    <xf numFmtId="165" fontId="41" fillId="0" borderId="0" xfId="1" applyFont="1" applyAlignment="1" applyProtection="1">
      <alignment horizontal="left"/>
      <protection hidden="1"/>
    </xf>
    <xf numFmtId="0" fontId="40" fillId="0" borderId="0" xfId="0" applyFont="1" applyAlignment="1" applyProtection="1">
      <protection hidden="1"/>
    </xf>
    <xf numFmtId="0" fontId="3" fillId="6" borderId="26" xfId="0" applyFont="1" applyFill="1" applyBorder="1" applyProtection="1">
      <protection hidden="1"/>
    </xf>
    <xf numFmtId="0" fontId="3" fillId="6" borderId="27" xfId="0" applyFont="1" applyFill="1" applyBorder="1" applyProtection="1">
      <protection hidden="1"/>
    </xf>
    <xf numFmtId="9" fontId="40" fillId="0" borderId="0" xfId="0" applyNumberFormat="1" applyFont="1" applyAlignment="1" applyProtection="1">
      <alignment horizontal="center"/>
      <protection hidden="1"/>
    </xf>
    <xf numFmtId="0" fontId="3" fillId="6" borderId="9" xfId="0" applyFont="1" applyFill="1" applyBorder="1" applyProtection="1">
      <protection hidden="1"/>
    </xf>
    <xf numFmtId="0" fontId="27" fillId="0" borderId="0" xfId="0" applyFont="1" applyAlignment="1" applyProtection="1">
      <alignment horizontal="left"/>
      <protection hidden="1"/>
    </xf>
    <xf numFmtId="0" fontId="27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0" fillId="2" borderId="0" xfId="0" applyFill="1" applyProtection="1">
      <protection hidden="1"/>
    </xf>
    <xf numFmtId="0" fontId="27" fillId="8" borderId="0" xfId="0" applyFont="1" applyFill="1" applyAlignment="1" applyProtection="1">
      <alignment horizontal="left"/>
      <protection hidden="1"/>
    </xf>
    <xf numFmtId="164" fontId="43" fillId="8" borderId="0" xfId="0" applyNumberFormat="1" applyFont="1" applyFill="1" applyProtection="1">
      <protection hidden="1"/>
    </xf>
    <xf numFmtId="0" fontId="43" fillId="8" borderId="0" xfId="0" applyFont="1" applyFill="1" applyProtection="1">
      <protection hidden="1"/>
    </xf>
    <xf numFmtId="0" fontId="27" fillId="8" borderId="0" xfId="0" applyFont="1" applyFill="1" applyProtection="1">
      <protection hidden="1"/>
    </xf>
    <xf numFmtId="0" fontId="5" fillId="8" borderId="0" xfId="0" applyFont="1" applyFill="1" applyProtection="1">
      <protection hidden="1"/>
    </xf>
    <xf numFmtId="0" fontId="0" fillId="8" borderId="0" xfId="0" applyFill="1" applyProtection="1">
      <protection hidden="1"/>
    </xf>
    <xf numFmtId="164" fontId="43" fillId="0" borderId="0" xfId="0" applyNumberFormat="1" applyFont="1" applyProtection="1">
      <protection hidden="1"/>
    </xf>
    <xf numFmtId="0" fontId="43" fillId="0" borderId="0" xfId="0" applyFont="1" applyProtection="1">
      <protection hidden="1"/>
    </xf>
    <xf numFmtId="0" fontId="27" fillId="0" borderId="0" xfId="0" applyFont="1" applyAlignment="1" applyProtection="1">
      <protection hidden="1"/>
    </xf>
    <xf numFmtId="169" fontId="3" fillId="0" borderId="0" xfId="0" applyNumberFormat="1" applyFont="1" applyBorder="1" applyAlignment="1" applyProtection="1">
      <protection hidden="1"/>
    </xf>
    <xf numFmtId="0" fontId="0" fillId="0" borderId="0" xfId="0" applyBorder="1" applyAlignment="1" applyProtection="1">
      <alignment horizontal="right"/>
      <protection hidden="1"/>
    </xf>
    <xf numFmtId="0" fontId="37" fillId="0" borderId="0" xfId="0" applyFont="1" applyBorder="1" applyAlignment="1" applyProtection="1">
      <protection hidden="1"/>
    </xf>
    <xf numFmtId="0" fontId="35" fillId="0" borderId="0" xfId="0" applyFont="1" applyBorder="1" applyAlignment="1" applyProtection="1">
      <protection hidden="1"/>
    </xf>
    <xf numFmtId="0" fontId="7" fillId="0" borderId="0" xfId="0" applyFont="1" applyProtection="1">
      <protection hidden="1"/>
    </xf>
    <xf numFmtId="164" fontId="7" fillId="0" borderId="0" xfId="0" applyNumberFormat="1" applyFont="1" applyProtection="1">
      <protection hidden="1"/>
    </xf>
    <xf numFmtId="0" fontId="7" fillId="0" borderId="0" xfId="0" applyFont="1" applyFill="1" applyProtection="1"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7" fillId="0" borderId="0" xfId="0" applyFont="1" applyFill="1" applyBorder="1" applyProtection="1">
      <protection hidden="1"/>
    </xf>
    <xf numFmtId="169" fontId="55" fillId="0" borderId="0" xfId="0" applyNumberFormat="1" applyFont="1" applyAlignment="1" applyProtection="1">
      <alignment horizontal="center"/>
      <protection hidden="1"/>
    </xf>
    <xf numFmtId="0" fontId="25" fillId="0" borderId="0" xfId="0" applyFont="1" applyBorder="1" applyAlignment="1" applyProtection="1">
      <alignment horizontal="left"/>
      <protection hidden="1"/>
    </xf>
    <xf numFmtId="0" fontId="7" fillId="2" borderId="0" xfId="0" applyFont="1" applyFill="1" applyBorder="1" applyProtection="1">
      <protection hidden="1"/>
    </xf>
    <xf numFmtId="0" fontId="25" fillId="0" borderId="0" xfId="0" applyFont="1" applyAlignment="1" applyProtection="1">
      <alignment horizontal="left"/>
      <protection hidden="1"/>
    </xf>
    <xf numFmtId="9" fontId="22" fillId="0" borderId="0" xfId="0" applyNumberFormat="1" applyFont="1" applyBorder="1" applyAlignment="1" applyProtection="1">
      <alignment horizontal="right"/>
      <protection hidden="1"/>
    </xf>
    <xf numFmtId="9" fontId="25" fillId="0" borderId="0" xfId="0" applyNumberFormat="1" applyFont="1" applyBorder="1" applyAlignment="1" applyProtection="1">
      <alignment horizontal="right"/>
      <protection hidden="1"/>
    </xf>
    <xf numFmtId="0" fontId="7" fillId="0" borderId="0" xfId="0" applyFont="1" applyBorder="1" applyAlignment="1" applyProtection="1">
      <alignment horizontal="right"/>
      <protection hidden="1"/>
    </xf>
    <xf numFmtId="169" fontId="7" fillId="0" borderId="0" xfId="0" applyNumberFormat="1" applyFont="1" applyAlignment="1" applyProtection="1">
      <alignment horizontal="right"/>
      <protection hidden="1"/>
    </xf>
    <xf numFmtId="14" fontId="7" fillId="0" borderId="0" xfId="0" applyNumberFormat="1" applyFont="1" applyAlignment="1" applyProtection="1">
      <alignment horizontal="right"/>
      <protection hidden="1"/>
    </xf>
    <xf numFmtId="164" fontId="7" fillId="0" borderId="0" xfId="0" applyNumberFormat="1" applyFont="1" applyAlignment="1" applyProtection="1">
      <alignment horizontal="right"/>
      <protection hidden="1"/>
    </xf>
    <xf numFmtId="175" fontId="46" fillId="0" borderId="33" xfId="0" applyNumberFormat="1" applyFont="1" applyFill="1" applyBorder="1" applyAlignment="1" applyProtection="1">
      <alignment horizontal="center"/>
      <protection hidden="1"/>
    </xf>
    <xf numFmtId="164" fontId="58" fillId="0" borderId="0" xfId="0" applyNumberFormat="1" applyFont="1" applyBorder="1" applyProtection="1">
      <protection hidden="1"/>
    </xf>
    <xf numFmtId="164" fontId="18" fillId="0" borderId="0" xfId="0" applyNumberFormat="1" applyFont="1" applyBorder="1" applyAlignment="1" applyProtection="1">
      <alignment horizontal="center"/>
      <protection hidden="1"/>
    </xf>
    <xf numFmtId="164" fontId="18" fillId="0" borderId="1" xfId="0" applyNumberFormat="1" applyFont="1" applyBorder="1" applyAlignment="1" applyProtection="1">
      <alignment horizontal="center"/>
      <protection hidden="1"/>
    </xf>
    <xf numFmtId="0" fontId="4" fillId="0" borderId="0" xfId="0" applyFont="1" applyBorder="1" applyProtection="1">
      <protection hidden="1"/>
    </xf>
    <xf numFmtId="164" fontId="13" fillId="0" borderId="0" xfId="0" applyNumberFormat="1" applyFont="1" applyBorder="1" applyProtection="1">
      <protection hidden="1"/>
    </xf>
    <xf numFmtId="0" fontId="11" fillId="0" borderId="40" xfId="0" applyFont="1" applyBorder="1" applyProtection="1">
      <protection hidden="1"/>
    </xf>
    <xf numFmtId="0" fontId="3" fillId="0" borderId="41" xfId="0" applyFont="1" applyBorder="1" applyProtection="1">
      <protection hidden="1"/>
    </xf>
    <xf numFmtId="0" fontId="68" fillId="0" borderId="0" xfId="0" applyFont="1" applyBorder="1" applyProtection="1">
      <protection hidden="1"/>
    </xf>
    <xf numFmtId="169" fontId="46" fillId="0" borderId="0" xfId="0" applyNumberFormat="1" applyFont="1" applyFill="1" applyBorder="1" applyAlignment="1" applyProtection="1">
      <alignment horizontal="center"/>
      <protection hidden="1"/>
    </xf>
    <xf numFmtId="169" fontId="69" fillId="0" borderId="0" xfId="0" applyNumberFormat="1" applyFont="1" applyBorder="1" applyAlignment="1" applyProtection="1">
      <alignment horizontal="center"/>
      <protection hidden="1"/>
    </xf>
    <xf numFmtId="169" fontId="31" fillId="0" borderId="0" xfId="0" applyNumberFormat="1" applyFont="1" applyBorder="1" applyProtection="1">
      <protection hidden="1"/>
    </xf>
    <xf numFmtId="164" fontId="68" fillId="0" borderId="0" xfId="0" applyNumberFormat="1" applyFont="1" applyBorder="1" applyProtection="1">
      <protection hidden="1"/>
    </xf>
    <xf numFmtId="164" fontId="36" fillId="0" borderId="0" xfId="0" applyNumberFormat="1" applyFont="1" applyProtection="1">
      <protection hidden="1"/>
    </xf>
    <xf numFmtId="0" fontId="36" fillId="0" borderId="0" xfId="0" applyFont="1" applyBorder="1" applyProtection="1">
      <protection hidden="1"/>
    </xf>
    <xf numFmtId="164" fontId="36" fillId="0" borderId="0" xfId="0" applyNumberFormat="1" applyFont="1" applyAlignment="1" applyProtection="1">
      <alignment horizontal="right"/>
      <protection hidden="1"/>
    </xf>
    <xf numFmtId="0" fontId="15" fillId="0" borderId="0" xfId="0" applyFont="1" applyAlignment="1" applyProtection="1">
      <alignment horizontal="center"/>
      <protection hidden="1"/>
    </xf>
    <xf numFmtId="0" fontId="56" fillId="0" borderId="0" xfId="0" applyFont="1" applyBorder="1" applyAlignment="1" applyProtection="1">
      <alignment horizontal="left"/>
      <protection hidden="1"/>
    </xf>
    <xf numFmtId="164" fontId="62" fillId="0" borderId="0" xfId="0" applyNumberFormat="1" applyFont="1" applyBorder="1" applyAlignment="1" applyProtection="1">
      <protection hidden="1"/>
    </xf>
    <xf numFmtId="164" fontId="2" fillId="0" borderId="0" xfId="0" applyNumberFormat="1" applyFont="1" applyAlignment="1" applyProtection="1">
      <protection hidden="1"/>
    </xf>
    <xf numFmtId="0" fontId="2" fillId="0" borderId="0" xfId="0" applyFont="1" applyAlignment="1" applyProtection="1">
      <protection hidden="1"/>
    </xf>
    <xf numFmtId="169" fontId="2" fillId="6" borderId="11" xfId="0" applyNumberFormat="1" applyFont="1" applyFill="1" applyBorder="1" applyAlignment="1" applyProtection="1">
      <protection hidden="1"/>
    </xf>
    <xf numFmtId="164" fontId="2" fillId="8" borderId="0" xfId="0" applyNumberFormat="1" applyFont="1" applyFill="1" applyAlignment="1" applyProtection="1">
      <protection hidden="1"/>
    </xf>
    <xf numFmtId="0" fontId="30" fillId="0" borderId="7" xfId="0" applyFont="1" applyBorder="1" applyAlignment="1" applyProtection="1">
      <alignment horizontal="left"/>
      <protection hidden="1"/>
    </xf>
    <xf numFmtId="0" fontId="28" fillId="0" borderId="0" xfId="0" applyFont="1" applyBorder="1" applyProtection="1">
      <protection hidden="1"/>
    </xf>
    <xf numFmtId="0" fontId="28" fillId="0" borderId="42" xfId="0" applyFont="1" applyBorder="1" applyAlignment="1" applyProtection="1">
      <alignment horizontal="center"/>
      <protection hidden="1"/>
    </xf>
    <xf numFmtId="0" fontId="62" fillId="0" borderId="34" xfId="0" applyFont="1" applyBorder="1" applyAlignment="1" applyProtection="1">
      <alignment horizontal="center"/>
      <protection hidden="1"/>
    </xf>
    <xf numFmtId="0" fontId="62" fillId="2" borderId="43" xfId="0" applyFont="1" applyFill="1" applyBorder="1" applyAlignment="1" applyProtection="1">
      <alignment horizontal="center"/>
      <protection hidden="1"/>
    </xf>
    <xf numFmtId="164" fontId="5" fillId="0" borderId="44" xfId="0" applyNumberFormat="1" applyFont="1" applyFill="1" applyBorder="1" applyAlignment="1" applyProtection="1">
      <alignment horizontal="left"/>
      <protection hidden="1"/>
    </xf>
    <xf numFmtId="171" fontId="3" fillId="0" borderId="45" xfId="0" applyNumberFormat="1" applyFont="1" applyBorder="1" applyAlignment="1" applyProtection="1">
      <alignment horizontal="center"/>
      <protection hidden="1"/>
    </xf>
    <xf numFmtId="0" fontId="3" fillId="0" borderId="45" xfId="0" applyFont="1" applyBorder="1" applyAlignment="1" applyProtection="1">
      <alignment horizontal="center"/>
      <protection hidden="1"/>
    </xf>
    <xf numFmtId="164" fontId="5" fillId="0" borderId="46" xfId="0" applyNumberFormat="1" applyFont="1" applyFill="1" applyBorder="1" applyAlignment="1" applyProtection="1">
      <alignment horizontal="left"/>
      <protection hidden="1"/>
    </xf>
    <xf numFmtId="171" fontId="3" fillId="0" borderId="22" xfId="0" applyNumberFormat="1" applyFont="1" applyBorder="1" applyAlignment="1" applyProtection="1">
      <alignment horizontal="center"/>
      <protection hidden="1"/>
    </xf>
    <xf numFmtId="0" fontId="3" fillId="0" borderId="22" xfId="0" applyFont="1" applyBorder="1" applyAlignment="1" applyProtection="1">
      <alignment horizontal="center"/>
      <protection hidden="1"/>
    </xf>
    <xf numFmtId="0" fontId="3" fillId="0" borderId="10" xfId="0" applyFont="1" applyBorder="1" applyProtection="1">
      <protection hidden="1"/>
    </xf>
    <xf numFmtId="0" fontId="15" fillId="0" borderId="0" xfId="0" applyFont="1" applyFill="1" applyBorder="1" applyProtection="1">
      <protection hidden="1"/>
    </xf>
    <xf numFmtId="0" fontId="15" fillId="0" borderId="0" xfId="0" applyFont="1" applyFill="1" applyBorder="1" applyAlignment="1" applyProtection="1">
      <alignment horizontal="center"/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164" fontId="19" fillId="0" borderId="0" xfId="0" applyNumberFormat="1" applyFont="1" applyFill="1" applyBorder="1" applyAlignment="1" applyProtection="1">
      <protection hidden="1"/>
    </xf>
    <xf numFmtId="9" fontId="3" fillId="0" borderId="0" xfId="0" applyNumberFormat="1" applyFont="1" applyFill="1" applyBorder="1" applyAlignment="1" applyProtection="1">
      <alignment horizontal="center"/>
      <protection hidden="1"/>
    </xf>
    <xf numFmtId="0" fontId="6" fillId="0" borderId="3" xfId="0" applyFont="1" applyBorder="1" applyProtection="1">
      <protection hidden="1"/>
    </xf>
    <xf numFmtId="9" fontId="3" fillId="0" borderId="1" xfId="0" applyNumberFormat="1" applyFont="1" applyBorder="1" applyProtection="1">
      <protection hidden="1"/>
    </xf>
    <xf numFmtId="9" fontId="70" fillId="0" borderId="13" xfId="0" applyNumberFormat="1" applyFont="1" applyBorder="1" applyAlignment="1" applyProtection="1">
      <alignment horizontal="lef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164" fontId="3" fillId="0" borderId="0" xfId="0" applyNumberFormat="1" applyFont="1" applyFill="1" applyBorder="1" applyAlignment="1" applyProtection="1">
      <alignment horizontal="centerContinuous"/>
      <protection hidden="1"/>
    </xf>
    <xf numFmtId="0" fontId="35" fillId="0" borderId="0" xfId="0" applyFont="1" applyFill="1" applyBorder="1" applyAlignment="1" applyProtection="1">
      <alignment horizontal="centerContinuous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protection hidden="1"/>
    </xf>
    <xf numFmtId="169" fontId="55" fillId="0" borderId="0" xfId="0" applyNumberFormat="1" applyFont="1" applyFill="1" applyBorder="1" applyAlignment="1" applyProtection="1">
      <alignment horizontal="center"/>
      <protection hidden="1"/>
    </xf>
    <xf numFmtId="164" fontId="20" fillId="0" borderId="0" xfId="0" applyNumberFormat="1" applyFont="1" applyFill="1" applyBorder="1" applyAlignment="1" applyProtection="1">
      <alignment horizontal="center"/>
      <protection hidden="1"/>
    </xf>
    <xf numFmtId="0" fontId="25" fillId="0" borderId="0" xfId="0" applyFont="1" applyFill="1" applyBorder="1" applyAlignment="1" applyProtection="1">
      <alignment horizontal="left"/>
      <protection hidden="1"/>
    </xf>
    <xf numFmtId="164" fontId="18" fillId="0" borderId="0" xfId="0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0" fontId="47" fillId="0" borderId="0" xfId="0" applyFont="1" applyFill="1" applyBorder="1" applyAlignment="1" applyProtection="1">
      <alignment horizontal="center"/>
      <protection hidden="1"/>
    </xf>
    <xf numFmtId="169" fontId="20" fillId="0" borderId="0" xfId="0" applyNumberFormat="1" applyFont="1" applyFill="1" applyBorder="1" applyAlignment="1" applyProtection="1">
      <alignment horizontal="center"/>
      <protection hidden="1"/>
    </xf>
    <xf numFmtId="169" fontId="57" fillId="0" borderId="0" xfId="0" applyNumberFormat="1" applyFont="1" applyFill="1" applyBorder="1" applyAlignment="1" applyProtection="1">
      <alignment horizontal="center"/>
      <protection hidden="1"/>
    </xf>
    <xf numFmtId="0" fontId="56" fillId="0" borderId="0" xfId="0" applyFont="1" applyFill="1" applyBorder="1" applyAlignment="1" applyProtection="1">
      <alignment horizontal="center"/>
      <protection hidden="1"/>
    </xf>
    <xf numFmtId="164" fontId="53" fillId="0" borderId="0" xfId="0" applyNumberFormat="1" applyFont="1" applyFill="1" applyBorder="1" applyAlignment="1" applyProtection="1">
      <alignment horizontal="center"/>
      <protection hidden="1"/>
    </xf>
    <xf numFmtId="9" fontId="26" fillId="0" borderId="0" xfId="0" applyNumberFormat="1" applyFont="1" applyFill="1" applyBorder="1" applyAlignment="1" applyProtection="1">
      <alignment horizontal="left"/>
      <protection hidden="1"/>
    </xf>
    <xf numFmtId="169" fontId="69" fillId="0" borderId="0" xfId="0" applyNumberFormat="1" applyFont="1" applyFill="1" applyBorder="1" applyAlignment="1" applyProtection="1">
      <alignment horizontal="center"/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9" fontId="22" fillId="0" borderId="0" xfId="0" applyNumberFormat="1" applyFont="1" applyFill="1" applyBorder="1" applyAlignment="1" applyProtection="1">
      <alignment horizontal="right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9" fontId="25" fillId="0" borderId="0" xfId="0" applyNumberFormat="1" applyFont="1" applyFill="1" applyBorder="1" applyAlignment="1" applyProtection="1">
      <alignment horizontal="right"/>
      <protection hidden="1"/>
    </xf>
    <xf numFmtId="0" fontId="20" fillId="0" borderId="0" xfId="0" applyFont="1" applyFill="1" applyBorder="1" applyAlignment="1" applyProtection="1">
      <alignment horizontal="left"/>
      <protection hidden="1"/>
    </xf>
    <xf numFmtId="9" fontId="57" fillId="0" borderId="0" xfId="0" applyNumberFormat="1" applyFont="1" applyFill="1" applyBorder="1" applyAlignment="1" applyProtection="1">
      <alignment horizontal="left"/>
      <protection hidden="1"/>
    </xf>
    <xf numFmtId="9" fontId="55" fillId="0" borderId="0" xfId="0" applyNumberFormat="1" applyFont="1" applyFill="1" applyBorder="1" applyAlignment="1" applyProtection="1">
      <alignment horizontal="left"/>
      <protection hidden="1"/>
    </xf>
    <xf numFmtId="9" fontId="30" fillId="0" borderId="0" xfId="0" applyNumberFormat="1" applyFont="1" applyFill="1" applyBorder="1" applyAlignment="1" applyProtection="1">
      <alignment horizontal="left"/>
      <protection hidden="1"/>
    </xf>
    <xf numFmtId="9" fontId="12" fillId="0" borderId="0" xfId="0" applyNumberFormat="1" applyFont="1" applyFill="1" applyBorder="1" applyAlignment="1" applyProtection="1">
      <alignment horizontal="left"/>
      <protection hidden="1"/>
    </xf>
    <xf numFmtId="9" fontId="11" fillId="0" borderId="0" xfId="0" applyNumberFormat="1" applyFont="1" applyFill="1" applyBorder="1" applyAlignment="1" applyProtection="1">
      <alignment horizontal="left"/>
      <protection hidden="1"/>
    </xf>
    <xf numFmtId="9" fontId="5" fillId="0" borderId="0" xfId="0" applyNumberFormat="1" applyFont="1" applyFill="1" applyBorder="1" applyAlignment="1" applyProtection="1">
      <alignment horizontal="left"/>
      <protection hidden="1"/>
    </xf>
    <xf numFmtId="164" fontId="3" fillId="0" borderId="0" xfId="0" applyNumberFormat="1" applyFont="1" applyFill="1" applyBorder="1" applyAlignment="1" applyProtection="1">
      <alignment horizontal="right"/>
      <protection hidden="1"/>
    </xf>
    <xf numFmtId="9" fontId="11" fillId="0" borderId="0" xfId="0" applyNumberFormat="1" applyFont="1" applyFill="1" applyBorder="1" applyAlignment="1" applyProtection="1">
      <alignment horizontal="right"/>
      <protection hidden="1"/>
    </xf>
    <xf numFmtId="0" fontId="5" fillId="0" borderId="0" xfId="0" applyFont="1" applyFill="1" applyBorder="1" applyAlignment="1" applyProtection="1">
      <alignment horizontal="left"/>
      <protection hidden="1"/>
    </xf>
    <xf numFmtId="0" fontId="5" fillId="0" borderId="0" xfId="0" applyFont="1" applyFill="1" applyBorder="1" applyAlignment="1" applyProtection="1">
      <alignment horizontal="right"/>
      <protection hidden="1"/>
    </xf>
    <xf numFmtId="164" fontId="11" fillId="0" borderId="0" xfId="0" applyNumberFormat="1" applyFont="1" applyFill="1" applyBorder="1" applyAlignment="1" applyProtection="1">
      <alignment horizontal="left"/>
      <protection hidden="1"/>
    </xf>
    <xf numFmtId="0" fontId="3" fillId="0" borderId="0" xfId="0" applyFont="1" applyFill="1" applyBorder="1" applyAlignment="1" applyProtection="1">
      <alignment horizontal="right"/>
      <protection hidden="1"/>
    </xf>
    <xf numFmtId="164" fontId="5" fillId="0" borderId="0" xfId="0" applyNumberFormat="1" applyFont="1" applyFill="1" applyBorder="1" applyAlignment="1" applyProtection="1">
      <alignment horizontal="left"/>
      <protection hidden="1"/>
    </xf>
    <xf numFmtId="164" fontId="3" fillId="0" borderId="0" xfId="0" applyNumberFormat="1" applyFont="1" applyFill="1" applyBorder="1" applyAlignment="1" applyProtection="1">
      <alignment horizontal="left"/>
      <protection hidden="1"/>
    </xf>
    <xf numFmtId="0" fontId="3" fillId="0" borderId="0" xfId="0" applyFont="1" applyFill="1" applyBorder="1" applyAlignment="1" applyProtection="1">
      <protection hidden="1"/>
    </xf>
    <xf numFmtId="164" fontId="3" fillId="0" borderId="0" xfId="0" applyNumberFormat="1" applyFont="1" applyFill="1" applyBorder="1" applyAlignment="1" applyProtection="1">
      <protection hidden="1"/>
    </xf>
    <xf numFmtId="0" fontId="5" fillId="0" borderId="0" xfId="0" applyFont="1" applyFill="1" applyBorder="1" applyAlignment="1" applyProtection="1">
      <protection hidden="1"/>
    </xf>
    <xf numFmtId="164" fontId="3" fillId="0" borderId="0" xfId="0" applyNumberFormat="1" applyFont="1" applyFill="1" applyBorder="1" applyAlignment="1" applyProtection="1">
      <alignment horizontal="center"/>
      <protection hidden="1"/>
    </xf>
    <xf numFmtId="164" fontId="5" fillId="0" borderId="0" xfId="0" applyNumberFormat="1" applyFont="1" applyFill="1" applyBorder="1" applyAlignment="1" applyProtection="1">
      <protection hidden="1"/>
    </xf>
    <xf numFmtId="169" fontId="12" fillId="0" borderId="0" xfId="0" applyNumberFormat="1" applyFont="1" applyFill="1" applyBorder="1" applyAlignment="1" applyProtection="1">
      <alignment horizontal="left"/>
      <protection hidden="1"/>
    </xf>
    <xf numFmtId="169" fontId="26" fillId="0" borderId="0" xfId="0" applyNumberFormat="1" applyFont="1" applyFill="1" applyBorder="1" applyAlignment="1" applyProtection="1">
      <alignment horizontal="left"/>
      <protection hidden="1"/>
    </xf>
    <xf numFmtId="164" fontId="8" fillId="0" borderId="0" xfId="0" applyNumberFormat="1" applyFont="1" applyFill="1" applyBorder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center"/>
      <protection hidden="1"/>
    </xf>
    <xf numFmtId="165" fontId="9" fillId="0" borderId="0" xfId="1" applyFont="1" applyFill="1" applyBorder="1" applyAlignment="1" applyProtection="1">
      <alignment horizontal="center"/>
      <protection hidden="1"/>
    </xf>
    <xf numFmtId="171" fontId="38" fillId="0" borderId="0" xfId="0" applyNumberFormat="1" applyFont="1" applyFill="1" applyBorder="1" applyAlignment="1" applyProtection="1">
      <alignment horizontal="center"/>
      <protection hidden="1"/>
    </xf>
    <xf numFmtId="171" fontId="5" fillId="0" borderId="0" xfId="0" applyNumberFormat="1" applyFont="1" applyFill="1" applyBorder="1" applyAlignment="1" applyProtection="1">
      <alignment horizontal="center"/>
      <protection hidden="1"/>
    </xf>
    <xf numFmtId="171" fontId="29" fillId="0" borderId="0" xfId="0" applyNumberFormat="1" applyFont="1" applyFill="1" applyBorder="1" applyAlignment="1" applyProtection="1">
      <alignment horizontal="center"/>
      <protection hidden="1"/>
    </xf>
    <xf numFmtId="164" fontId="0" fillId="0" borderId="0" xfId="0" applyNumberFormat="1" applyFill="1" applyBorder="1" applyAlignment="1" applyProtection="1">
      <alignment horizontal="center"/>
      <protection hidden="1"/>
    </xf>
    <xf numFmtId="9" fontId="38" fillId="0" borderId="0" xfId="0" applyNumberFormat="1" applyFont="1" applyFill="1" applyBorder="1" applyAlignment="1" applyProtection="1">
      <alignment horizontal="center"/>
      <protection hidden="1"/>
    </xf>
    <xf numFmtId="0" fontId="19" fillId="0" borderId="0" xfId="0" applyFont="1" applyFill="1" applyBorder="1" applyAlignment="1" applyProtection="1">
      <protection hidden="1"/>
    </xf>
    <xf numFmtId="169" fontId="3" fillId="0" borderId="0" xfId="0" applyNumberFormat="1" applyFont="1" applyFill="1" applyBorder="1" applyAlignment="1" applyProtection="1">
      <protection hidden="1"/>
    </xf>
    <xf numFmtId="0" fontId="0" fillId="0" borderId="0" xfId="0" applyFill="1" applyBorder="1" applyAlignment="1" applyProtection="1">
      <protection hidden="1"/>
    </xf>
    <xf numFmtId="164" fontId="0" fillId="0" borderId="0" xfId="0" applyNumberFormat="1" applyFill="1" applyBorder="1" applyAlignment="1" applyProtection="1">
      <protection hidden="1"/>
    </xf>
    <xf numFmtId="0" fontId="0" fillId="0" borderId="0" xfId="0" applyFill="1" applyBorder="1" applyAlignment="1" applyProtection="1">
      <alignment horizontal="right"/>
      <protection hidden="1"/>
    </xf>
    <xf numFmtId="0" fontId="37" fillId="0" borderId="0" xfId="0" applyFont="1" applyFill="1" applyBorder="1" applyAlignment="1" applyProtection="1">
      <protection hidden="1"/>
    </xf>
    <xf numFmtId="0" fontId="35" fillId="0" borderId="0" xfId="0" applyFont="1" applyFill="1" applyBorder="1" applyAlignment="1" applyProtection="1">
      <protection hidden="1"/>
    </xf>
    <xf numFmtId="14" fontId="30" fillId="0" borderId="0" xfId="0" applyNumberFormat="1" applyFont="1" applyFill="1" applyBorder="1" applyAlignment="1" applyProtection="1">
      <alignment horizontal="center"/>
      <protection hidden="1"/>
    </xf>
    <xf numFmtId="169" fontId="30" fillId="0" borderId="0" xfId="0" applyNumberFormat="1" applyFont="1" applyFill="1" applyBorder="1" applyAlignment="1" applyProtection="1">
      <alignment horizontal="center"/>
      <protection hidden="1"/>
    </xf>
    <xf numFmtId="169" fontId="54" fillId="0" borderId="0" xfId="0" applyNumberFormat="1" applyFont="1" applyFill="1" applyBorder="1" applyAlignment="1" applyProtection="1">
      <alignment horizontal="center"/>
      <protection hidden="1"/>
    </xf>
    <xf numFmtId="169" fontId="56" fillId="0" borderId="0" xfId="0" applyNumberFormat="1" applyFont="1" applyFill="1" applyBorder="1" applyAlignment="1" applyProtection="1">
      <alignment horizontal="center"/>
      <protection hidden="1"/>
    </xf>
    <xf numFmtId="175" fontId="56" fillId="0" borderId="0" xfId="0" applyNumberFormat="1" applyFont="1" applyFill="1" applyBorder="1" applyAlignment="1" applyProtection="1">
      <alignment horizontal="left"/>
      <protection hidden="1"/>
    </xf>
    <xf numFmtId="175" fontId="56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0" applyFont="1" applyFill="1" applyBorder="1" applyAlignment="1" applyProtection="1">
      <alignment horizontal="center"/>
      <protection hidden="1"/>
    </xf>
    <xf numFmtId="0" fontId="36" fillId="0" borderId="0" xfId="0" applyFont="1" applyFill="1" applyBorder="1" applyAlignment="1" applyProtection="1">
      <alignment horizontal="right"/>
      <protection hidden="1"/>
    </xf>
    <xf numFmtId="9" fontId="28" fillId="0" borderId="0" xfId="0" applyNumberFormat="1" applyFont="1" applyFill="1" applyBorder="1" applyAlignment="1" applyProtection="1">
      <alignment horizontal="left"/>
      <protection hidden="1"/>
    </xf>
    <xf numFmtId="9" fontId="30" fillId="0" borderId="0" xfId="0" applyNumberFormat="1" applyFont="1" applyFill="1" applyBorder="1" applyAlignment="1" applyProtection="1">
      <alignment horizontal="right"/>
      <protection hidden="1"/>
    </xf>
    <xf numFmtId="13" fontId="30" fillId="0" borderId="0" xfId="0" applyNumberFormat="1" applyFont="1" applyFill="1" applyBorder="1" applyAlignment="1" applyProtection="1">
      <alignment horizontal="right"/>
      <protection hidden="1"/>
    </xf>
    <xf numFmtId="13" fontId="28" fillId="0" borderId="0" xfId="0" applyNumberFormat="1" applyFont="1" applyFill="1" applyBorder="1" applyAlignment="1" applyProtection="1">
      <alignment horizontal="right"/>
      <protection hidden="1"/>
    </xf>
    <xf numFmtId="164" fontId="55" fillId="0" borderId="0" xfId="0" applyNumberFormat="1" applyFont="1" applyFill="1" applyBorder="1" applyAlignment="1" applyProtection="1">
      <alignment horizontal="right"/>
      <protection hidden="1"/>
    </xf>
    <xf numFmtId="0" fontId="46" fillId="0" borderId="0" xfId="0" applyFont="1" applyFill="1" applyBorder="1" applyAlignment="1" applyProtection="1">
      <protection hidden="1"/>
    </xf>
    <xf numFmtId="0" fontId="56" fillId="0" borderId="0" xfId="0" applyFont="1" applyFill="1" applyBorder="1" applyAlignment="1" applyProtection="1">
      <alignment horizontal="left"/>
      <protection hidden="1"/>
    </xf>
    <xf numFmtId="164" fontId="62" fillId="0" borderId="0" xfId="0" applyNumberFormat="1" applyFont="1" applyFill="1" applyBorder="1" applyAlignment="1" applyProtection="1">
      <protection hidden="1"/>
    </xf>
    <xf numFmtId="13" fontId="5" fillId="0" borderId="0" xfId="0" applyNumberFormat="1" applyFont="1" applyFill="1" applyBorder="1" applyAlignment="1" applyProtection="1">
      <alignment horizontal="left"/>
      <protection hidden="1"/>
    </xf>
    <xf numFmtId="0" fontId="23" fillId="0" borderId="0" xfId="0" applyFont="1" applyFill="1" applyBorder="1" applyAlignment="1" applyProtection="1">
      <protection hidden="1"/>
    </xf>
    <xf numFmtId="0" fontId="23" fillId="0" borderId="0" xfId="0" applyFont="1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42" fillId="0" borderId="0" xfId="0" applyFont="1" applyFill="1" applyBorder="1" applyAlignment="1" applyProtection="1">
      <protection hidden="1"/>
    </xf>
    <xf numFmtId="164" fontId="2" fillId="0" borderId="0" xfId="0" applyNumberFormat="1" applyFont="1" applyFill="1" applyBorder="1" applyAlignment="1" applyProtection="1">
      <protection hidden="1"/>
    </xf>
    <xf numFmtId="171" fontId="39" fillId="0" borderId="0" xfId="0" applyNumberFormat="1" applyFont="1" applyFill="1" applyBorder="1" applyAlignment="1" applyProtection="1">
      <alignment horizontal="right"/>
      <protection hidden="1"/>
    </xf>
    <xf numFmtId="171" fontId="0" fillId="0" borderId="0" xfId="0" applyNumberFormat="1" applyFill="1" applyBorder="1" applyAlignment="1" applyProtection="1">
      <protection hidden="1"/>
    </xf>
    <xf numFmtId="171" fontId="37" fillId="0" borderId="0" xfId="0" applyNumberFormat="1" applyFont="1" applyFill="1" applyBorder="1" applyAlignment="1" applyProtection="1">
      <protection hidden="1"/>
    </xf>
    <xf numFmtId="0" fontId="2" fillId="0" borderId="0" xfId="0" applyFont="1" applyFill="1" applyBorder="1" applyAlignment="1" applyProtection="1">
      <protection hidden="1"/>
    </xf>
    <xf numFmtId="0" fontId="39" fillId="0" borderId="0" xfId="0" applyFont="1" applyFill="1" applyBorder="1" applyAlignment="1" applyProtection="1">
      <protection hidden="1"/>
    </xf>
    <xf numFmtId="165" fontId="41" fillId="0" borderId="0" xfId="1" applyFont="1" applyFill="1" applyBorder="1" applyAlignment="1" applyProtection="1">
      <alignment horizontal="left"/>
      <protection hidden="1"/>
    </xf>
    <xf numFmtId="0" fontId="40" fillId="0" borderId="0" xfId="0" applyFont="1" applyFill="1" applyBorder="1" applyAlignment="1" applyProtection="1">
      <protection hidden="1"/>
    </xf>
    <xf numFmtId="171" fontId="68" fillId="0" borderId="0" xfId="0" applyNumberFormat="1" applyFont="1" applyFill="1" applyBorder="1" applyAlignment="1" applyProtection="1">
      <alignment horizontal="center"/>
      <protection hidden="1"/>
    </xf>
    <xf numFmtId="9" fontId="40" fillId="0" borderId="0" xfId="0" applyNumberFormat="1" applyFont="1" applyFill="1" applyBorder="1" applyAlignment="1" applyProtection="1">
      <alignment horizontal="center"/>
      <protection hidden="1"/>
    </xf>
    <xf numFmtId="169" fontId="2" fillId="0" borderId="0" xfId="0" applyNumberFormat="1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horizontal="left"/>
      <protection hidden="1"/>
    </xf>
    <xf numFmtId="0" fontId="37" fillId="0" borderId="0" xfId="0" applyFont="1" applyFill="1" applyBorder="1" applyAlignment="1" applyProtection="1">
      <alignment horizontal="left"/>
      <protection hidden="1"/>
    </xf>
    <xf numFmtId="0" fontId="27" fillId="0" borderId="0" xfId="0" applyFont="1" applyFill="1" applyBorder="1" applyAlignment="1" applyProtection="1">
      <protection hidden="1"/>
    </xf>
    <xf numFmtId="0" fontId="36" fillId="0" borderId="0" xfId="0" applyFont="1" applyFill="1" applyBorder="1" applyAlignment="1" applyProtection="1">
      <protection hidden="1"/>
    </xf>
    <xf numFmtId="0" fontId="54" fillId="0" borderId="0" xfId="0" applyFont="1" applyFill="1" applyBorder="1" applyAlignment="1" applyProtection="1">
      <alignment horizontal="center"/>
      <protection hidden="1"/>
    </xf>
    <xf numFmtId="0" fontId="7" fillId="0" borderId="0" xfId="0" applyFont="1" applyFill="1" applyBorder="1" applyAlignment="1" applyProtection="1">
      <protection hidden="1"/>
    </xf>
    <xf numFmtId="0" fontId="15" fillId="0" borderId="0" xfId="0" applyFont="1" applyFill="1" applyBorder="1" applyAlignment="1" applyProtection="1">
      <protection hidden="1"/>
    </xf>
    <xf numFmtId="0" fontId="30" fillId="0" borderId="0" xfId="0" applyFont="1" applyFill="1" applyBorder="1" applyAlignment="1" applyProtection="1">
      <protection hidden="1"/>
    </xf>
    <xf numFmtId="164" fontId="7" fillId="0" borderId="0" xfId="0" applyNumberFormat="1" applyFont="1" applyFill="1" applyBorder="1" applyAlignment="1" applyProtection="1">
      <protection hidden="1"/>
    </xf>
    <xf numFmtId="164" fontId="20" fillId="0" borderId="0" xfId="0" applyNumberFormat="1" applyFont="1" applyFill="1" applyBorder="1" applyAlignment="1" applyProtection="1">
      <protection hidden="1"/>
    </xf>
    <xf numFmtId="170" fontId="3" fillId="0" borderId="0" xfId="0" applyNumberFormat="1" applyFont="1" applyFill="1" applyBorder="1" applyAlignment="1" applyProtection="1">
      <protection hidden="1"/>
    </xf>
    <xf numFmtId="0" fontId="6" fillId="0" borderId="0" xfId="0" applyFont="1" applyFill="1" applyBorder="1" applyAlignment="1" applyProtection="1">
      <protection hidden="1"/>
    </xf>
    <xf numFmtId="0" fontId="33" fillId="0" borderId="0" xfId="0" applyFont="1" applyFill="1" applyBorder="1" applyAlignment="1" applyProtection="1">
      <protection hidden="1"/>
    </xf>
    <xf numFmtId="0" fontId="1" fillId="0" borderId="0" xfId="0" applyFont="1" applyFill="1" applyBorder="1" applyAlignment="1" applyProtection="1">
      <protection hidden="1"/>
    </xf>
    <xf numFmtId="9" fontId="3" fillId="0" borderId="0" xfId="0" applyNumberFormat="1" applyFont="1" applyFill="1" applyBorder="1" applyAlignment="1" applyProtection="1">
      <protection hidden="1"/>
    </xf>
    <xf numFmtId="171" fontId="3" fillId="0" borderId="0" xfId="0" applyNumberFormat="1" applyFont="1" applyFill="1" applyBorder="1" applyAlignment="1" applyProtection="1">
      <protection hidden="1"/>
    </xf>
    <xf numFmtId="169" fontId="46" fillId="0" borderId="0" xfId="0" applyNumberFormat="1" applyFont="1" applyFill="1" applyBorder="1" applyAlignment="1" applyProtection="1">
      <protection hidden="1"/>
    </xf>
    <xf numFmtId="164" fontId="52" fillId="0" borderId="0" xfId="0" applyNumberFormat="1" applyFont="1" applyFill="1" applyBorder="1" applyAlignment="1" applyProtection="1">
      <protection hidden="1"/>
    </xf>
    <xf numFmtId="164" fontId="17" fillId="0" borderId="0" xfId="0" applyNumberFormat="1" applyFont="1" applyFill="1" applyBorder="1" applyAlignment="1" applyProtection="1">
      <protection hidden="1"/>
    </xf>
    <xf numFmtId="169" fontId="20" fillId="0" borderId="0" xfId="0" applyNumberFormat="1" applyFont="1" applyFill="1" applyBorder="1" applyAlignment="1" applyProtection="1">
      <protection hidden="1"/>
    </xf>
    <xf numFmtId="164" fontId="56" fillId="0" borderId="0" xfId="0" applyNumberFormat="1" applyFont="1" applyFill="1" applyBorder="1" applyAlignment="1" applyProtection="1">
      <protection hidden="1"/>
    </xf>
    <xf numFmtId="164" fontId="30" fillId="0" borderId="0" xfId="0" applyNumberFormat="1" applyFont="1" applyFill="1" applyBorder="1" applyAlignment="1" applyProtection="1">
      <protection hidden="1"/>
    </xf>
    <xf numFmtId="165" fontId="30" fillId="0" borderId="0" xfId="0" applyNumberFormat="1" applyFont="1" applyFill="1" applyBorder="1" applyAlignment="1" applyProtection="1">
      <protection hidden="1"/>
    </xf>
    <xf numFmtId="164" fontId="50" fillId="0" borderId="0" xfId="0" applyNumberFormat="1" applyFont="1" applyFill="1" applyBorder="1" applyAlignment="1" applyProtection="1">
      <protection hidden="1"/>
    </xf>
    <xf numFmtId="164" fontId="55" fillId="0" borderId="0" xfId="0" applyNumberFormat="1" applyFont="1" applyFill="1" applyBorder="1" applyAlignment="1" applyProtection="1">
      <protection hidden="1"/>
    </xf>
    <xf numFmtId="0" fontId="55" fillId="0" borderId="0" xfId="0" applyFont="1" applyFill="1" applyBorder="1" applyAlignment="1" applyProtection="1">
      <protection hidden="1"/>
    </xf>
    <xf numFmtId="164" fontId="58" fillId="0" borderId="0" xfId="0" applyNumberFormat="1" applyFont="1" applyFill="1" applyBorder="1" applyAlignment="1" applyProtection="1">
      <protection hidden="1"/>
    </xf>
    <xf numFmtId="0" fontId="53" fillId="0" borderId="0" xfId="0" applyFont="1" applyFill="1" applyBorder="1" applyAlignment="1" applyProtection="1">
      <protection hidden="1"/>
    </xf>
    <xf numFmtId="164" fontId="18" fillId="0" borderId="0" xfId="0" applyNumberFormat="1" applyFont="1" applyFill="1" applyBorder="1" applyAlignment="1" applyProtection="1">
      <protection hidden="1"/>
    </xf>
    <xf numFmtId="0" fontId="18" fillId="0" borderId="0" xfId="0" applyFont="1" applyFill="1" applyBorder="1" applyAlignment="1" applyProtection="1">
      <protection hidden="1"/>
    </xf>
    <xf numFmtId="0" fontId="14" fillId="0" borderId="0" xfId="0" applyFont="1" applyFill="1" applyBorder="1" applyAlignment="1" applyProtection="1">
      <protection hidden="1"/>
    </xf>
    <xf numFmtId="164" fontId="16" fillId="0" borderId="0" xfId="0" applyNumberFormat="1" applyFont="1" applyFill="1" applyBorder="1" applyAlignment="1" applyProtection="1">
      <protection hidden="1"/>
    </xf>
    <xf numFmtId="0" fontId="68" fillId="0" borderId="0" xfId="0" applyFont="1" applyFill="1" applyBorder="1" applyAlignment="1" applyProtection="1">
      <protection hidden="1"/>
    </xf>
    <xf numFmtId="169" fontId="31" fillId="0" borderId="0" xfId="0" applyNumberFormat="1" applyFont="1" applyFill="1" applyBorder="1" applyAlignment="1" applyProtection="1">
      <protection hidden="1"/>
    </xf>
    <xf numFmtId="164" fontId="68" fillId="0" borderId="0" xfId="0" applyNumberFormat="1" applyFont="1" applyFill="1" applyBorder="1" applyAlignment="1" applyProtection="1">
      <protection hidden="1"/>
    </xf>
    <xf numFmtId="164" fontId="36" fillId="0" borderId="0" xfId="0" applyNumberFormat="1" applyFont="1" applyFill="1" applyBorder="1" applyAlignment="1" applyProtection="1">
      <protection hidden="1"/>
    </xf>
    <xf numFmtId="164" fontId="53" fillId="0" borderId="0" xfId="0" applyNumberFormat="1" applyFont="1" applyFill="1" applyBorder="1" applyAlignment="1" applyProtection="1">
      <protection hidden="1"/>
    </xf>
    <xf numFmtId="0" fontId="4" fillId="0" borderId="0" xfId="0" applyFont="1" applyFill="1" applyBorder="1" applyAlignment="1" applyProtection="1">
      <protection hidden="1"/>
    </xf>
    <xf numFmtId="164" fontId="13" fillId="0" borderId="0" xfId="0" applyNumberFormat="1" applyFont="1" applyFill="1" applyBorder="1" applyAlignment="1" applyProtection="1">
      <protection hidden="1"/>
    </xf>
    <xf numFmtId="0" fontId="28" fillId="0" borderId="0" xfId="0" applyFont="1" applyFill="1" applyBorder="1" applyAlignment="1" applyProtection="1">
      <protection hidden="1"/>
    </xf>
    <xf numFmtId="0" fontId="60" fillId="0" borderId="0" xfId="0" applyFont="1" applyFill="1" applyBorder="1" applyAlignment="1" applyProtection="1">
      <protection hidden="1"/>
    </xf>
    <xf numFmtId="9" fontId="30" fillId="0" borderId="0" xfId="0" applyNumberFormat="1" applyFont="1" applyFill="1" applyBorder="1" applyAlignment="1" applyProtection="1">
      <protection hidden="1"/>
    </xf>
    <xf numFmtId="0" fontId="61" fillId="0" borderId="0" xfId="0" applyFont="1" applyFill="1" applyBorder="1" applyAlignment="1" applyProtection="1">
      <protection hidden="1"/>
    </xf>
    <xf numFmtId="0" fontId="48" fillId="0" borderId="0" xfId="0" applyFont="1" applyFill="1" applyBorder="1" applyAlignment="1" applyProtection="1">
      <protection hidden="1"/>
    </xf>
    <xf numFmtId="0" fontId="58" fillId="0" borderId="0" xfId="0" applyFont="1" applyFill="1" applyBorder="1" applyAlignment="1" applyProtection="1">
      <protection hidden="1"/>
    </xf>
    <xf numFmtId="171" fontId="30" fillId="0" borderId="0" xfId="0" applyNumberFormat="1" applyFont="1" applyFill="1" applyBorder="1" applyAlignment="1" applyProtection="1">
      <protection hidden="1"/>
    </xf>
    <xf numFmtId="164" fontId="35" fillId="0" borderId="0" xfId="0" applyNumberFormat="1" applyFont="1" applyFill="1" applyBorder="1" applyAlignment="1" applyProtection="1">
      <protection hidden="1"/>
    </xf>
    <xf numFmtId="0" fontId="29" fillId="0" borderId="0" xfId="0" applyFont="1" applyFill="1" applyBorder="1" applyAlignment="1" applyProtection="1">
      <protection hidden="1"/>
    </xf>
    <xf numFmtId="0" fontId="31" fillId="0" borderId="0" xfId="0" applyFont="1" applyFill="1" applyBorder="1" applyAlignment="1" applyProtection="1">
      <protection hidden="1"/>
    </xf>
    <xf numFmtId="14" fontId="5" fillId="0" borderId="0" xfId="0" applyNumberFormat="1" applyFont="1" applyFill="1" applyBorder="1" applyAlignment="1" applyProtection="1">
      <protection hidden="1"/>
    </xf>
    <xf numFmtId="1" fontId="3" fillId="0" borderId="0" xfId="0" applyNumberFormat="1" applyFont="1" applyFill="1" applyBorder="1" applyAlignment="1" applyProtection="1">
      <protection hidden="1"/>
    </xf>
    <xf numFmtId="169" fontId="5" fillId="0" borderId="0" xfId="0" applyNumberFormat="1" applyFont="1" applyFill="1" applyBorder="1" applyAlignment="1" applyProtection="1">
      <protection hidden="1"/>
    </xf>
    <xf numFmtId="0" fontId="21" fillId="0" borderId="0" xfId="0" applyFont="1" applyFill="1" applyBorder="1" applyAlignment="1" applyProtection="1">
      <protection hidden="1"/>
    </xf>
    <xf numFmtId="0" fontId="24" fillId="0" borderId="0" xfId="0" applyFont="1" applyFill="1" applyBorder="1" applyAlignment="1" applyProtection="1">
      <protection hidden="1"/>
    </xf>
    <xf numFmtId="164" fontId="15" fillId="0" borderId="0" xfId="0" applyNumberFormat="1" applyFont="1" applyFill="1" applyBorder="1" applyAlignment="1" applyProtection="1">
      <protection hidden="1"/>
    </xf>
    <xf numFmtId="164" fontId="34" fillId="0" borderId="0" xfId="0" applyNumberFormat="1" applyFont="1" applyFill="1" applyBorder="1" applyAlignment="1" applyProtection="1">
      <protection hidden="1"/>
    </xf>
    <xf numFmtId="0" fontId="32" fillId="0" borderId="0" xfId="0" applyFont="1" applyFill="1" applyBorder="1" applyAlignment="1" applyProtection="1">
      <protection hidden="1"/>
    </xf>
    <xf numFmtId="0" fontId="9" fillId="0" borderId="0" xfId="0" applyFont="1" applyFill="1" applyBorder="1" applyAlignment="1" applyProtection="1">
      <protection hidden="1"/>
    </xf>
    <xf numFmtId="165" fontId="10" fillId="0" borderId="0" xfId="1" applyFont="1" applyFill="1" applyBorder="1" applyAlignment="1" applyProtection="1">
      <protection hidden="1"/>
    </xf>
    <xf numFmtId="2" fontId="10" fillId="0" borderId="0" xfId="0" applyNumberFormat="1" applyFont="1" applyFill="1" applyBorder="1" applyAlignment="1" applyProtection="1">
      <protection hidden="1"/>
    </xf>
    <xf numFmtId="2" fontId="0" fillId="0" borderId="0" xfId="0" applyNumberFormat="1" applyFill="1" applyBorder="1" applyAlignment="1" applyProtection="1">
      <protection hidden="1"/>
    </xf>
    <xf numFmtId="0" fontId="8" fillId="0" borderId="0" xfId="0" applyFont="1" applyFill="1" applyBorder="1" applyAlignment="1" applyProtection="1">
      <protection hidden="1"/>
    </xf>
    <xf numFmtId="171" fontId="5" fillId="0" borderId="0" xfId="0" applyNumberFormat="1" applyFont="1" applyFill="1" applyBorder="1" applyAlignment="1" applyProtection="1">
      <protection hidden="1"/>
    </xf>
    <xf numFmtId="49" fontId="0" fillId="0" borderId="0" xfId="0" applyNumberFormat="1" applyFill="1" applyBorder="1" applyAlignment="1" applyProtection="1">
      <protection hidden="1"/>
    </xf>
    <xf numFmtId="0" fontId="0" fillId="0" borderId="0" xfId="0" applyNumberFormat="1" applyFill="1" applyBorder="1" applyAlignment="1" applyProtection="1">
      <protection hidden="1"/>
    </xf>
    <xf numFmtId="164" fontId="43" fillId="0" borderId="0" xfId="0" applyNumberFormat="1" applyFont="1" applyFill="1" applyBorder="1" applyAlignment="1" applyProtection="1">
      <protection hidden="1"/>
    </xf>
    <xf numFmtId="0" fontId="43" fillId="0" borderId="0" xfId="0" applyFont="1" applyFill="1" applyBorder="1" applyAlignment="1" applyProtection="1">
      <protection hidden="1"/>
    </xf>
    <xf numFmtId="0" fontId="3" fillId="0" borderId="8" xfId="0" applyFont="1" applyBorder="1" applyProtection="1">
      <protection hidden="1"/>
    </xf>
    <xf numFmtId="164" fontId="20" fillId="0" borderId="8" xfId="0" applyNumberFormat="1" applyFont="1" applyBorder="1" applyProtection="1">
      <protection hidden="1"/>
    </xf>
    <xf numFmtId="0" fontId="15" fillId="0" borderId="0" xfId="0" applyFont="1" applyAlignment="1" applyProtection="1">
      <alignment horizontal="left"/>
      <protection hidden="1"/>
    </xf>
    <xf numFmtId="0" fontId="15" fillId="0" borderId="0" xfId="0" applyFont="1" applyBorder="1" applyAlignment="1" applyProtection="1">
      <alignment horizontal="center"/>
      <protection hidden="1"/>
    </xf>
    <xf numFmtId="0" fontId="15" fillId="0" borderId="0" xfId="0" applyFont="1" applyBorder="1" applyAlignment="1" applyProtection="1">
      <protection hidden="1"/>
    </xf>
    <xf numFmtId="0" fontId="31" fillId="0" borderId="0" xfId="0" applyFont="1" applyBorder="1" applyAlignment="1" applyProtection="1">
      <protection hidden="1"/>
    </xf>
    <xf numFmtId="0" fontId="15" fillId="0" borderId="0" xfId="0" applyFont="1" applyProtection="1">
      <protection hidden="1"/>
    </xf>
    <xf numFmtId="0" fontId="31" fillId="0" borderId="0" xfId="0" applyFont="1" applyFill="1" applyBorder="1" applyAlignment="1" applyProtection="1">
      <alignment horizontal="left"/>
      <protection hidden="1"/>
    </xf>
    <xf numFmtId="0" fontId="3" fillId="9" borderId="0" xfId="0" applyFont="1" applyFill="1" applyAlignment="1" applyProtection="1">
      <alignment horizontal="right"/>
      <protection hidden="1"/>
    </xf>
    <xf numFmtId="0" fontId="3" fillId="9" borderId="0" xfId="0" applyFont="1" applyFill="1" applyBorder="1" applyAlignment="1" applyProtection="1">
      <protection hidden="1"/>
    </xf>
    <xf numFmtId="164" fontId="19" fillId="9" borderId="0" xfId="0" applyNumberFormat="1" applyFont="1" applyFill="1" applyBorder="1" applyAlignment="1" applyProtection="1">
      <protection hidden="1"/>
    </xf>
    <xf numFmtId="0" fontId="3" fillId="9" borderId="0" xfId="0" applyFont="1" applyFill="1" applyBorder="1" applyAlignment="1" applyProtection="1">
      <alignment horizontal="center"/>
      <protection hidden="1"/>
    </xf>
    <xf numFmtId="9" fontId="3" fillId="9" borderId="0" xfId="0" applyNumberFormat="1" applyFont="1" applyFill="1" applyBorder="1" applyAlignment="1" applyProtection="1">
      <alignment horizontal="center"/>
      <protection hidden="1"/>
    </xf>
    <xf numFmtId="0" fontId="3" fillId="9" borderId="0" xfId="0" applyFont="1" applyFill="1" applyProtection="1">
      <protection hidden="1"/>
    </xf>
    <xf numFmtId="175" fontId="56" fillId="0" borderId="47" xfId="0" applyNumberFormat="1" applyFont="1" applyFill="1" applyBorder="1" applyAlignment="1" applyProtection="1">
      <alignment horizontal="left"/>
      <protection hidden="1"/>
    </xf>
    <xf numFmtId="175" fontId="56" fillId="0" borderId="47" xfId="0" applyNumberFormat="1" applyFont="1" applyFill="1" applyBorder="1" applyAlignment="1" applyProtection="1">
      <alignment horizontal="center"/>
      <protection hidden="1"/>
    </xf>
    <xf numFmtId="169" fontId="20" fillId="0" borderId="47" xfId="0" applyNumberFormat="1" applyFont="1" applyBorder="1" applyAlignment="1" applyProtection="1">
      <alignment horizontal="center"/>
      <protection hidden="1"/>
    </xf>
    <xf numFmtId="0" fontId="20" fillId="0" borderId="47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20" fillId="0" borderId="7" xfId="0" applyFont="1" applyBorder="1" applyProtection="1">
      <protection hidden="1"/>
    </xf>
    <xf numFmtId="0" fontId="20" fillId="0" borderId="8" xfId="0" applyFont="1" applyBorder="1" applyProtection="1">
      <protection hidden="1"/>
    </xf>
    <xf numFmtId="0" fontId="20" fillId="0" borderId="9" xfId="0" applyFont="1" applyBorder="1" applyProtection="1">
      <protection hidden="1"/>
    </xf>
    <xf numFmtId="169" fontId="20" fillId="0" borderId="48" xfId="0" applyNumberFormat="1" applyFont="1" applyBorder="1" applyAlignment="1" applyProtection="1">
      <alignment horizontal="center"/>
      <protection hidden="1"/>
    </xf>
    <xf numFmtId="164" fontId="20" fillId="0" borderId="38" xfId="0" applyNumberFormat="1" applyFont="1" applyBorder="1" applyProtection="1">
      <protection hidden="1"/>
    </xf>
    <xf numFmtId="0" fontId="20" fillId="0" borderId="49" xfId="0" applyFont="1" applyBorder="1" applyProtection="1">
      <protection hidden="1"/>
    </xf>
    <xf numFmtId="164" fontId="50" fillId="0" borderId="10" xfId="0" applyNumberFormat="1" applyFont="1" applyBorder="1" applyProtection="1">
      <protection hidden="1"/>
    </xf>
    <xf numFmtId="0" fontId="3" fillId="0" borderId="50" xfId="0" applyFont="1" applyBorder="1" applyProtection="1">
      <protection hidden="1"/>
    </xf>
    <xf numFmtId="0" fontId="7" fillId="0" borderId="8" xfId="0" applyFont="1" applyBorder="1" applyProtection="1">
      <protection hidden="1"/>
    </xf>
    <xf numFmtId="164" fontId="7" fillId="2" borderId="8" xfId="0" applyNumberFormat="1" applyFont="1" applyFill="1" applyBorder="1" applyProtection="1">
      <protection hidden="1"/>
    </xf>
    <xf numFmtId="0" fontId="7" fillId="2" borderId="8" xfId="0" applyFont="1" applyFill="1" applyBorder="1" applyProtection="1">
      <protection hidden="1"/>
    </xf>
    <xf numFmtId="164" fontId="20" fillId="0" borderId="31" xfId="0" applyNumberFormat="1" applyFont="1" applyBorder="1" applyProtection="1">
      <protection hidden="1"/>
    </xf>
    <xf numFmtId="164" fontId="18" fillId="0" borderId="10" xfId="0" applyNumberFormat="1" applyFont="1" applyBorder="1" applyAlignment="1" applyProtection="1">
      <alignment horizontal="center"/>
      <protection hidden="1"/>
    </xf>
    <xf numFmtId="164" fontId="18" fillId="0" borderId="11" xfId="0" applyNumberFormat="1" applyFont="1" applyBorder="1" applyAlignment="1" applyProtection="1">
      <alignment horizontal="center"/>
      <protection hidden="1"/>
    </xf>
    <xf numFmtId="0" fontId="15" fillId="9" borderId="0" xfId="0" applyFont="1" applyFill="1" applyBorder="1" applyAlignment="1" applyProtection="1">
      <alignment horizontal="left"/>
      <protection hidden="1"/>
    </xf>
    <xf numFmtId="0" fontId="3" fillId="9" borderId="0" xfId="0" applyFont="1" applyFill="1" applyBorder="1" applyProtection="1">
      <protection hidden="1"/>
    </xf>
    <xf numFmtId="9" fontId="3" fillId="9" borderId="0" xfId="0" applyNumberFormat="1" applyFont="1" applyFill="1" applyBorder="1" applyProtection="1">
      <protection hidden="1"/>
    </xf>
    <xf numFmtId="0" fontId="15" fillId="9" borderId="0" xfId="0" applyFont="1" applyFill="1" applyBorder="1" applyAlignment="1" applyProtection="1">
      <alignment horizontal="center"/>
      <protection hidden="1"/>
    </xf>
    <xf numFmtId="0" fontId="15" fillId="9" borderId="0" xfId="0" applyFont="1" applyFill="1" applyBorder="1" applyProtection="1">
      <protection hidden="1"/>
    </xf>
    <xf numFmtId="164" fontId="30" fillId="10" borderId="13" xfId="0" applyNumberFormat="1" applyFont="1" applyFill="1" applyBorder="1" applyAlignment="1" applyProtection="1">
      <alignment horizontal="left"/>
      <protection hidden="1"/>
    </xf>
    <xf numFmtId="164" fontId="15" fillId="0" borderId="0" xfId="0" applyNumberFormat="1" applyFont="1" applyFill="1" applyBorder="1" applyProtection="1">
      <protection hidden="1"/>
    </xf>
    <xf numFmtId="0" fontId="3" fillId="10" borderId="0" xfId="0" applyFont="1" applyFill="1" applyBorder="1" applyProtection="1">
      <protection hidden="1"/>
    </xf>
    <xf numFmtId="164" fontId="15" fillId="7" borderId="0" xfId="0" applyNumberFormat="1" applyFont="1" applyFill="1" applyBorder="1" applyProtection="1">
      <protection hidden="1"/>
    </xf>
    <xf numFmtId="0" fontId="3" fillId="7" borderId="0" xfId="0" applyFont="1" applyFill="1" applyBorder="1" applyAlignment="1" applyProtection="1">
      <alignment horizontal="center"/>
      <protection hidden="1"/>
    </xf>
    <xf numFmtId="164" fontId="19" fillId="7" borderId="0" xfId="0" applyNumberFormat="1" applyFont="1" applyFill="1" applyBorder="1" applyAlignment="1" applyProtection="1">
      <protection hidden="1"/>
    </xf>
    <xf numFmtId="0" fontId="3" fillId="7" borderId="0" xfId="0" applyFont="1" applyFill="1" applyBorder="1" applyProtection="1">
      <protection hidden="1"/>
    </xf>
    <xf numFmtId="9" fontId="3" fillId="7" borderId="0" xfId="0" applyNumberFormat="1" applyFont="1" applyFill="1" applyBorder="1" applyAlignment="1" applyProtection="1">
      <alignment horizontal="center"/>
      <protection hidden="1"/>
    </xf>
    <xf numFmtId="0" fontId="15" fillId="7" borderId="0" xfId="0" applyFont="1" applyFill="1" applyBorder="1" applyAlignment="1" applyProtection="1">
      <alignment horizontal="center"/>
      <protection hidden="1"/>
    </xf>
    <xf numFmtId="0" fontId="15" fillId="7" borderId="0" xfId="0" applyFont="1" applyFill="1" applyBorder="1" applyProtection="1">
      <protection hidden="1"/>
    </xf>
    <xf numFmtId="164" fontId="3" fillId="7" borderId="0" xfId="0" applyNumberFormat="1" applyFont="1" applyFill="1" applyBorder="1" applyAlignment="1" applyProtection="1">
      <protection hidden="1"/>
    </xf>
    <xf numFmtId="0" fontId="3" fillId="7" borderId="0" xfId="0" applyFont="1" applyFill="1" applyBorder="1" applyAlignment="1" applyProtection="1">
      <protection hidden="1"/>
    </xf>
    <xf numFmtId="164" fontId="3" fillId="7" borderId="0" xfId="0" applyNumberFormat="1" applyFont="1" applyFill="1" applyBorder="1" applyProtection="1">
      <protection hidden="1"/>
    </xf>
    <xf numFmtId="0" fontId="3" fillId="7" borderId="0" xfId="0" applyFont="1" applyFill="1" applyAlignment="1" applyProtection="1">
      <alignment horizontal="right"/>
      <protection hidden="1"/>
    </xf>
    <xf numFmtId="0" fontId="3" fillId="7" borderId="0" xfId="0" applyFont="1" applyFill="1" applyProtection="1">
      <protection hidden="1"/>
    </xf>
    <xf numFmtId="9" fontId="3" fillId="7" borderId="0" xfId="0" applyNumberFormat="1" applyFont="1" applyFill="1" applyBorder="1" applyProtection="1">
      <protection hidden="1"/>
    </xf>
    <xf numFmtId="9" fontId="3" fillId="0" borderId="0" xfId="0" applyNumberFormat="1" applyFont="1" applyFill="1" applyBorder="1" applyProtection="1">
      <protection hidden="1"/>
    </xf>
    <xf numFmtId="164" fontId="18" fillId="0" borderId="8" xfId="0" applyNumberFormat="1" applyFont="1" applyBorder="1" applyAlignment="1" applyProtection="1">
      <alignment horizontal="center"/>
      <protection hidden="1"/>
    </xf>
    <xf numFmtId="0" fontId="20" fillId="0" borderId="51" xfId="0" applyFont="1" applyBorder="1" applyProtection="1">
      <protection hidden="1"/>
    </xf>
    <xf numFmtId="0" fontId="7" fillId="0" borderId="9" xfId="0" applyFont="1" applyBorder="1" applyProtection="1">
      <protection hidden="1"/>
    </xf>
    <xf numFmtId="169" fontId="55" fillId="0" borderId="10" xfId="0" applyNumberFormat="1" applyFont="1" applyBorder="1" applyAlignment="1" applyProtection="1">
      <alignment horizontal="center"/>
      <protection hidden="1"/>
    </xf>
    <xf numFmtId="0" fontId="7" fillId="0" borderId="10" xfId="0" applyFont="1" applyBorder="1" applyProtection="1">
      <protection hidden="1"/>
    </xf>
    <xf numFmtId="164" fontId="7" fillId="0" borderId="10" xfId="0" applyNumberFormat="1" applyFont="1" applyBorder="1" applyProtection="1">
      <protection hidden="1"/>
    </xf>
    <xf numFmtId="0" fontId="7" fillId="0" borderId="11" xfId="0" applyFont="1" applyBorder="1" applyProtection="1">
      <protection hidden="1"/>
    </xf>
    <xf numFmtId="164" fontId="53" fillId="7" borderId="0" xfId="0" applyNumberFormat="1" applyFont="1" applyFill="1" applyBorder="1" applyAlignment="1" applyProtection="1">
      <protection hidden="1"/>
    </xf>
    <xf numFmtId="0" fontId="3" fillId="7" borderId="0" xfId="0" applyFont="1" applyFill="1" applyBorder="1" applyAlignment="1" applyProtection="1">
      <alignment horizontal="left"/>
      <protection hidden="1"/>
    </xf>
    <xf numFmtId="0" fontId="3" fillId="10" borderId="0" xfId="0" applyFont="1" applyFill="1" applyBorder="1" applyAlignment="1" applyProtection="1">
      <alignment horizontal="center"/>
      <protection hidden="1"/>
    </xf>
    <xf numFmtId="164" fontId="19" fillId="10" borderId="0" xfId="0" applyNumberFormat="1" applyFont="1" applyFill="1" applyBorder="1" applyAlignment="1" applyProtection="1">
      <protection hidden="1"/>
    </xf>
    <xf numFmtId="9" fontId="3" fillId="10" borderId="0" xfId="0" applyNumberFormat="1" applyFont="1" applyFill="1" applyBorder="1" applyAlignment="1" applyProtection="1">
      <alignment horizontal="center"/>
      <protection hidden="1"/>
    </xf>
    <xf numFmtId="0" fontId="15" fillId="10" borderId="0" xfId="0" applyFont="1" applyFill="1" applyBorder="1" applyAlignment="1" applyProtection="1">
      <alignment horizontal="center"/>
      <protection hidden="1"/>
    </xf>
    <xf numFmtId="0" fontId="15" fillId="10" borderId="0" xfId="0" applyFont="1" applyFill="1" applyBorder="1" applyProtection="1">
      <protection hidden="1"/>
    </xf>
    <xf numFmtId="0" fontId="3" fillId="10" borderId="0" xfId="0" applyFont="1" applyFill="1" applyProtection="1">
      <protection hidden="1"/>
    </xf>
    <xf numFmtId="0" fontId="3" fillId="10" borderId="0" xfId="0" applyFont="1" applyFill="1" applyAlignment="1" applyProtection="1">
      <alignment horizontal="right"/>
      <protection hidden="1"/>
    </xf>
    <xf numFmtId="0" fontId="3" fillId="10" borderId="0" xfId="0" applyFont="1" applyFill="1" applyBorder="1" applyAlignment="1" applyProtection="1">
      <protection hidden="1"/>
    </xf>
    <xf numFmtId="164" fontId="53" fillId="10" borderId="0" xfId="0" applyNumberFormat="1" applyFont="1" applyFill="1" applyBorder="1" applyAlignment="1" applyProtection="1">
      <protection hidden="1"/>
    </xf>
    <xf numFmtId="0" fontId="30" fillId="0" borderId="23" xfId="0" applyFont="1" applyBorder="1" applyProtection="1">
      <protection hidden="1"/>
    </xf>
    <xf numFmtId="0" fontId="3" fillId="0" borderId="52" xfId="0" applyFont="1" applyBorder="1" applyAlignment="1" applyProtection="1">
      <alignment horizontal="center"/>
      <protection hidden="1"/>
    </xf>
    <xf numFmtId="0" fontId="30" fillId="0" borderId="52" xfId="0" applyFont="1" applyBorder="1" applyAlignment="1" applyProtection="1">
      <alignment horizontal="left"/>
      <protection hidden="1"/>
    </xf>
    <xf numFmtId="0" fontId="4" fillId="0" borderId="0" xfId="0" applyFont="1" applyBorder="1" applyAlignment="1" applyProtection="1">
      <alignment horizontal="centerContinuous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5" fillId="10" borderId="4" xfId="0" applyFont="1" applyFill="1" applyBorder="1" applyAlignment="1" applyProtection="1">
      <alignment horizontal="center"/>
      <protection hidden="1"/>
    </xf>
    <xf numFmtId="49" fontId="30" fillId="10" borderId="22" xfId="0" applyNumberFormat="1" applyFont="1" applyFill="1" applyBorder="1" applyAlignment="1" applyProtection="1">
      <alignment horizontal="center"/>
      <protection hidden="1"/>
    </xf>
    <xf numFmtId="175" fontId="30" fillId="10" borderId="22" xfId="0" applyNumberFormat="1" applyFont="1" applyFill="1" applyBorder="1" applyAlignment="1" applyProtection="1">
      <alignment horizontal="center"/>
      <protection hidden="1"/>
    </xf>
    <xf numFmtId="14" fontId="3" fillId="0" borderId="0" xfId="0" applyNumberFormat="1" applyFont="1" applyProtection="1">
      <protection hidden="1"/>
    </xf>
    <xf numFmtId="0" fontId="47" fillId="0" borderId="23" xfId="0" applyFont="1" applyBorder="1" applyProtection="1">
      <protection hidden="1"/>
    </xf>
    <xf numFmtId="0" fontId="47" fillId="0" borderId="4" xfId="0" applyFont="1" applyBorder="1" applyAlignment="1" applyProtection="1">
      <alignment horizontal="center"/>
      <protection hidden="1"/>
    </xf>
    <xf numFmtId="0" fontId="20" fillId="0" borderId="15" xfId="0" applyFont="1" applyBorder="1" applyProtection="1">
      <protection hidden="1"/>
    </xf>
    <xf numFmtId="169" fontId="20" fillId="0" borderId="0" xfId="0" applyNumberFormat="1" applyFont="1" applyBorder="1" applyProtection="1">
      <protection hidden="1"/>
    </xf>
    <xf numFmtId="12" fontId="20" fillId="0" borderId="0" xfId="0" applyNumberFormat="1" applyFont="1" applyBorder="1" applyProtection="1">
      <protection hidden="1"/>
    </xf>
    <xf numFmtId="0" fontId="3" fillId="0" borderId="16" xfId="0" applyFont="1" applyBorder="1" applyProtection="1">
      <protection hidden="1"/>
    </xf>
    <xf numFmtId="0" fontId="3" fillId="0" borderId="17" xfId="0" applyFont="1" applyBorder="1" applyAlignment="1" applyProtection="1">
      <alignment horizontal="center"/>
      <protection hidden="1"/>
    </xf>
    <xf numFmtId="14" fontId="3" fillId="0" borderId="18" xfId="0" applyNumberFormat="1" applyFont="1" applyBorder="1" applyProtection="1">
      <protection hidden="1"/>
    </xf>
    <xf numFmtId="0" fontId="30" fillId="0" borderId="0" xfId="0" applyFont="1" applyProtection="1">
      <protection hidden="1"/>
    </xf>
    <xf numFmtId="0" fontId="11" fillId="0" borderId="0" xfId="0" applyFont="1" applyAlignment="1" applyProtection="1">
      <alignment horizontal="left"/>
      <protection hidden="1"/>
    </xf>
    <xf numFmtId="0" fontId="20" fillId="0" borderId="42" xfId="0" applyFont="1" applyBorder="1" applyAlignment="1" applyProtection="1">
      <protection hidden="1"/>
    </xf>
    <xf numFmtId="0" fontId="20" fillId="0" borderId="34" xfId="0" applyFont="1" applyBorder="1" applyAlignment="1" applyProtection="1">
      <alignment horizontal="center"/>
      <protection hidden="1"/>
    </xf>
    <xf numFmtId="0" fontId="20" fillId="0" borderId="53" xfId="0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Continuous"/>
      <protection hidden="1"/>
    </xf>
    <xf numFmtId="0" fontId="20" fillId="0" borderId="6" xfId="0" applyFont="1" applyBorder="1" applyAlignment="1" applyProtection="1">
      <alignment horizontal="centerContinuous"/>
      <protection hidden="1"/>
    </xf>
    <xf numFmtId="169" fontId="20" fillId="10" borderId="45" xfId="0" applyNumberFormat="1" applyFont="1" applyFill="1" applyBorder="1" applyAlignment="1" applyProtection="1">
      <alignment horizontal="center"/>
      <protection hidden="1"/>
    </xf>
    <xf numFmtId="164" fontId="30" fillId="10" borderId="22" xfId="0" applyNumberFormat="1" applyFont="1" applyFill="1" applyBorder="1" applyAlignment="1" applyProtection="1">
      <alignment horizontal="center"/>
      <protection hidden="1"/>
    </xf>
    <xf numFmtId="0" fontId="30" fillId="0" borderId="1" xfId="0" applyFont="1" applyBorder="1" applyAlignment="1" applyProtection="1">
      <alignment horizontal="center"/>
      <protection hidden="1"/>
    </xf>
    <xf numFmtId="169" fontId="46" fillId="10" borderId="45" xfId="0" applyNumberFormat="1" applyFont="1" applyFill="1" applyBorder="1" applyAlignment="1" applyProtection="1">
      <alignment horizontal="center"/>
      <protection hidden="1"/>
    </xf>
    <xf numFmtId="172" fontId="30" fillId="10" borderId="22" xfId="0" applyNumberFormat="1" applyFont="1" applyFill="1" applyBorder="1" applyAlignment="1" applyProtection="1">
      <alignment horizontal="center"/>
      <protection hidden="1"/>
    </xf>
    <xf numFmtId="0" fontId="20" fillId="0" borderId="27" xfId="0" applyFont="1" applyBorder="1" applyProtection="1">
      <protection hidden="1"/>
    </xf>
    <xf numFmtId="164" fontId="53" fillId="0" borderId="0" xfId="0" applyNumberFormat="1" applyFont="1" applyBorder="1" applyProtection="1">
      <protection hidden="1"/>
    </xf>
    <xf numFmtId="0" fontId="30" fillId="0" borderId="8" xfId="0" applyFont="1" applyBorder="1" applyProtection="1">
      <protection hidden="1"/>
    </xf>
    <xf numFmtId="164" fontId="20" fillId="0" borderId="10" xfId="0" applyNumberFormat="1" applyFont="1" applyBorder="1" applyProtection="1">
      <protection hidden="1"/>
    </xf>
    <xf numFmtId="164" fontId="48" fillId="0" borderId="10" xfId="0" applyNumberFormat="1" applyFont="1" applyBorder="1" applyProtection="1">
      <protection hidden="1"/>
    </xf>
    <xf numFmtId="0" fontId="20" fillId="0" borderId="11" xfId="0" applyFont="1" applyBorder="1" applyProtection="1">
      <protection hidden="1"/>
    </xf>
    <xf numFmtId="0" fontId="22" fillId="0" borderId="0" xfId="0" applyFont="1" applyBorder="1" applyProtection="1">
      <protection hidden="1"/>
    </xf>
    <xf numFmtId="0" fontId="8" fillId="0" borderId="54" xfId="0" applyFont="1" applyBorder="1" applyAlignment="1" applyProtection="1">
      <alignment horizontal="center"/>
      <protection hidden="1"/>
    </xf>
    <xf numFmtId="164" fontId="8" fillId="0" borderId="30" xfId="0" applyNumberFormat="1" applyFont="1" applyBorder="1" applyAlignment="1" applyProtection="1">
      <alignment horizontal="center"/>
      <protection hidden="1"/>
    </xf>
    <xf numFmtId="0" fontId="8" fillId="0" borderId="30" xfId="0" applyFont="1" applyBorder="1" applyAlignment="1" applyProtection="1">
      <alignment horizontal="center"/>
      <protection hidden="1"/>
    </xf>
    <xf numFmtId="0" fontId="8" fillId="0" borderId="27" xfId="0" applyFont="1" applyBorder="1" applyAlignment="1" applyProtection="1">
      <alignment horizontal="center"/>
      <protection hidden="1"/>
    </xf>
    <xf numFmtId="0" fontId="8" fillId="0" borderId="55" xfId="0" applyFont="1" applyBorder="1" applyAlignment="1" applyProtection="1">
      <alignment horizontal="center"/>
      <protection hidden="1"/>
    </xf>
    <xf numFmtId="2" fontId="1" fillId="0" borderId="19" xfId="0" applyNumberFormat="1" applyFont="1" applyBorder="1" applyAlignment="1" applyProtection="1">
      <alignment horizontal="center"/>
      <protection hidden="1"/>
    </xf>
    <xf numFmtId="0" fontId="8" fillId="0" borderId="56" xfId="0" applyFont="1" applyBorder="1" applyAlignment="1" applyProtection="1">
      <alignment horizont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14" fontId="8" fillId="0" borderId="1" xfId="0" applyNumberFormat="1" applyFont="1" applyBorder="1" applyAlignment="1" applyProtection="1">
      <alignment horizontal="center"/>
      <protection hidden="1"/>
    </xf>
    <xf numFmtId="14" fontId="8" fillId="0" borderId="8" xfId="0" applyNumberFormat="1" applyFont="1" applyBorder="1" applyAlignment="1" applyProtection="1">
      <alignment horizontal="center"/>
      <protection hidden="1"/>
    </xf>
    <xf numFmtId="14" fontId="8" fillId="0" borderId="57" xfId="0" applyNumberFormat="1" applyFont="1" applyBorder="1" applyAlignment="1" applyProtection="1">
      <alignment horizontal="center"/>
      <protection hidden="1"/>
    </xf>
    <xf numFmtId="14" fontId="1" fillId="0" borderId="20" xfId="0" applyNumberFormat="1" applyFont="1" applyBorder="1" applyAlignment="1" applyProtection="1">
      <alignment horizontal="center"/>
      <protection hidden="1"/>
    </xf>
    <xf numFmtId="0" fontId="8" fillId="0" borderId="58" xfId="0" applyFont="1" applyBorder="1" applyAlignment="1" applyProtection="1">
      <alignment horizontal="center"/>
      <protection hidden="1"/>
    </xf>
    <xf numFmtId="168" fontId="8" fillId="0" borderId="32" xfId="0" applyNumberFormat="1" applyFont="1" applyBorder="1" applyAlignment="1" applyProtection="1">
      <alignment horizontal="center"/>
      <protection hidden="1"/>
    </xf>
    <xf numFmtId="164" fontId="8" fillId="0" borderId="32" xfId="0" applyNumberFormat="1" applyFont="1" applyBorder="1" applyAlignment="1" applyProtection="1">
      <alignment horizontal="center"/>
      <protection hidden="1"/>
    </xf>
    <xf numFmtId="0" fontId="8" fillId="0" borderId="32" xfId="0" applyFont="1" applyBorder="1" applyAlignment="1" applyProtection="1">
      <alignment horizontal="center"/>
      <protection hidden="1"/>
    </xf>
    <xf numFmtId="0" fontId="8" fillId="0" borderId="11" xfId="0" applyFont="1" applyBorder="1" applyAlignment="1" applyProtection="1">
      <alignment horizontal="center"/>
      <protection hidden="1"/>
    </xf>
    <xf numFmtId="0" fontId="8" fillId="0" borderId="59" xfId="0" applyFont="1" applyBorder="1" applyAlignment="1" applyProtection="1">
      <alignment horizontal="center"/>
      <protection hidden="1"/>
    </xf>
    <xf numFmtId="2" fontId="1" fillId="0" borderId="21" xfId="0" applyNumberFormat="1" applyFont="1" applyBorder="1" applyAlignment="1" applyProtection="1">
      <alignment horizontal="center"/>
      <protection hidden="1"/>
    </xf>
    <xf numFmtId="0" fontId="9" fillId="0" borderId="60" xfId="0" applyFont="1" applyBorder="1" applyProtection="1">
      <protection hidden="1"/>
    </xf>
    <xf numFmtId="164" fontId="8" fillId="0" borderId="61" xfId="0" applyNumberFormat="1" applyFont="1" applyBorder="1" applyAlignment="1" applyProtection="1">
      <alignment horizontal="right"/>
      <protection hidden="1"/>
    </xf>
    <xf numFmtId="164" fontId="8" fillId="0" borderId="62" xfId="0" applyNumberFormat="1" applyFont="1" applyBorder="1" applyAlignment="1" applyProtection="1">
      <alignment horizontal="right"/>
      <protection hidden="1"/>
    </xf>
    <xf numFmtId="164" fontId="8" fillId="0" borderId="63" xfId="0" applyNumberFormat="1" applyFont="1" applyBorder="1" applyAlignment="1" applyProtection="1">
      <alignment horizontal="right"/>
      <protection hidden="1"/>
    </xf>
    <xf numFmtId="165" fontId="9" fillId="0" borderId="62" xfId="1" applyFont="1" applyBorder="1" applyAlignment="1" applyProtection="1">
      <alignment horizontal="center"/>
      <protection hidden="1"/>
    </xf>
    <xf numFmtId="165" fontId="10" fillId="0" borderId="62" xfId="1" applyFont="1" applyBorder="1" applyProtection="1">
      <protection hidden="1"/>
    </xf>
    <xf numFmtId="2" fontId="10" fillId="0" borderId="62" xfId="0" applyNumberFormat="1" applyFont="1" applyBorder="1" applyProtection="1">
      <protection hidden="1"/>
    </xf>
    <xf numFmtId="2" fontId="0" fillId="0" borderId="63" xfId="0" applyNumberFormat="1" applyBorder="1" applyProtection="1">
      <protection hidden="1"/>
    </xf>
    <xf numFmtId="0" fontId="9" fillId="0" borderId="64" xfId="0" applyFont="1" applyBorder="1" applyProtection="1">
      <protection hidden="1"/>
    </xf>
    <xf numFmtId="164" fontId="8" fillId="0" borderId="46" xfId="0" applyNumberFormat="1" applyFont="1" applyBorder="1" applyAlignment="1" applyProtection="1">
      <alignment horizontal="right"/>
      <protection hidden="1"/>
    </xf>
    <xf numFmtId="164" fontId="8" fillId="0" borderId="22" xfId="0" applyNumberFormat="1" applyFont="1" applyBorder="1" applyAlignment="1" applyProtection="1">
      <alignment horizontal="right"/>
      <protection hidden="1"/>
    </xf>
    <xf numFmtId="164" fontId="8" fillId="0" borderId="65" xfId="0" applyNumberFormat="1" applyFont="1" applyBorder="1" applyAlignment="1" applyProtection="1">
      <alignment horizontal="right"/>
      <protection hidden="1"/>
    </xf>
    <xf numFmtId="165" fontId="9" fillId="0" borderId="22" xfId="1" applyFont="1" applyBorder="1" applyAlignment="1" applyProtection="1">
      <alignment horizontal="center"/>
      <protection hidden="1"/>
    </xf>
    <xf numFmtId="165" fontId="10" fillId="0" borderId="22" xfId="1" applyFont="1" applyBorder="1" applyProtection="1">
      <protection hidden="1"/>
    </xf>
    <xf numFmtId="2" fontId="10" fillId="0" borderId="22" xfId="0" applyNumberFormat="1" applyFont="1" applyBorder="1" applyProtection="1">
      <protection hidden="1"/>
    </xf>
    <xf numFmtId="2" fontId="0" fillId="0" borderId="65" xfId="0" applyNumberFormat="1" applyBorder="1" applyProtection="1">
      <protection hidden="1"/>
    </xf>
    <xf numFmtId="0" fontId="2" fillId="0" borderId="64" xfId="0" applyFont="1" applyBorder="1" applyProtection="1">
      <protection hidden="1"/>
    </xf>
    <xf numFmtId="0" fontId="9" fillId="0" borderId="66" xfId="0" applyFont="1" applyBorder="1" applyProtection="1">
      <protection hidden="1"/>
    </xf>
    <xf numFmtId="0" fontId="3" fillId="4" borderId="0" xfId="0" applyFont="1" applyFill="1" applyBorder="1" applyProtection="1">
      <protection hidden="1"/>
    </xf>
    <xf numFmtId="0" fontId="3" fillId="5" borderId="61" xfId="0" applyFont="1" applyFill="1" applyBorder="1" applyProtection="1">
      <protection hidden="1"/>
    </xf>
    <xf numFmtId="0" fontId="19" fillId="3" borderId="62" xfId="0" applyFont="1" applyFill="1" applyBorder="1" applyAlignment="1" applyProtection="1">
      <alignment horizontal="left" vertical="center"/>
      <protection hidden="1"/>
    </xf>
    <xf numFmtId="0" fontId="19" fillId="3" borderId="62" xfId="0" applyFont="1" applyFill="1" applyBorder="1" applyAlignment="1" applyProtection="1">
      <alignment horizontal="center" vertical="center"/>
      <protection hidden="1"/>
    </xf>
    <xf numFmtId="0" fontId="19" fillId="3" borderId="63" xfId="0" applyFont="1" applyFill="1" applyBorder="1" applyAlignment="1" applyProtection="1">
      <alignment horizontal="left" vertical="center"/>
      <protection hidden="1"/>
    </xf>
    <xf numFmtId="0" fontId="3" fillId="5" borderId="46" xfId="0" applyFont="1" applyFill="1" applyBorder="1" applyProtection="1">
      <protection hidden="1"/>
    </xf>
    <xf numFmtId="0" fontId="19" fillId="3" borderId="22" xfId="0" applyFont="1" applyFill="1" applyBorder="1" applyAlignment="1" applyProtection="1">
      <alignment horizontal="left" vertical="center"/>
      <protection hidden="1"/>
    </xf>
    <xf numFmtId="0" fontId="19" fillId="3" borderId="65" xfId="0" applyFont="1" applyFill="1" applyBorder="1" applyAlignment="1" applyProtection="1">
      <alignment horizontal="left" vertical="center"/>
      <protection hidden="1"/>
    </xf>
    <xf numFmtId="164" fontId="3" fillId="5" borderId="46" xfId="0" applyNumberFormat="1" applyFont="1" applyFill="1" applyBorder="1" applyProtection="1">
      <protection hidden="1"/>
    </xf>
    <xf numFmtId="164" fontId="3" fillId="5" borderId="37" xfId="0" applyNumberFormat="1" applyFont="1" applyFill="1" applyBorder="1" applyProtection="1">
      <protection hidden="1"/>
    </xf>
    <xf numFmtId="0" fontId="19" fillId="3" borderId="38" xfId="0" applyFont="1" applyFill="1" applyBorder="1" applyAlignment="1" applyProtection="1">
      <alignment horizontal="left" vertical="center"/>
      <protection hidden="1"/>
    </xf>
    <xf numFmtId="0" fontId="20" fillId="10" borderId="0" xfId="0" applyFont="1" applyFill="1" applyBorder="1" applyProtection="1">
      <protection hidden="1"/>
    </xf>
    <xf numFmtId="3" fontId="20" fillId="10" borderId="1" xfId="0" quotePrefix="1" applyNumberFormat="1" applyFont="1" applyFill="1" applyBorder="1" applyAlignment="1" applyProtection="1">
      <alignment horizontal="center"/>
      <protection hidden="1"/>
    </xf>
    <xf numFmtId="14" fontId="20" fillId="10" borderId="0" xfId="0" applyNumberFormat="1" applyFont="1" applyFill="1" applyBorder="1" applyProtection="1">
      <protection hidden="1"/>
    </xf>
    <xf numFmtId="175" fontId="20" fillId="10" borderId="22" xfId="0" applyNumberFormat="1" applyFont="1" applyFill="1" applyBorder="1" applyAlignment="1" applyProtection="1">
      <alignment horizontal="center"/>
      <protection hidden="1"/>
    </xf>
    <xf numFmtId="164" fontId="20" fillId="10" borderId="22" xfId="0" applyNumberFormat="1" applyFont="1" applyFill="1" applyBorder="1" applyAlignment="1" applyProtection="1">
      <alignment horizontal="center"/>
      <protection hidden="1"/>
    </xf>
    <xf numFmtId="164" fontId="30" fillId="10" borderId="0" xfId="0" applyNumberFormat="1" applyFont="1" applyFill="1" applyBorder="1" applyAlignment="1" applyProtection="1">
      <alignment horizontal="left"/>
      <protection hidden="1"/>
    </xf>
    <xf numFmtId="175" fontId="46" fillId="10" borderId="22" xfId="0" applyNumberFormat="1" applyFont="1" applyFill="1" applyBorder="1" applyAlignment="1" applyProtection="1">
      <alignment horizontal="center"/>
      <protection hidden="1"/>
    </xf>
    <xf numFmtId="172" fontId="20" fillId="10" borderId="22" xfId="0" applyNumberFormat="1" applyFont="1" applyFill="1" applyBorder="1" applyAlignment="1" applyProtection="1">
      <alignment horizontal="center"/>
      <protection hidden="1"/>
    </xf>
    <xf numFmtId="14" fontId="20" fillId="10" borderId="1" xfId="0" applyNumberFormat="1" applyFont="1" applyFill="1" applyBorder="1" applyProtection="1">
      <protection hidden="1"/>
    </xf>
    <xf numFmtId="169" fontId="20" fillId="10" borderId="62" xfId="0" applyNumberFormat="1" applyFont="1" applyFill="1" applyBorder="1" applyAlignment="1" applyProtection="1">
      <alignment horizontal="center"/>
      <protection hidden="1"/>
    </xf>
    <xf numFmtId="164" fontId="20" fillId="0" borderId="62" xfId="0" applyNumberFormat="1" applyFont="1" applyBorder="1" applyProtection="1">
      <protection hidden="1"/>
    </xf>
    <xf numFmtId="164" fontId="30" fillId="10" borderId="27" xfId="0" applyNumberFormat="1" applyFont="1" applyFill="1" applyBorder="1" applyAlignment="1" applyProtection="1">
      <alignment horizontal="left"/>
      <protection hidden="1"/>
    </xf>
    <xf numFmtId="164" fontId="30" fillId="10" borderId="8" xfId="0" applyNumberFormat="1" applyFont="1" applyFill="1" applyBorder="1" applyAlignment="1" applyProtection="1">
      <alignment horizontal="left"/>
      <protection hidden="1"/>
    </xf>
    <xf numFmtId="0" fontId="30" fillId="0" borderId="8" xfId="0" applyFont="1" applyBorder="1" applyAlignment="1" applyProtection="1">
      <alignment horizontal="center"/>
      <protection hidden="1"/>
    </xf>
    <xf numFmtId="172" fontId="20" fillId="10" borderId="15" xfId="0" applyNumberFormat="1" applyFont="1" applyFill="1" applyBorder="1" applyProtection="1">
      <protection hidden="1"/>
    </xf>
    <xf numFmtId="169" fontId="20" fillId="10" borderId="31" xfId="0" applyNumberFormat="1" applyFont="1" applyFill="1" applyBorder="1" applyAlignment="1" applyProtection="1">
      <alignment horizontal="center"/>
      <protection hidden="1"/>
    </xf>
    <xf numFmtId="169" fontId="46" fillId="10" borderId="31" xfId="0" applyNumberFormat="1" applyFont="1" applyFill="1" applyBorder="1" applyAlignment="1" applyProtection="1">
      <alignment horizontal="center"/>
      <protection hidden="1"/>
    </xf>
    <xf numFmtId="164" fontId="30" fillId="10" borderId="11" xfId="0" applyNumberFormat="1" applyFont="1" applyFill="1" applyBorder="1" applyAlignment="1" applyProtection="1">
      <alignment horizontal="left"/>
      <protection hidden="1"/>
    </xf>
    <xf numFmtId="169" fontId="46" fillId="10" borderId="38" xfId="0" applyNumberFormat="1" applyFont="1" applyFill="1" applyBorder="1" applyAlignment="1" applyProtection="1">
      <alignment horizontal="center"/>
      <protection hidden="1"/>
    </xf>
    <xf numFmtId="169" fontId="20" fillId="10" borderId="1" xfId="0" applyNumberFormat="1" applyFont="1" applyFill="1" applyBorder="1" applyAlignment="1" applyProtection="1">
      <alignment horizontal="center"/>
      <protection hidden="1"/>
    </xf>
    <xf numFmtId="0" fontId="8" fillId="0" borderId="8" xfId="0" applyFont="1" applyBorder="1" applyAlignment="1" applyProtection="1">
      <alignment horizontal="center"/>
      <protection hidden="1"/>
    </xf>
    <xf numFmtId="0" fontId="8" fillId="0" borderId="57" xfId="0" applyFont="1" applyBorder="1" applyAlignment="1" applyProtection="1">
      <alignment horizontal="center"/>
      <protection hidden="1"/>
    </xf>
    <xf numFmtId="2" fontId="1" fillId="0" borderId="20" xfId="0" applyNumberFormat="1" applyFont="1" applyBorder="1" applyAlignment="1" applyProtection="1">
      <alignment horizontal="center"/>
      <protection hidden="1"/>
    </xf>
    <xf numFmtId="175" fontId="20" fillId="10" borderId="1" xfId="0" quotePrefix="1" applyNumberFormat="1" applyFont="1" applyFill="1" applyBorder="1" applyAlignment="1" applyProtection="1">
      <alignment horizontal="center"/>
      <protection hidden="1"/>
    </xf>
    <xf numFmtId="164" fontId="5" fillId="0" borderId="0" xfId="0" applyNumberFormat="1" applyFont="1" applyFill="1" applyBorder="1" applyAlignment="1" applyProtection="1">
      <alignment horizontal="center"/>
      <protection hidden="1"/>
    </xf>
    <xf numFmtId="0" fontId="19" fillId="0" borderId="0" xfId="0" applyFont="1" applyFill="1" applyBorder="1" applyAlignment="1" applyProtection="1">
      <alignment horizontal="center" vertical="center"/>
      <protection hidden="1"/>
    </xf>
    <xf numFmtId="0" fontId="71" fillId="0" borderId="0" xfId="0" applyFont="1" applyFill="1" applyBorder="1" applyAlignment="1" applyProtection="1">
      <alignment horizontal="center" vertical="center"/>
      <protection hidden="1"/>
    </xf>
    <xf numFmtId="0" fontId="53" fillId="0" borderId="0" xfId="0" applyFont="1" applyFill="1" applyBorder="1" applyAlignment="1" applyProtection="1">
      <alignment horizontal="center" vertical="center"/>
      <protection hidden="1"/>
    </xf>
    <xf numFmtId="0" fontId="19" fillId="0" borderId="0" xfId="0" applyFont="1" applyFill="1" applyBorder="1" applyAlignment="1" applyProtection="1">
      <alignment horizontal="left" vertical="center"/>
      <protection hidden="1"/>
    </xf>
    <xf numFmtId="0" fontId="70" fillId="0" borderId="0" xfId="0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/>
      <protection hidden="1"/>
    </xf>
    <xf numFmtId="171" fontId="3" fillId="0" borderId="0" xfId="0" applyNumberFormat="1" applyFont="1" applyFill="1" applyBorder="1" applyAlignment="1" applyProtection="1">
      <alignment horizontal="center"/>
      <protection hidden="1"/>
    </xf>
    <xf numFmtId="0" fontId="36" fillId="0" borderId="0" xfId="0" applyFont="1" applyFill="1" applyBorder="1" applyAlignment="1" applyProtection="1">
      <alignment horizontal="left"/>
      <protection hidden="1"/>
    </xf>
    <xf numFmtId="0" fontId="36" fillId="0" borderId="0" xfId="0" applyFont="1" applyFill="1" applyAlignment="1" applyProtection="1">
      <alignment horizontal="left"/>
      <protection hidden="1"/>
    </xf>
    <xf numFmtId="0" fontId="20" fillId="5" borderId="0" xfId="0" applyFont="1" applyFill="1" applyBorder="1" applyAlignment="1" applyProtection="1">
      <protection hidden="1"/>
    </xf>
    <xf numFmtId="164" fontId="7" fillId="5" borderId="0" xfId="0" applyNumberFormat="1" applyFont="1" applyFill="1" applyBorder="1" applyAlignment="1" applyProtection="1">
      <protection hidden="1"/>
    </xf>
    <xf numFmtId="0" fontId="20" fillId="5" borderId="8" xfId="0" applyFont="1" applyFill="1" applyBorder="1" applyAlignment="1" applyProtection="1">
      <protection hidden="1"/>
    </xf>
    <xf numFmtId="0" fontId="7" fillId="5" borderId="8" xfId="0" applyFont="1" applyFill="1" applyBorder="1" applyAlignment="1" applyProtection="1">
      <protection hidden="1"/>
    </xf>
    <xf numFmtId="9" fontId="30" fillId="0" borderId="0" xfId="0" applyNumberFormat="1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Continuous"/>
      <protection hidden="1"/>
    </xf>
    <xf numFmtId="0" fontId="3" fillId="5" borderId="0" xfId="0" applyFont="1" applyFill="1" applyBorder="1" applyAlignment="1" applyProtection="1">
      <protection hidden="1"/>
    </xf>
    <xf numFmtId="0" fontId="3" fillId="5" borderId="8" xfId="0" applyFont="1" applyFill="1" applyBorder="1" applyAlignment="1" applyProtection="1">
      <protection hidden="1"/>
    </xf>
    <xf numFmtId="13" fontId="30" fillId="0" borderId="0" xfId="0" applyNumberFormat="1" applyFont="1" applyFill="1" applyBorder="1" applyAlignment="1" applyProtection="1">
      <alignment horizontal="left"/>
      <protection hidden="1"/>
    </xf>
    <xf numFmtId="0" fontId="20" fillId="5" borderId="10" xfId="0" applyFont="1" applyFill="1" applyBorder="1" applyAlignment="1" applyProtection="1">
      <protection hidden="1"/>
    </xf>
    <xf numFmtId="0" fontId="20" fillId="5" borderId="11" xfId="0" applyFont="1" applyFill="1" applyBorder="1" applyAlignment="1" applyProtection="1">
      <protection hidden="1"/>
    </xf>
    <xf numFmtId="164" fontId="48" fillId="0" borderId="0" xfId="0" applyNumberFormat="1" applyFont="1" applyFill="1" applyBorder="1" applyAlignment="1" applyProtection="1">
      <protection hidden="1"/>
    </xf>
    <xf numFmtId="164" fontId="8" fillId="0" borderId="0" xfId="0" applyNumberFormat="1" applyFont="1" applyFill="1" applyBorder="1" applyAlignment="1" applyProtection="1">
      <alignment horizontal="center"/>
      <protection hidden="1"/>
    </xf>
    <xf numFmtId="14" fontId="8" fillId="0" borderId="0" xfId="0" applyNumberFormat="1" applyFont="1" applyFill="1" applyBorder="1" applyAlignment="1" applyProtection="1">
      <alignment horizontal="center"/>
      <protection hidden="1"/>
    </xf>
    <xf numFmtId="14" fontId="1" fillId="0" borderId="0" xfId="0" applyNumberFormat="1" applyFont="1" applyFill="1" applyBorder="1" applyAlignment="1" applyProtection="1">
      <alignment horizontal="center"/>
      <protection hidden="1"/>
    </xf>
    <xf numFmtId="168" fontId="8" fillId="0" borderId="0" xfId="0" applyNumberFormat="1" applyFont="1" applyFill="1" applyBorder="1" applyAlignment="1" applyProtection="1">
      <alignment horizontal="center"/>
      <protection hidden="1"/>
    </xf>
    <xf numFmtId="2" fontId="1" fillId="0" borderId="0" xfId="0" applyNumberFormat="1" applyFont="1" applyFill="1" applyBorder="1" applyAlignment="1" applyProtection="1">
      <alignment horizontal="center"/>
      <protection hidden="1"/>
    </xf>
    <xf numFmtId="9" fontId="30" fillId="4" borderId="22" xfId="0" applyNumberFormat="1" applyFont="1" applyFill="1" applyBorder="1" applyAlignment="1" applyProtection="1">
      <alignment horizontal="center"/>
      <protection hidden="1"/>
    </xf>
    <xf numFmtId="9" fontId="30" fillId="4" borderId="38" xfId="0" applyNumberFormat="1" applyFont="1" applyFill="1" applyBorder="1" applyAlignment="1" applyProtection="1">
      <alignment horizontal="center"/>
      <protection hidden="1"/>
    </xf>
    <xf numFmtId="164" fontId="20" fillId="10" borderId="0" xfId="0" applyNumberFormat="1" applyFont="1" applyFill="1" applyBorder="1" applyAlignment="1" applyProtection="1">
      <alignment horizontal="center"/>
      <protection hidden="1"/>
    </xf>
    <xf numFmtId="164" fontId="20" fillId="10" borderId="22" xfId="0" applyNumberFormat="1" applyFont="1" applyFill="1" applyBorder="1" applyProtection="1">
      <protection hidden="1"/>
    </xf>
    <xf numFmtId="12" fontId="20" fillId="10" borderId="0" xfId="0" applyNumberFormat="1" applyFont="1" applyFill="1" applyBorder="1" applyProtection="1">
      <protection hidden="1"/>
    </xf>
    <xf numFmtId="0" fontId="19" fillId="9" borderId="22" xfId="0" applyFont="1" applyFill="1" applyBorder="1" applyAlignment="1" applyProtection="1">
      <alignment horizontal="left"/>
      <protection hidden="1"/>
    </xf>
    <xf numFmtId="0" fontId="19" fillId="9" borderId="22" xfId="0" applyFont="1" applyFill="1" applyBorder="1" applyAlignment="1" applyProtection="1">
      <alignment horizontal="center"/>
      <protection hidden="1"/>
    </xf>
    <xf numFmtId="164" fontId="19" fillId="9" borderId="22" xfId="0" applyNumberFormat="1" applyFont="1" applyFill="1" applyBorder="1" applyAlignment="1" applyProtection="1">
      <alignment horizontal="center"/>
      <protection hidden="1"/>
    </xf>
    <xf numFmtId="0" fontId="16" fillId="9" borderId="22" xfId="0" applyFont="1" applyFill="1" applyBorder="1" applyAlignment="1" applyProtection="1">
      <protection hidden="1"/>
    </xf>
    <xf numFmtId="0" fontId="19" fillId="9" borderId="22" xfId="0" applyFont="1" applyFill="1" applyBorder="1" applyAlignment="1" applyProtection="1">
      <alignment horizontal="left" wrapText="1"/>
      <protection hidden="1"/>
    </xf>
    <xf numFmtId="0" fontId="19" fillId="0" borderId="22" xfId="0" applyFont="1" applyBorder="1" applyAlignment="1" applyProtection="1">
      <alignment horizontal="center"/>
      <protection locked="0"/>
    </xf>
    <xf numFmtId="0" fontId="19" fillId="9" borderId="67" xfId="0" applyFont="1" applyFill="1" applyBorder="1" applyAlignment="1" applyProtection="1">
      <alignment horizontal="center"/>
      <protection hidden="1"/>
    </xf>
    <xf numFmtId="0" fontId="19" fillId="9" borderId="45" xfId="0" applyFont="1" applyFill="1" applyBorder="1" applyAlignment="1" applyProtection="1">
      <alignment horizontal="center"/>
      <protection hidden="1"/>
    </xf>
    <xf numFmtId="0" fontId="19" fillId="9" borderId="22" xfId="0" applyFont="1" applyFill="1" applyBorder="1" applyAlignment="1" applyProtection="1">
      <alignment horizontal="right"/>
      <protection hidden="1"/>
    </xf>
    <xf numFmtId="0" fontId="19" fillId="9" borderId="23" xfId="0" applyFont="1" applyFill="1" applyBorder="1" applyAlignment="1" applyProtection="1">
      <alignment horizontal="left"/>
      <protection hidden="1"/>
    </xf>
    <xf numFmtId="0" fontId="19" fillId="9" borderId="24" xfId="0" applyFont="1" applyFill="1" applyBorder="1" applyAlignment="1" applyProtection="1">
      <alignment horizontal="left"/>
      <protection hidden="1"/>
    </xf>
    <xf numFmtId="0" fontId="19" fillId="9" borderId="22" xfId="0" applyFont="1" applyFill="1" applyBorder="1" applyProtection="1">
      <protection hidden="1"/>
    </xf>
    <xf numFmtId="0" fontId="74" fillId="9" borderId="45" xfId="0" applyFont="1" applyFill="1" applyBorder="1" applyAlignment="1" applyProtection="1">
      <alignment horizontal="center"/>
      <protection hidden="1"/>
    </xf>
    <xf numFmtId="0" fontId="74" fillId="9" borderId="22" xfId="0" applyFont="1" applyFill="1" applyBorder="1" applyAlignment="1" applyProtection="1">
      <alignment horizontal="center" wrapText="1"/>
      <protection hidden="1"/>
    </xf>
    <xf numFmtId="0" fontId="74" fillId="9" borderId="45" xfId="0" applyFont="1" applyFill="1" applyBorder="1" applyAlignment="1" applyProtection="1">
      <alignment horizontal="center" wrapText="1"/>
      <protection hidden="1"/>
    </xf>
    <xf numFmtId="14" fontId="0" fillId="0" borderId="22" xfId="0" applyNumberFormat="1" applyBorder="1" applyProtection="1">
      <protection locked="0"/>
    </xf>
    <xf numFmtId="164" fontId="0" fillId="0" borderId="22" xfId="0" applyNumberFormat="1" applyBorder="1" applyProtection="1">
      <protection locked="0"/>
    </xf>
    <xf numFmtId="164" fontId="0" fillId="9" borderId="22" xfId="0" applyNumberFormat="1" applyFill="1" applyBorder="1" applyProtection="1">
      <protection hidden="1"/>
    </xf>
    <xf numFmtId="164" fontId="0" fillId="9" borderId="23" xfId="0" applyNumberFormat="1" applyFill="1" applyBorder="1" applyProtection="1">
      <protection hidden="1"/>
    </xf>
    <xf numFmtId="164" fontId="0" fillId="9" borderId="14" xfId="0" applyNumberFormat="1" applyFill="1" applyBorder="1" applyProtection="1">
      <protection hidden="1"/>
    </xf>
    <xf numFmtId="14" fontId="0" fillId="9" borderId="22" xfId="0" applyNumberFormat="1" applyFill="1" applyBorder="1" applyProtection="1">
      <protection hidden="1"/>
    </xf>
    <xf numFmtId="0" fontId="30" fillId="0" borderId="7" xfId="0" applyFont="1" applyFill="1" applyBorder="1" applyAlignment="1" applyProtection="1">
      <alignment vertical="center"/>
      <protection hidden="1"/>
    </xf>
    <xf numFmtId="164" fontId="3" fillId="0" borderId="0" xfId="0" applyNumberFormat="1" applyFont="1" applyAlignment="1" applyProtection="1">
      <protection hidden="1"/>
    </xf>
    <xf numFmtId="164" fontId="0" fillId="0" borderId="22" xfId="0" applyNumberFormat="1" applyBorder="1" applyProtection="1">
      <protection hidden="1"/>
    </xf>
    <xf numFmtId="0" fontId="68" fillId="0" borderId="0" xfId="0" applyFont="1" applyProtection="1">
      <protection hidden="1"/>
    </xf>
    <xf numFmtId="0" fontId="19" fillId="0" borderId="22" xfId="0" applyFont="1" applyBorder="1" applyAlignment="1" applyProtection="1">
      <alignment horizontal="center" vertical="center"/>
      <protection locked="0"/>
    </xf>
    <xf numFmtId="165" fontId="50" fillId="0" borderId="0" xfId="1" applyFont="1" applyFill="1" applyBorder="1" applyAlignment="1" applyProtection="1">
      <protection hidden="1"/>
    </xf>
    <xf numFmtId="2" fontId="50" fillId="0" borderId="0" xfId="0" applyNumberFormat="1" applyFont="1" applyFill="1" applyBorder="1" applyAlignment="1" applyProtection="1">
      <protection hidden="1"/>
    </xf>
    <xf numFmtId="165" fontId="76" fillId="0" borderId="0" xfId="1" applyFont="1" applyFill="1" applyBorder="1" applyAlignment="1" applyProtection="1">
      <alignment horizontal="left"/>
      <protection hidden="1"/>
    </xf>
    <xf numFmtId="0" fontId="50" fillId="0" borderId="0" xfId="0" applyFont="1" applyFill="1" applyBorder="1" applyAlignment="1" applyProtection="1">
      <protection hidden="1"/>
    </xf>
    <xf numFmtId="0" fontId="58" fillId="0" borderId="0" xfId="0" applyFont="1" applyFill="1" applyBorder="1" applyAlignment="1" applyProtection="1">
      <alignment horizontal="right"/>
      <protection hidden="1"/>
    </xf>
    <xf numFmtId="0" fontId="77" fillId="0" borderId="0" xfId="0" applyFont="1" applyFill="1" applyBorder="1" applyAlignment="1" applyProtection="1">
      <protection hidden="1"/>
    </xf>
    <xf numFmtId="0" fontId="78" fillId="0" borderId="0" xfId="0" applyFont="1" applyFill="1" applyBorder="1" applyAlignment="1" applyProtection="1">
      <protection hidden="1"/>
    </xf>
    <xf numFmtId="0" fontId="50" fillId="0" borderId="0" xfId="0" applyFont="1" applyFill="1" applyBorder="1" applyAlignment="1" applyProtection="1">
      <alignment horizontal="center"/>
      <protection hidden="1"/>
    </xf>
    <xf numFmtId="14" fontId="50" fillId="0" borderId="0" xfId="0" applyNumberFormat="1" applyFont="1" applyFill="1" applyBorder="1" applyAlignment="1" applyProtection="1">
      <protection hidden="1"/>
    </xf>
    <xf numFmtId="14" fontId="53" fillId="0" borderId="0" xfId="0" applyNumberFormat="1" applyFont="1" applyFill="1" applyBorder="1" applyAlignment="1" applyProtection="1">
      <alignment horizontal="center"/>
      <protection hidden="1"/>
    </xf>
    <xf numFmtId="169" fontId="58" fillId="0" borderId="0" xfId="0" applyNumberFormat="1" applyFont="1" applyFill="1" applyBorder="1" applyAlignment="1" applyProtection="1">
      <alignment horizontal="center"/>
      <protection hidden="1"/>
    </xf>
    <xf numFmtId="169" fontId="50" fillId="0" borderId="0" xfId="0" applyNumberFormat="1" applyFont="1" applyFill="1" applyBorder="1" applyAlignment="1" applyProtection="1">
      <protection hidden="1"/>
    </xf>
    <xf numFmtId="170" fontId="50" fillId="0" borderId="0" xfId="0" applyNumberFormat="1" applyFont="1" applyFill="1" applyBorder="1" applyAlignment="1" applyProtection="1">
      <protection hidden="1"/>
    </xf>
    <xf numFmtId="0" fontId="58" fillId="0" borderId="0" xfId="0" applyFont="1" applyFill="1" applyBorder="1" applyAlignment="1" applyProtection="1">
      <alignment horizontal="left"/>
      <protection hidden="1"/>
    </xf>
    <xf numFmtId="167" fontId="50" fillId="0" borderId="0" xfId="0" applyNumberFormat="1" applyFont="1" applyFill="1" applyBorder="1" applyAlignment="1" applyProtection="1">
      <alignment horizontal="justify" vertical="center"/>
      <protection hidden="1"/>
    </xf>
    <xf numFmtId="169" fontId="50" fillId="0" borderId="0" xfId="0" applyNumberFormat="1" applyFont="1" applyFill="1" applyBorder="1" applyAlignment="1" applyProtection="1">
      <alignment horizontal="center"/>
      <protection hidden="1"/>
    </xf>
    <xf numFmtId="9" fontId="50" fillId="0" borderId="0" xfId="0" applyNumberFormat="1" applyFont="1" applyFill="1" applyBorder="1" applyAlignment="1" applyProtection="1">
      <protection hidden="1"/>
    </xf>
    <xf numFmtId="14" fontId="53" fillId="0" borderId="0" xfId="0" applyNumberFormat="1" applyFont="1" applyFill="1" applyBorder="1" applyAlignment="1" applyProtection="1">
      <alignment horizontal="left"/>
      <protection hidden="1"/>
    </xf>
    <xf numFmtId="171" fontId="50" fillId="0" borderId="0" xfId="0" applyNumberFormat="1" applyFont="1" applyFill="1" applyBorder="1" applyAlignment="1" applyProtection="1">
      <protection hidden="1"/>
    </xf>
    <xf numFmtId="169" fontId="79" fillId="0" borderId="0" xfId="0" applyNumberFormat="1" applyFont="1" applyFill="1" applyBorder="1" applyAlignment="1" applyProtection="1">
      <protection hidden="1"/>
    </xf>
    <xf numFmtId="169" fontId="58" fillId="0" borderId="0" xfId="0" applyNumberFormat="1" applyFont="1" applyFill="1" applyBorder="1" applyAlignment="1" applyProtection="1">
      <alignment horizontal="right"/>
      <protection hidden="1"/>
    </xf>
    <xf numFmtId="169" fontId="80" fillId="0" borderId="0" xfId="0" applyNumberFormat="1" applyFont="1" applyFill="1" applyBorder="1" applyAlignment="1" applyProtection="1">
      <alignment horizontal="center"/>
      <protection hidden="1"/>
    </xf>
    <xf numFmtId="169" fontId="53" fillId="0" borderId="0" xfId="0" applyNumberFormat="1" applyFont="1" applyFill="1" applyBorder="1" applyAlignment="1" applyProtection="1">
      <alignment horizontal="left"/>
      <protection hidden="1"/>
    </xf>
    <xf numFmtId="0" fontId="53" fillId="0" borderId="0" xfId="0" applyFont="1" applyFill="1" applyBorder="1" applyAlignment="1" applyProtection="1">
      <alignment horizontal="left"/>
      <protection hidden="1"/>
    </xf>
    <xf numFmtId="0" fontId="53" fillId="0" borderId="0" xfId="0" applyFont="1" applyFill="1" applyBorder="1" applyAlignment="1" applyProtection="1">
      <alignment horizontal="center"/>
      <protection hidden="1"/>
    </xf>
    <xf numFmtId="164" fontId="61" fillId="0" borderId="0" xfId="0" applyNumberFormat="1" applyFont="1" applyFill="1" applyBorder="1" applyAlignment="1" applyProtection="1">
      <protection hidden="1"/>
    </xf>
    <xf numFmtId="164" fontId="61" fillId="0" borderId="0" xfId="0" applyNumberFormat="1" applyFont="1" applyFill="1" applyBorder="1" applyAlignment="1" applyProtection="1">
      <alignment horizontal="center"/>
      <protection hidden="1"/>
    </xf>
    <xf numFmtId="164" fontId="58" fillId="0" borderId="0" xfId="0" applyNumberFormat="1" applyFont="1" applyFill="1" applyBorder="1" applyAlignment="1" applyProtection="1">
      <alignment horizontal="right"/>
      <protection hidden="1"/>
    </xf>
    <xf numFmtId="165" fontId="53" fillId="0" borderId="0" xfId="0" applyNumberFormat="1" applyFont="1" applyFill="1" applyBorder="1" applyAlignment="1" applyProtection="1">
      <protection hidden="1"/>
    </xf>
    <xf numFmtId="164" fontId="50" fillId="0" borderId="0" xfId="0" applyNumberFormat="1" applyFont="1" applyFill="1" applyBorder="1" applyAlignment="1" applyProtection="1">
      <alignment horizontal="center"/>
      <protection hidden="1"/>
    </xf>
    <xf numFmtId="169" fontId="79" fillId="0" borderId="0" xfId="0" applyNumberFormat="1" applyFont="1" applyFill="1" applyBorder="1" applyAlignment="1" applyProtection="1">
      <alignment horizontal="center"/>
      <protection hidden="1"/>
    </xf>
    <xf numFmtId="175" fontId="79" fillId="0" borderId="0" xfId="0" applyNumberFormat="1" applyFont="1" applyFill="1" applyBorder="1" applyAlignment="1" applyProtection="1">
      <alignment horizontal="center"/>
      <protection hidden="1"/>
    </xf>
    <xf numFmtId="175" fontId="61" fillId="0" borderId="0" xfId="0" applyNumberFormat="1" applyFont="1" applyFill="1" applyBorder="1" applyAlignment="1" applyProtection="1">
      <alignment horizontal="left"/>
      <protection hidden="1"/>
    </xf>
    <xf numFmtId="175" fontId="61" fillId="0" borderId="0" xfId="0" applyNumberFormat="1" applyFont="1" applyFill="1" applyBorder="1" applyAlignment="1" applyProtection="1">
      <alignment horizontal="center"/>
      <protection hidden="1"/>
    </xf>
    <xf numFmtId="164" fontId="53" fillId="0" borderId="0" xfId="0" applyNumberFormat="1" applyFont="1" applyFill="1" applyBorder="1" applyAlignment="1" applyProtection="1">
      <alignment horizontal="left"/>
      <protection hidden="1"/>
    </xf>
    <xf numFmtId="0" fontId="61" fillId="0" borderId="0" xfId="0" applyFont="1" applyFill="1" applyBorder="1" applyAlignment="1" applyProtection="1">
      <alignment horizontal="center"/>
      <protection hidden="1"/>
    </xf>
    <xf numFmtId="9" fontId="62" fillId="0" borderId="0" xfId="0" applyNumberFormat="1" applyFont="1" applyFill="1" applyBorder="1" applyAlignment="1" applyProtection="1">
      <alignment horizontal="left"/>
      <protection hidden="1"/>
    </xf>
    <xf numFmtId="0" fontId="79" fillId="0" borderId="0" xfId="0" applyFont="1" applyFill="1" applyBorder="1" applyAlignment="1" applyProtection="1">
      <protection hidden="1"/>
    </xf>
    <xf numFmtId="164" fontId="77" fillId="0" borderId="0" xfId="0" applyNumberFormat="1" applyFont="1" applyFill="1" applyBorder="1" applyAlignment="1" applyProtection="1">
      <protection hidden="1"/>
    </xf>
    <xf numFmtId="164" fontId="77" fillId="0" borderId="0" xfId="0" applyNumberFormat="1" applyFont="1" applyFill="1" applyBorder="1" applyAlignment="1" applyProtection="1">
      <alignment horizontal="right"/>
      <protection hidden="1"/>
    </xf>
    <xf numFmtId="0" fontId="62" fillId="0" borderId="0" xfId="0" applyFont="1" applyFill="1" applyBorder="1" applyAlignment="1" applyProtection="1">
      <alignment horizontal="left"/>
      <protection hidden="1"/>
    </xf>
    <xf numFmtId="0" fontId="80" fillId="0" borderId="0" xfId="0" applyFont="1" applyFill="1" applyBorder="1" applyAlignment="1" applyProtection="1">
      <alignment horizontal="center"/>
      <protection hidden="1"/>
    </xf>
    <xf numFmtId="0" fontId="77" fillId="0" borderId="0" xfId="0" applyFont="1" applyFill="1" applyBorder="1" applyAlignment="1" applyProtection="1">
      <alignment horizontal="right"/>
      <protection hidden="1"/>
    </xf>
    <xf numFmtId="0" fontId="53" fillId="0" borderId="0" xfId="0" applyFont="1" applyFill="1" applyBorder="1" applyAlignment="1" applyProtection="1">
      <alignment horizontal="justify" vertical="center"/>
      <protection hidden="1"/>
    </xf>
    <xf numFmtId="0" fontId="53" fillId="0" borderId="0" xfId="0" applyNumberFormat="1" applyFont="1" applyFill="1" applyBorder="1" applyAlignment="1" applyProtection="1">
      <protection hidden="1"/>
    </xf>
    <xf numFmtId="0" fontId="50" fillId="0" borderId="0" xfId="0" applyFont="1" applyFill="1" applyBorder="1" applyAlignment="1" applyProtection="1">
      <alignment horizontal="right"/>
      <protection hidden="1"/>
    </xf>
    <xf numFmtId="13" fontId="62" fillId="0" borderId="0" xfId="0" applyNumberFormat="1" applyFont="1" applyFill="1" applyBorder="1" applyAlignment="1" applyProtection="1">
      <alignment horizontal="right"/>
      <protection hidden="1"/>
    </xf>
    <xf numFmtId="9" fontId="61" fillId="0" borderId="0" xfId="0" applyNumberFormat="1" applyFont="1" applyFill="1" applyBorder="1" applyAlignment="1" applyProtection="1">
      <alignment horizontal="right"/>
      <protection hidden="1"/>
    </xf>
    <xf numFmtId="164" fontId="78" fillId="0" borderId="0" xfId="0" applyNumberFormat="1" applyFont="1" applyFill="1" applyBorder="1" applyAlignment="1" applyProtection="1">
      <protection hidden="1"/>
    </xf>
    <xf numFmtId="0" fontId="62" fillId="0" borderId="0" xfId="0" applyFont="1" applyFill="1" applyBorder="1" applyAlignment="1" applyProtection="1">
      <protection hidden="1"/>
    </xf>
    <xf numFmtId="0" fontId="50" fillId="0" borderId="0" xfId="0" applyFont="1" applyFill="1" applyBorder="1" applyAlignment="1" applyProtection="1">
      <alignment horizontal="left"/>
      <protection hidden="1"/>
    </xf>
    <xf numFmtId="9" fontId="53" fillId="0" borderId="0" xfId="0" applyNumberFormat="1" applyFont="1" applyFill="1" applyBorder="1" applyAlignment="1" applyProtection="1">
      <alignment horizontal="left"/>
      <protection hidden="1"/>
    </xf>
    <xf numFmtId="9" fontId="50" fillId="0" borderId="0" xfId="0" applyNumberFormat="1" applyFont="1" applyFill="1" applyBorder="1" applyAlignment="1" applyProtection="1">
      <alignment horizontal="left"/>
      <protection hidden="1"/>
    </xf>
    <xf numFmtId="0" fontId="81" fillId="0" borderId="0" xfId="0" applyFont="1" applyFill="1" applyBorder="1" applyAlignment="1" applyProtection="1">
      <protection hidden="1"/>
    </xf>
    <xf numFmtId="9" fontId="50" fillId="0" borderId="0" xfId="0" applyNumberFormat="1" applyFont="1" applyFill="1" applyBorder="1" applyAlignment="1" applyProtection="1">
      <alignment horizontal="center"/>
      <protection hidden="1"/>
    </xf>
    <xf numFmtId="0" fontId="61" fillId="0" borderId="0" xfId="0" applyFont="1" applyFill="1" applyBorder="1" applyAlignment="1" applyProtection="1">
      <alignment horizontal="left"/>
      <protection hidden="1"/>
    </xf>
    <xf numFmtId="164" fontId="50" fillId="0" borderId="0" xfId="0" applyNumberFormat="1" applyFont="1" applyFill="1" applyBorder="1" applyAlignment="1" applyProtection="1">
      <alignment horizontal="right"/>
      <protection hidden="1"/>
    </xf>
    <xf numFmtId="9" fontId="53" fillId="0" borderId="0" xfId="0" applyNumberFormat="1" applyFont="1" applyFill="1" applyBorder="1" applyAlignment="1" applyProtection="1">
      <alignment horizontal="right"/>
      <protection hidden="1"/>
    </xf>
    <xf numFmtId="13" fontId="50" fillId="0" borderId="0" xfId="0" applyNumberFormat="1" applyFont="1" applyFill="1" applyBorder="1" applyAlignment="1" applyProtection="1">
      <alignment horizontal="left"/>
      <protection hidden="1"/>
    </xf>
    <xf numFmtId="1" fontId="50" fillId="0" borderId="0" xfId="0" applyNumberFormat="1" applyFont="1" applyFill="1" applyBorder="1" applyAlignment="1" applyProtection="1">
      <protection hidden="1"/>
    </xf>
    <xf numFmtId="164" fontId="50" fillId="0" borderId="0" xfId="0" applyNumberFormat="1" applyFont="1" applyFill="1" applyBorder="1" applyAlignment="1" applyProtection="1">
      <alignment horizontal="left"/>
      <protection hidden="1"/>
    </xf>
    <xf numFmtId="164" fontId="82" fillId="0" borderId="0" xfId="0" applyNumberFormat="1" applyFont="1" applyFill="1" applyBorder="1" applyAlignment="1" applyProtection="1">
      <protection hidden="1"/>
    </xf>
    <xf numFmtId="164" fontId="53" fillId="0" borderId="0" xfId="0" applyNumberFormat="1" applyFont="1" applyFill="1" applyBorder="1" applyAlignment="1" applyProtection="1">
      <alignment horizontal="right"/>
      <protection hidden="1"/>
    </xf>
    <xf numFmtId="165" fontId="50" fillId="0" borderId="0" xfId="1" applyFont="1" applyFill="1" applyBorder="1" applyAlignment="1" applyProtection="1">
      <alignment horizontal="center"/>
      <protection hidden="1"/>
    </xf>
    <xf numFmtId="169" fontId="50" fillId="0" borderId="0" xfId="0" applyNumberFormat="1" applyFont="1" applyFill="1" applyBorder="1" applyAlignment="1" applyProtection="1">
      <alignment horizontal="left"/>
      <protection hidden="1"/>
    </xf>
    <xf numFmtId="169" fontId="62" fillId="0" borderId="0" xfId="0" applyNumberFormat="1" applyFont="1" applyFill="1" applyBorder="1" applyAlignment="1" applyProtection="1">
      <alignment horizontal="left"/>
      <protection hidden="1"/>
    </xf>
    <xf numFmtId="0" fontId="83" fillId="0" borderId="0" xfId="0" applyFont="1" applyFill="1" applyBorder="1" applyAlignment="1" applyProtection="1">
      <protection hidden="1"/>
    </xf>
    <xf numFmtId="171" fontId="84" fillId="0" borderId="0" xfId="0" applyNumberFormat="1" applyFont="1" applyFill="1" applyBorder="1" applyAlignment="1" applyProtection="1">
      <alignment horizontal="center"/>
      <protection hidden="1"/>
    </xf>
    <xf numFmtId="171" fontId="50" fillId="0" borderId="0" xfId="0" applyNumberFormat="1" applyFont="1" applyFill="1" applyBorder="1" applyAlignment="1" applyProtection="1">
      <alignment horizontal="center"/>
      <protection hidden="1"/>
    </xf>
    <xf numFmtId="171" fontId="81" fillId="0" borderId="0" xfId="0" applyNumberFormat="1" applyFont="1" applyFill="1" applyBorder="1" applyAlignment="1" applyProtection="1">
      <alignment horizontal="center"/>
      <protection hidden="1"/>
    </xf>
    <xf numFmtId="49" fontId="50" fillId="0" borderId="0" xfId="0" applyNumberFormat="1" applyFont="1" applyFill="1" applyBorder="1" applyAlignment="1" applyProtection="1">
      <protection hidden="1"/>
    </xf>
    <xf numFmtId="0" fontId="50" fillId="0" borderId="0" xfId="0" applyNumberFormat="1" applyFont="1" applyFill="1" applyBorder="1" applyAlignment="1" applyProtection="1">
      <protection hidden="1"/>
    </xf>
    <xf numFmtId="171" fontId="84" fillId="0" borderId="0" xfId="0" applyNumberFormat="1" applyFont="1" applyFill="1" applyBorder="1" applyAlignment="1" applyProtection="1">
      <alignment horizontal="right"/>
      <protection hidden="1"/>
    </xf>
    <xf numFmtId="171" fontId="81" fillId="0" borderId="0" xfId="0" applyNumberFormat="1" applyFont="1" applyFill="1" applyBorder="1" applyAlignment="1" applyProtection="1">
      <protection hidden="1"/>
    </xf>
    <xf numFmtId="0" fontId="76" fillId="0" borderId="0" xfId="0" applyFont="1" applyFill="1" applyBorder="1" applyAlignment="1" applyProtection="1">
      <protection hidden="1"/>
    </xf>
    <xf numFmtId="9" fontId="84" fillId="0" borderId="0" xfId="0" applyNumberFormat="1" applyFont="1" applyFill="1" applyBorder="1" applyAlignment="1" applyProtection="1">
      <alignment horizontal="center"/>
      <protection hidden="1"/>
    </xf>
    <xf numFmtId="13" fontId="53" fillId="0" borderId="0" xfId="0" applyNumberFormat="1" applyFont="1" applyFill="1" applyBorder="1" applyAlignment="1" applyProtection="1">
      <alignment horizontal="right"/>
      <protection hidden="1"/>
    </xf>
    <xf numFmtId="171" fontId="53" fillId="0" borderId="0" xfId="0" applyNumberFormat="1" applyFont="1" applyFill="1" applyBorder="1" applyAlignment="1" applyProtection="1">
      <protection hidden="1"/>
    </xf>
    <xf numFmtId="0" fontId="50" fillId="0" borderId="0" xfId="0" applyFont="1" applyFill="1" applyBorder="1" applyProtection="1">
      <protection hidden="1"/>
    </xf>
    <xf numFmtId="0" fontId="53" fillId="9" borderId="24" xfId="0" applyFont="1" applyFill="1" applyBorder="1" applyAlignment="1">
      <alignment horizontal="left"/>
    </xf>
    <xf numFmtId="0" fontId="79" fillId="0" borderId="0" xfId="0" applyFont="1" applyFill="1" applyBorder="1" applyAlignment="1" applyProtection="1">
      <alignment horizontal="left"/>
      <protection hidden="1"/>
    </xf>
    <xf numFmtId="168" fontId="53" fillId="0" borderId="0" xfId="0" applyNumberFormat="1" applyFont="1" applyFill="1" applyBorder="1" applyAlignment="1" applyProtection="1">
      <alignment horizontal="center"/>
      <protection hidden="1"/>
    </xf>
    <xf numFmtId="2" fontId="53" fillId="0" borderId="0" xfId="0" applyNumberFormat="1" applyFont="1" applyFill="1" applyBorder="1" applyAlignment="1" applyProtection="1">
      <alignment horizontal="center"/>
      <protection hidden="1"/>
    </xf>
    <xf numFmtId="0" fontId="85" fillId="0" borderId="0" xfId="0" applyFont="1" applyFill="1" applyBorder="1" applyAlignment="1" applyProtection="1">
      <protection hidden="1"/>
    </xf>
    <xf numFmtId="0" fontId="86" fillId="0" borderId="0" xfId="0" applyFont="1" applyFill="1" applyBorder="1" applyAlignment="1" applyProtection="1">
      <protection hidden="1"/>
    </xf>
    <xf numFmtId="0" fontId="84" fillId="0" borderId="0" xfId="0" applyFont="1" applyFill="1" applyBorder="1" applyAlignment="1" applyProtection="1">
      <protection hidden="1"/>
    </xf>
    <xf numFmtId="165" fontId="84" fillId="0" borderId="0" xfId="1" applyFont="1" applyFill="1" applyBorder="1" applyAlignment="1" applyProtection="1">
      <alignment horizontal="left"/>
      <protection hidden="1"/>
    </xf>
    <xf numFmtId="0" fontId="81" fillId="0" borderId="0" xfId="0" applyFont="1" applyFill="1" applyBorder="1" applyAlignment="1" applyProtection="1">
      <alignment horizontal="left"/>
      <protection hidden="1"/>
    </xf>
    <xf numFmtId="0" fontId="3" fillId="0" borderId="22" xfId="0" applyFont="1" applyBorder="1" applyProtection="1">
      <protection hidden="1"/>
    </xf>
    <xf numFmtId="0" fontId="3" fillId="0" borderId="65" xfId="0" applyFont="1" applyBorder="1" applyProtection="1">
      <protection hidden="1"/>
    </xf>
    <xf numFmtId="0" fontId="3" fillId="0" borderId="38" xfId="0" applyFont="1" applyBorder="1" applyProtection="1">
      <protection hidden="1"/>
    </xf>
    <xf numFmtId="0" fontId="3" fillId="0" borderId="39" xfId="0" applyFont="1" applyBorder="1" applyProtection="1">
      <protection hidden="1"/>
    </xf>
    <xf numFmtId="164" fontId="3" fillId="0" borderId="22" xfId="0" applyNumberFormat="1" applyFont="1" applyBorder="1" applyProtection="1">
      <protection hidden="1"/>
    </xf>
    <xf numFmtId="0" fontId="3" fillId="0" borderId="45" xfId="0" applyFont="1" applyBorder="1" applyProtection="1">
      <protection hidden="1"/>
    </xf>
    <xf numFmtId="169" fontId="20" fillId="10" borderId="0" xfId="0" applyNumberFormat="1" applyFont="1" applyFill="1" applyBorder="1" applyAlignment="1" applyProtection="1">
      <alignment horizontal="center"/>
      <protection hidden="1"/>
    </xf>
    <xf numFmtId="0" fontId="3" fillId="0" borderId="22" xfId="0" applyFont="1" applyBorder="1" applyAlignment="1" applyProtection="1">
      <alignment horizontal="centerContinuous"/>
      <protection hidden="1"/>
    </xf>
    <xf numFmtId="0" fontId="3" fillId="0" borderId="46" xfId="0" applyFont="1" applyFill="1" applyBorder="1" applyProtection="1">
      <protection hidden="1"/>
    </xf>
    <xf numFmtId="0" fontId="3" fillId="0" borderId="46" xfId="0" applyFont="1" applyFill="1" applyBorder="1" applyAlignment="1" applyProtection="1">
      <alignment horizontal="centerContinuous"/>
      <protection hidden="1"/>
    </xf>
    <xf numFmtId="0" fontId="3" fillId="0" borderId="65" xfId="0" applyFont="1" applyBorder="1" applyAlignment="1" applyProtection="1">
      <alignment horizontal="centerContinuous"/>
      <protection hidden="1"/>
    </xf>
    <xf numFmtId="0" fontId="3" fillId="0" borderId="37" xfId="0" applyFont="1" applyFill="1" applyBorder="1" applyProtection="1">
      <protection hidden="1"/>
    </xf>
    <xf numFmtId="0" fontId="3" fillId="0" borderId="38" xfId="0" applyFont="1" applyBorder="1" applyAlignment="1" applyProtection="1">
      <alignment horizontal="center"/>
      <protection hidden="1"/>
    </xf>
    <xf numFmtId="164" fontId="3" fillId="0" borderId="38" xfId="0" applyNumberFormat="1" applyFont="1" applyBorder="1" applyProtection="1">
      <protection hidden="1"/>
    </xf>
    <xf numFmtId="0" fontId="3" fillId="0" borderId="34" xfId="0" applyFont="1" applyBorder="1" applyAlignment="1" applyProtection="1">
      <alignment horizontal="center"/>
      <protection hidden="1"/>
    </xf>
    <xf numFmtId="0" fontId="3" fillId="0" borderId="43" xfId="0" applyFont="1" applyBorder="1" applyAlignment="1" applyProtection="1">
      <alignment horizontal="center"/>
      <protection hidden="1"/>
    </xf>
    <xf numFmtId="164" fontId="3" fillId="0" borderId="46" xfId="0" applyNumberFormat="1" applyFont="1" applyBorder="1" applyProtection="1">
      <protection hidden="1"/>
    </xf>
    <xf numFmtId="164" fontId="3" fillId="0" borderId="65" xfId="0" applyNumberFormat="1" applyFont="1" applyBorder="1" applyProtection="1">
      <protection hidden="1"/>
    </xf>
    <xf numFmtId="164" fontId="3" fillId="0" borderId="44" xfId="0" applyNumberFormat="1" applyFont="1" applyBorder="1" applyProtection="1">
      <protection hidden="1"/>
    </xf>
    <xf numFmtId="164" fontId="3" fillId="0" borderId="45" xfId="0" applyNumberFormat="1" applyFont="1" applyBorder="1" applyProtection="1">
      <protection hidden="1"/>
    </xf>
    <xf numFmtId="164" fontId="3" fillId="0" borderId="68" xfId="0" applyNumberFormat="1" applyFont="1" applyBorder="1" applyProtection="1">
      <protection hidden="1"/>
    </xf>
    <xf numFmtId="164" fontId="3" fillId="0" borderId="18" xfId="0" applyNumberFormat="1" applyFont="1" applyBorder="1" applyProtection="1">
      <protection hidden="1"/>
    </xf>
    <xf numFmtId="0" fontId="3" fillId="0" borderId="42" xfId="0" applyFont="1" applyBorder="1" applyAlignment="1" applyProtection="1">
      <alignment horizontal="center"/>
      <protection hidden="1"/>
    </xf>
    <xf numFmtId="0" fontId="3" fillId="0" borderId="34" xfId="0" applyFont="1" applyBorder="1" applyProtection="1">
      <protection hidden="1"/>
    </xf>
    <xf numFmtId="0" fontId="3" fillId="0" borderId="53" xfId="0" applyFont="1" applyBorder="1" applyAlignment="1" applyProtection="1">
      <alignment horizontal="center"/>
      <protection hidden="1"/>
    </xf>
    <xf numFmtId="164" fontId="3" fillId="0" borderId="69" xfId="0" applyNumberFormat="1" applyFont="1" applyBorder="1" applyProtection="1">
      <protection hidden="1"/>
    </xf>
    <xf numFmtId="164" fontId="3" fillId="0" borderId="1" xfId="0" applyNumberFormat="1" applyFont="1" applyBorder="1" applyProtection="1">
      <protection hidden="1"/>
    </xf>
    <xf numFmtId="0" fontId="15" fillId="5" borderId="0" xfId="0" applyFont="1" applyFill="1" applyAlignment="1" applyProtection="1">
      <alignment horizontal="center"/>
      <protection hidden="1"/>
    </xf>
    <xf numFmtId="164" fontId="0" fillId="0" borderId="10" xfId="0" applyNumberFormat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19" fillId="5" borderId="4" xfId="0" applyFont="1" applyFill="1" applyBorder="1" applyAlignment="1" applyProtection="1">
      <alignment horizontal="center"/>
      <protection hidden="1"/>
    </xf>
    <xf numFmtId="0" fontId="19" fillId="5" borderId="0" xfId="0" applyFont="1" applyFill="1" applyBorder="1" applyAlignment="1" applyProtection="1">
      <alignment horizontal="center"/>
      <protection hidden="1"/>
    </xf>
    <xf numFmtId="164" fontId="19" fillId="5" borderId="0" xfId="0" applyNumberFormat="1" applyFont="1" applyFill="1" applyBorder="1" applyAlignment="1" applyProtection="1">
      <alignment horizontal="left"/>
      <protection hidden="1"/>
    </xf>
    <xf numFmtId="164" fontId="19" fillId="5" borderId="22" xfId="0" applyNumberFormat="1" applyFont="1" applyFill="1" applyBorder="1" applyAlignment="1" applyProtection="1">
      <alignment horizontal="center"/>
      <protection hidden="1"/>
    </xf>
    <xf numFmtId="164" fontId="73" fillId="5" borderId="22" xfId="0" applyNumberFormat="1" applyFont="1" applyFill="1" applyBorder="1" applyAlignment="1" applyProtection="1">
      <alignment horizontal="center"/>
      <protection hidden="1"/>
    </xf>
    <xf numFmtId="0" fontId="46" fillId="5" borderId="8" xfId="0" applyFont="1" applyFill="1" applyBorder="1" applyProtection="1">
      <protection hidden="1"/>
    </xf>
    <xf numFmtId="0" fontId="31" fillId="5" borderId="8" xfId="0" applyFont="1" applyFill="1" applyBorder="1" applyProtection="1">
      <protection hidden="1"/>
    </xf>
    <xf numFmtId="0" fontId="53" fillId="9" borderId="67" xfId="0" applyFont="1" applyFill="1" applyBorder="1" applyAlignment="1" applyProtection="1">
      <alignment horizontal="center"/>
      <protection hidden="1"/>
    </xf>
    <xf numFmtId="0" fontId="53" fillId="9" borderId="23" xfId="0" applyFont="1" applyFill="1" applyBorder="1" applyAlignment="1" applyProtection="1">
      <alignment horizontal="center"/>
      <protection hidden="1"/>
    </xf>
    <xf numFmtId="0" fontId="53" fillId="9" borderId="22" xfId="0" applyFont="1" applyFill="1" applyBorder="1" applyAlignment="1" applyProtection="1">
      <protection hidden="1"/>
    </xf>
    <xf numFmtId="0" fontId="53" fillId="9" borderId="52" xfId="0" applyFont="1" applyFill="1" applyBorder="1" applyAlignment="1" applyProtection="1">
      <alignment horizontal="center"/>
      <protection hidden="1"/>
    </xf>
    <xf numFmtId="0" fontId="53" fillId="9" borderId="45" xfId="0" applyFont="1" applyFill="1" applyBorder="1" applyAlignment="1" applyProtection="1">
      <alignment horizontal="center"/>
      <protection hidden="1"/>
    </xf>
    <xf numFmtId="14" fontId="81" fillId="5" borderId="23" xfId="0" applyNumberFormat="1" applyFont="1" applyFill="1" applyBorder="1" applyAlignment="1" applyProtection="1">
      <alignment horizontal="center"/>
      <protection hidden="1"/>
    </xf>
    <xf numFmtId="0" fontId="53" fillId="9" borderId="22" xfId="0" applyFont="1" applyFill="1" applyBorder="1" applyAlignment="1" applyProtection="1">
      <alignment horizontal="center"/>
      <protection hidden="1"/>
    </xf>
    <xf numFmtId="14" fontId="81" fillId="5" borderId="52" xfId="0" applyNumberFormat="1" applyFont="1" applyFill="1" applyBorder="1" applyAlignment="1" applyProtection="1">
      <alignment horizontal="center"/>
      <protection hidden="1"/>
    </xf>
    <xf numFmtId="164" fontId="81" fillId="5" borderId="22" xfId="0" applyNumberFormat="1" applyFont="1" applyFill="1" applyBorder="1" applyProtection="1">
      <protection hidden="1"/>
    </xf>
    <xf numFmtId="0" fontId="62" fillId="5" borderId="22" xfId="0" applyFont="1" applyFill="1" applyBorder="1" applyProtection="1">
      <protection hidden="1"/>
    </xf>
    <xf numFmtId="0" fontId="53" fillId="9" borderId="23" xfId="0" applyFont="1" applyFill="1" applyBorder="1" applyAlignment="1" applyProtection="1">
      <alignment horizontal="left"/>
      <protection hidden="1"/>
    </xf>
    <xf numFmtId="164" fontId="62" fillId="5" borderId="22" xfId="0" applyNumberFormat="1" applyFont="1" applyFill="1" applyBorder="1" applyAlignment="1" applyProtection="1">
      <alignment horizontal="center"/>
      <protection hidden="1"/>
    </xf>
    <xf numFmtId="0" fontId="53" fillId="9" borderId="22" xfId="0" applyFont="1" applyFill="1" applyBorder="1" applyProtection="1">
      <protection hidden="1"/>
    </xf>
    <xf numFmtId="164" fontId="62" fillId="5" borderId="16" xfId="0" applyNumberFormat="1" applyFont="1" applyFill="1" applyBorder="1" applyAlignment="1" applyProtection="1">
      <alignment horizontal="center"/>
      <protection hidden="1"/>
    </xf>
    <xf numFmtId="0" fontId="53" fillId="9" borderId="16" xfId="0" applyFont="1" applyFill="1" applyBorder="1" applyAlignment="1" applyProtection="1">
      <alignment horizontal="left"/>
      <protection hidden="1"/>
    </xf>
    <xf numFmtId="164" fontId="62" fillId="5" borderId="45" xfId="0" applyNumberFormat="1" applyFont="1" applyFill="1" applyBorder="1" applyAlignment="1" applyProtection="1">
      <alignment horizontal="left"/>
      <protection hidden="1"/>
    </xf>
    <xf numFmtId="164" fontId="62" fillId="5" borderId="22" xfId="0" applyNumberFormat="1" applyFont="1" applyFill="1" applyBorder="1" applyProtection="1">
      <protection hidden="1"/>
    </xf>
    <xf numFmtId="0" fontId="53" fillId="9" borderId="52" xfId="0" applyFont="1" applyFill="1" applyBorder="1" applyAlignment="1" applyProtection="1">
      <protection hidden="1"/>
    </xf>
    <xf numFmtId="164" fontId="46" fillId="7" borderId="0" xfId="0" applyNumberFormat="1" applyFont="1" applyFill="1" applyBorder="1" applyAlignment="1" applyProtection="1">
      <alignment horizontal="left"/>
      <protection hidden="1"/>
    </xf>
    <xf numFmtId="0" fontId="90" fillId="7" borderId="0" xfId="0" applyFont="1" applyFill="1" applyBorder="1" applyAlignment="1" applyProtection="1">
      <alignment horizontal="center"/>
      <protection hidden="1"/>
    </xf>
    <xf numFmtId="0" fontId="90" fillId="7" borderId="0" xfId="0" applyFont="1" applyFill="1" applyBorder="1" applyProtection="1">
      <protection hidden="1"/>
    </xf>
    <xf numFmtId="0" fontId="46" fillId="7" borderId="0" xfId="0" applyFont="1" applyFill="1" applyBorder="1" applyProtection="1">
      <protection hidden="1"/>
    </xf>
    <xf numFmtId="168" fontId="5" fillId="0" borderId="0" xfId="0" applyNumberFormat="1" applyFont="1" applyBorder="1" applyProtection="1">
      <protection hidden="1"/>
    </xf>
    <xf numFmtId="49" fontId="53" fillId="0" borderId="0" xfId="0" applyNumberFormat="1" applyFont="1" applyFill="1" applyBorder="1" applyAlignment="1" applyProtection="1">
      <alignment horizontal="justify" vertical="center" wrapText="1"/>
      <protection hidden="1"/>
    </xf>
    <xf numFmtId="0" fontId="46" fillId="0" borderId="0" xfId="0" applyFont="1" applyBorder="1" applyAlignment="1" applyProtection="1">
      <protection hidden="1"/>
    </xf>
    <xf numFmtId="0" fontId="56" fillId="0" borderId="0" xfId="0" applyFont="1" applyBorder="1" applyAlignment="1" applyProtection="1">
      <protection hidden="1"/>
    </xf>
    <xf numFmtId="0" fontId="56" fillId="7" borderId="9" xfId="0" applyFont="1" applyFill="1" applyBorder="1" applyProtection="1">
      <protection hidden="1"/>
    </xf>
    <xf numFmtId="0" fontId="95" fillId="0" borderId="0" xfId="0" applyNumberFormat="1" applyFont="1" applyFill="1" applyBorder="1" applyAlignment="1" applyProtection="1">
      <alignment horizontal="justify"/>
      <protection hidden="1"/>
    </xf>
    <xf numFmtId="0" fontId="95" fillId="0" borderId="0" xfId="0" applyNumberFormat="1" applyFont="1" applyFill="1" applyBorder="1" applyAlignment="1" applyProtection="1">
      <alignment horizontal="justify" vertical="center"/>
      <protection hidden="1"/>
    </xf>
    <xf numFmtId="0" fontId="19" fillId="9" borderId="22" xfId="0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hidden="1"/>
    </xf>
    <xf numFmtId="164" fontId="61" fillId="0" borderId="0" xfId="0" applyNumberFormat="1" applyFont="1" applyBorder="1" applyAlignment="1" applyProtection="1">
      <protection hidden="1"/>
    </xf>
    <xf numFmtId="0" fontId="56" fillId="0" borderId="0" xfId="0" applyFont="1" applyBorder="1" applyProtection="1">
      <protection hidden="1"/>
    </xf>
    <xf numFmtId="9" fontId="58" fillId="0" borderId="0" xfId="0" applyNumberFormat="1" applyFont="1" applyFill="1" applyBorder="1" applyAlignment="1" applyProtection="1">
      <protection hidden="1"/>
    </xf>
    <xf numFmtId="0" fontId="75" fillId="5" borderId="0" xfId="0" applyFont="1" applyFill="1" applyBorder="1" applyProtection="1">
      <protection hidden="1"/>
    </xf>
    <xf numFmtId="0" fontId="19" fillId="5" borderId="70" xfId="0" applyFont="1" applyFill="1" applyBorder="1" applyAlignment="1" applyProtection="1">
      <alignment horizontal="right"/>
      <protection hidden="1"/>
    </xf>
    <xf numFmtId="0" fontId="19" fillId="5" borderId="71" xfId="0" applyFont="1" applyFill="1" applyBorder="1" applyAlignment="1" applyProtection="1">
      <alignment horizontal="center"/>
      <protection hidden="1"/>
    </xf>
    <xf numFmtId="0" fontId="19" fillId="5" borderId="72" xfId="0" applyFont="1" applyFill="1" applyBorder="1" applyAlignment="1" applyProtection="1">
      <alignment horizontal="right"/>
      <protection hidden="1"/>
    </xf>
    <xf numFmtId="0" fontId="19" fillId="5" borderId="73" xfId="0" applyFont="1" applyFill="1" applyBorder="1" applyAlignment="1" applyProtection="1">
      <alignment horizontal="center"/>
      <protection hidden="1"/>
    </xf>
    <xf numFmtId="0" fontId="19" fillId="5" borderId="74" xfId="0" applyFont="1" applyFill="1" applyBorder="1" applyAlignment="1" applyProtection="1">
      <alignment horizontal="center"/>
      <protection hidden="1"/>
    </xf>
    <xf numFmtId="0" fontId="19" fillId="5" borderId="75" xfId="0" applyFont="1" applyFill="1" applyBorder="1" applyAlignment="1" applyProtection="1">
      <alignment horizontal="center"/>
      <protection hidden="1"/>
    </xf>
    <xf numFmtId="0" fontId="19" fillId="9" borderId="76" xfId="0" applyFont="1" applyFill="1" applyBorder="1" applyProtection="1">
      <protection hidden="1"/>
    </xf>
    <xf numFmtId="164" fontId="19" fillId="5" borderId="77" xfId="0" applyNumberFormat="1" applyFont="1" applyFill="1" applyBorder="1" applyAlignment="1" applyProtection="1">
      <alignment horizontal="center"/>
      <protection hidden="1"/>
    </xf>
    <xf numFmtId="0" fontId="19" fillId="9" borderId="78" xfId="0" applyFont="1" applyFill="1" applyBorder="1" applyProtection="1">
      <protection hidden="1"/>
    </xf>
    <xf numFmtId="0" fontId="43" fillId="5" borderId="4" xfId="0" applyFont="1" applyFill="1" applyBorder="1" applyAlignment="1" applyProtection="1">
      <protection hidden="1"/>
    </xf>
    <xf numFmtId="13" fontId="43" fillId="5" borderId="4" xfId="0" applyNumberFormat="1" applyFont="1" applyFill="1" applyBorder="1" applyAlignment="1" applyProtection="1">
      <protection hidden="1"/>
    </xf>
    <xf numFmtId="0" fontId="43" fillId="5" borderId="0" xfId="0" applyFont="1" applyFill="1" applyBorder="1" applyAlignment="1" applyProtection="1">
      <protection hidden="1"/>
    </xf>
    <xf numFmtId="171" fontId="19" fillId="5" borderId="0" xfId="0" applyNumberFormat="1" applyFont="1" applyFill="1" applyBorder="1" applyProtection="1">
      <protection hidden="1"/>
    </xf>
    <xf numFmtId="0" fontId="53" fillId="9" borderId="76" xfId="0" applyFont="1" applyFill="1" applyBorder="1" applyProtection="1">
      <protection hidden="1"/>
    </xf>
    <xf numFmtId="0" fontId="53" fillId="9" borderId="79" xfId="0" applyFont="1" applyFill="1" applyBorder="1" applyAlignment="1" applyProtection="1">
      <alignment horizontal="left"/>
      <protection hidden="1"/>
    </xf>
    <xf numFmtId="0" fontId="53" fillId="9" borderId="80" xfId="0" applyFont="1" applyFill="1" applyBorder="1" applyAlignment="1" applyProtection="1">
      <protection hidden="1"/>
    </xf>
    <xf numFmtId="0" fontId="53" fillId="9" borderId="81" xfId="0" applyFont="1" applyFill="1" applyBorder="1" applyAlignment="1" applyProtection="1">
      <protection hidden="1"/>
    </xf>
    <xf numFmtId="0" fontId="53" fillId="9" borderId="82" xfId="0" applyFont="1" applyFill="1" applyBorder="1" applyAlignment="1" applyProtection="1">
      <protection hidden="1"/>
    </xf>
    <xf numFmtId="164" fontId="62" fillId="5" borderId="77" xfId="0" applyNumberFormat="1" applyFont="1" applyFill="1" applyBorder="1" applyProtection="1">
      <protection hidden="1"/>
    </xf>
    <xf numFmtId="0" fontId="53" fillId="9" borderId="77" xfId="0" applyFont="1" applyFill="1" applyBorder="1" applyProtection="1">
      <protection hidden="1"/>
    </xf>
    <xf numFmtId="0" fontId="53" fillId="9" borderId="78" xfId="0" applyFont="1" applyFill="1" applyBorder="1" applyProtection="1">
      <protection hidden="1"/>
    </xf>
    <xf numFmtId="0" fontId="43" fillId="5" borderId="14" xfId="0" applyFont="1" applyFill="1" applyBorder="1" applyAlignment="1" applyProtection="1">
      <protection hidden="1"/>
    </xf>
    <xf numFmtId="0" fontId="43" fillId="5" borderId="15" xfId="0" applyFont="1" applyFill="1" applyBorder="1" applyAlignment="1" applyProtection="1">
      <protection hidden="1"/>
    </xf>
    <xf numFmtId="0" fontId="43" fillId="5" borderId="17" xfId="0" applyFont="1" applyFill="1" applyBorder="1" applyAlignment="1" applyProtection="1">
      <protection hidden="1"/>
    </xf>
    <xf numFmtId="0" fontId="43" fillId="5" borderId="18" xfId="0" applyFont="1" applyFill="1" applyBorder="1" applyAlignment="1" applyProtection="1">
      <protection hidden="1"/>
    </xf>
    <xf numFmtId="0" fontId="43" fillId="5" borderId="16" xfId="0" applyFont="1" applyFill="1" applyBorder="1" applyAlignment="1" applyProtection="1">
      <protection hidden="1"/>
    </xf>
    <xf numFmtId="171" fontId="19" fillId="5" borderId="17" xfId="0" applyNumberFormat="1" applyFont="1" applyFill="1" applyBorder="1" applyProtection="1">
      <protection hidden="1"/>
    </xf>
    <xf numFmtId="0" fontId="43" fillId="5" borderId="4" xfId="0" applyFont="1" applyFill="1" applyBorder="1" applyAlignment="1" applyProtection="1">
      <alignment vertical="center"/>
      <protection hidden="1"/>
    </xf>
    <xf numFmtId="0" fontId="43" fillId="5" borderId="13" xfId="0" applyFont="1" applyFill="1" applyBorder="1" applyAlignment="1" applyProtection="1">
      <protection hidden="1"/>
    </xf>
    <xf numFmtId="0" fontId="43" fillId="5" borderId="30" xfId="0" applyFont="1" applyFill="1" applyBorder="1" applyAlignment="1" applyProtection="1">
      <protection hidden="1"/>
    </xf>
    <xf numFmtId="0" fontId="43" fillId="5" borderId="47" xfId="0" applyFont="1" applyFill="1" applyBorder="1" applyAlignment="1" applyProtection="1">
      <protection hidden="1"/>
    </xf>
    <xf numFmtId="13" fontId="43" fillId="5" borderId="13" xfId="0" applyNumberFormat="1" applyFont="1" applyFill="1" applyBorder="1" applyAlignment="1" applyProtection="1">
      <protection hidden="1"/>
    </xf>
    <xf numFmtId="0" fontId="73" fillId="9" borderId="83" xfId="0" applyFont="1" applyFill="1" applyBorder="1" applyAlignment="1" applyProtection="1">
      <alignment horizontal="center"/>
      <protection hidden="1"/>
    </xf>
    <xf numFmtId="0" fontId="43" fillId="5" borderId="84" xfId="0" applyFont="1" applyFill="1" applyBorder="1" applyAlignment="1" applyProtection="1">
      <protection hidden="1"/>
    </xf>
    <xf numFmtId="0" fontId="43" fillId="5" borderId="85" xfId="0" applyFont="1" applyFill="1" applyBorder="1" applyAlignment="1" applyProtection="1">
      <protection hidden="1"/>
    </xf>
    <xf numFmtId="0" fontId="19" fillId="5" borderId="86" xfId="0" applyFont="1" applyFill="1" applyBorder="1" applyProtection="1">
      <protection hidden="1"/>
    </xf>
    <xf numFmtId="0" fontId="43" fillId="5" borderId="87" xfId="0" applyFont="1" applyFill="1" applyBorder="1" applyAlignment="1" applyProtection="1">
      <protection hidden="1"/>
    </xf>
    <xf numFmtId="0" fontId="75" fillId="5" borderId="72" xfId="0" applyFont="1" applyFill="1" applyBorder="1" applyProtection="1">
      <protection hidden="1"/>
    </xf>
    <xf numFmtId="0" fontId="43" fillId="5" borderId="73" xfId="0" applyFont="1" applyFill="1" applyBorder="1" applyAlignment="1" applyProtection="1">
      <protection hidden="1"/>
    </xf>
    <xf numFmtId="0" fontId="43" fillId="5" borderId="70" xfId="0" applyFont="1" applyFill="1" applyBorder="1" applyAlignment="1" applyProtection="1">
      <protection hidden="1"/>
    </xf>
    <xf numFmtId="0" fontId="43" fillId="5" borderId="71" xfId="0" applyFont="1" applyFill="1" applyBorder="1" applyAlignment="1" applyProtection="1">
      <protection hidden="1"/>
    </xf>
    <xf numFmtId="0" fontId="43" fillId="5" borderId="86" xfId="0" applyFont="1" applyFill="1" applyBorder="1" applyAlignment="1" applyProtection="1">
      <protection hidden="1"/>
    </xf>
    <xf numFmtId="0" fontId="43" fillId="5" borderId="72" xfId="0" applyFont="1" applyFill="1" applyBorder="1" applyAlignment="1" applyProtection="1">
      <protection hidden="1"/>
    </xf>
    <xf numFmtId="0" fontId="75" fillId="5" borderId="88" xfId="0" applyFont="1" applyFill="1" applyBorder="1" applyProtection="1">
      <protection hidden="1"/>
    </xf>
    <xf numFmtId="0" fontId="43" fillId="5" borderId="74" xfId="0" applyFont="1" applyFill="1" applyBorder="1" applyAlignment="1" applyProtection="1">
      <protection hidden="1"/>
    </xf>
    <xf numFmtId="0" fontId="43" fillId="5" borderId="89" xfId="0" applyFont="1" applyFill="1" applyBorder="1" applyAlignment="1" applyProtection="1">
      <protection hidden="1"/>
    </xf>
    <xf numFmtId="0" fontId="43" fillId="5" borderId="90" xfId="0" applyFont="1" applyFill="1" applyBorder="1" applyAlignment="1" applyProtection="1">
      <protection hidden="1"/>
    </xf>
    <xf numFmtId="171" fontId="19" fillId="5" borderId="74" xfId="0" applyNumberFormat="1" applyFont="1" applyFill="1" applyBorder="1" applyProtection="1">
      <protection hidden="1"/>
    </xf>
    <xf numFmtId="0" fontId="43" fillId="5" borderId="75" xfId="0" applyFont="1" applyFill="1" applyBorder="1" applyAlignment="1" applyProtection="1">
      <protection hidden="1"/>
    </xf>
    <xf numFmtId="14" fontId="0" fillId="9" borderId="22" xfId="0" applyNumberFormat="1" applyFill="1" applyBorder="1" applyAlignment="1" applyProtection="1">
      <alignment horizontal="center"/>
      <protection hidden="1"/>
    </xf>
    <xf numFmtId="14" fontId="20" fillId="10" borderId="1" xfId="0" applyNumberFormat="1" applyFont="1" applyFill="1" applyBorder="1" applyAlignment="1" applyProtection="1">
      <alignment horizontal="center"/>
      <protection hidden="1"/>
    </xf>
    <xf numFmtId="164" fontId="3" fillId="0" borderId="10" xfId="0" applyNumberFormat="1" applyFont="1" applyBorder="1" applyProtection="1">
      <protection hidden="1"/>
    </xf>
    <xf numFmtId="164" fontId="0" fillId="9" borderId="24" xfId="0" applyNumberFormat="1" applyFill="1" applyBorder="1" applyProtection="1">
      <protection hidden="1"/>
    </xf>
    <xf numFmtId="14" fontId="0" fillId="0" borderId="67" xfId="0" applyNumberFormat="1" applyBorder="1" applyProtection="1">
      <protection locked="0"/>
    </xf>
    <xf numFmtId="13" fontId="48" fillId="0" borderId="45" xfId="0" applyNumberFormat="1" applyFont="1" applyBorder="1" applyProtection="1">
      <protection locked="0"/>
    </xf>
    <xf numFmtId="13" fontId="48" fillId="0" borderId="67" xfId="0" applyNumberFormat="1" applyFont="1" applyBorder="1" applyProtection="1">
      <protection locked="0"/>
    </xf>
    <xf numFmtId="164" fontId="5" fillId="0" borderId="22" xfId="0" applyNumberFormat="1" applyFont="1" applyBorder="1" applyAlignment="1" applyProtection="1">
      <alignment horizontal="left"/>
      <protection hidden="1"/>
    </xf>
    <xf numFmtId="164" fontId="3" fillId="0" borderId="22" xfId="0" applyNumberFormat="1" applyFont="1" applyBorder="1" applyAlignment="1" applyProtection="1">
      <alignment horizontal="center"/>
      <protection hidden="1"/>
    </xf>
    <xf numFmtId="164" fontId="100" fillId="5" borderId="0" xfId="0" applyNumberFormat="1" applyFont="1" applyFill="1" applyBorder="1" applyAlignment="1" applyProtection="1">
      <alignment horizontal="justify" vertical="center"/>
      <protection hidden="1"/>
    </xf>
    <xf numFmtId="164" fontId="100" fillId="5" borderId="0" xfId="0" applyNumberFormat="1" applyFont="1" applyFill="1" applyBorder="1" applyAlignment="1" applyProtection="1">
      <alignment horizontal="left"/>
      <protection hidden="1"/>
    </xf>
    <xf numFmtId="14" fontId="30" fillId="0" borderId="0" xfId="0" applyNumberFormat="1" applyFont="1" applyFill="1" applyBorder="1" applyAlignment="1" applyProtection="1">
      <alignment horizontal="left"/>
      <protection hidden="1"/>
    </xf>
    <xf numFmtId="164" fontId="20" fillId="10" borderId="62" xfId="0" applyNumberFormat="1" applyFont="1" applyFill="1" applyBorder="1" applyAlignment="1" applyProtection="1">
      <alignment horizontal="center"/>
      <protection hidden="1"/>
    </xf>
    <xf numFmtId="164" fontId="20" fillId="10" borderId="45" xfId="0" applyNumberFormat="1" applyFont="1" applyFill="1" applyBorder="1" applyAlignment="1" applyProtection="1">
      <alignment horizontal="center"/>
      <protection hidden="1"/>
    </xf>
    <xf numFmtId="172" fontId="20" fillId="10" borderId="45" xfId="0" applyNumberFormat="1" applyFont="1" applyFill="1" applyBorder="1" applyAlignment="1" applyProtection="1">
      <alignment horizontal="center"/>
      <protection hidden="1"/>
    </xf>
    <xf numFmtId="164" fontId="30" fillId="10" borderId="62" xfId="0" applyNumberFormat="1" applyFont="1" applyFill="1" applyBorder="1" applyAlignment="1" applyProtection="1">
      <alignment horizontal="center"/>
      <protection hidden="1"/>
    </xf>
    <xf numFmtId="0" fontId="101" fillId="5" borderId="4" xfId="0" applyFont="1" applyFill="1" applyBorder="1" applyAlignment="1" applyProtection="1">
      <alignment horizontal="left"/>
      <protection hidden="1"/>
    </xf>
    <xf numFmtId="14" fontId="43" fillId="9" borderId="24" xfId="0" applyNumberFormat="1" applyFont="1" applyFill="1" applyBorder="1" applyProtection="1">
      <protection hidden="1"/>
    </xf>
    <xf numFmtId="14" fontId="3" fillId="0" borderId="0" xfId="0" applyNumberFormat="1" applyFont="1" applyBorder="1" applyProtection="1">
      <protection hidden="1"/>
    </xf>
    <xf numFmtId="0" fontId="55" fillId="0" borderId="0" xfId="0" applyFont="1" applyProtection="1">
      <protection hidden="1"/>
    </xf>
    <xf numFmtId="164" fontId="55" fillId="0" borderId="0" xfId="0" applyNumberFormat="1" applyFont="1" applyProtection="1">
      <protection hidden="1"/>
    </xf>
    <xf numFmtId="14" fontId="73" fillId="9" borderId="24" xfId="0" applyNumberFormat="1" applyFont="1" applyFill="1" applyBorder="1" applyProtection="1">
      <protection hidden="1"/>
    </xf>
    <xf numFmtId="14" fontId="73" fillId="9" borderId="22" xfId="0" applyNumberFormat="1" applyFont="1" applyFill="1" applyBorder="1" applyProtection="1">
      <protection hidden="1"/>
    </xf>
    <xf numFmtId="0" fontId="19" fillId="9" borderId="14" xfId="0" applyFont="1" applyFill="1" applyBorder="1" applyAlignment="1" applyProtection="1">
      <alignment horizontal="center"/>
      <protection hidden="1"/>
    </xf>
    <xf numFmtId="0" fontId="19" fillId="9" borderId="16" xfId="0" applyFont="1" applyFill="1" applyBorder="1" applyAlignment="1" applyProtection="1">
      <alignment horizontal="center"/>
      <protection hidden="1"/>
    </xf>
    <xf numFmtId="0" fontId="104" fillId="9" borderId="22" xfId="0" applyFont="1" applyFill="1" applyBorder="1" applyAlignment="1" applyProtection="1">
      <alignment horizontal="right"/>
      <protection hidden="1"/>
    </xf>
    <xf numFmtId="0" fontId="36" fillId="0" borderId="0" xfId="0" applyFont="1" applyFill="1" applyProtection="1">
      <protection hidden="1"/>
    </xf>
    <xf numFmtId="0" fontId="36" fillId="0" borderId="0" xfId="0" applyFont="1" applyFill="1" applyBorder="1" applyProtection="1">
      <protection hidden="1"/>
    </xf>
    <xf numFmtId="169" fontId="90" fillId="0" borderId="0" xfId="0" applyNumberFormat="1" applyFont="1" applyAlignment="1" applyProtection="1">
      <alignment horizontal="center"/>
      <protection hidden="1"/>
    </xf>
    <xf numFmtId="164" fontId="90" fillId="0" borderId="0" xfId="0" applyNumberFormat="1" applyFont="1" applyProtection="1">
      <protection hidden="1"/>
    </xf>
    <xf numFmtId="164" fontId="90" fillId="0" borderId="0" xfId="0" quotePrefix="1" applyNumberFormat="1" applyFont="1" applyProtection="1">
      <protection hidden="1"/>
    </xf>
    <xf numFmtId="164" fontId="36" fillId="0" borderId="0" xfId="0" applyNumberFormat="1" applyFont="1" applyBorder="1" applyAlignment="1" applyProtection="1">
      <alignment horizontal="left"/>
      <protection hidden="1"/>
    </xf>
    <xf numFmtId="0" fontId="36" fillId="2" borderId="0" xfId="0" applyFont="1" applyFill="1" applyBorder="1" applyProtection="1">
      <protection hidden="1"/>
    </xf>
    <xf numFmtId="164" fontId="107" fillId="0" borderId="0" xfId="0" applyNumberFormat="1" applyFont="1" applyFill="1" applyBorder="1" applyProtection="1">
      <protection hidden="1"/>
    </xf>
    <xf numFmtId="0" fontId="31" fillId="0" borderId="0" xfId="0" applyFont="1" applyBorder="1" applyAlignment="1" applyProtection="1">
      <alignment horizontal="left"/>
      <protection hidden="1"/>
    </xf>
    <xf numFmtId="0" fontId="31" fillId="0" borderId="0" xfId="0" applyFont="1" applyAlignment="1" applyProtection="1">
      <alignment horizontal="left"/>
      <protection hidden="1"/>
    </xf>
    <xf numFmtId="0" fontId="36" fillId="0" borderId="0" xfId="0" applyFont="1" applyBorder="1" applyAlignment="1" applyProtection="1">
      <alignment horizontal="left"/>
      <protection hidden="1"/>
    </xf>
    <xf numFmtId="9" fontId="69" fillId="0" borderId="0" xfId="0" applyNumberFormat="1" applyFont="1" applyBorder="1" applyAlignment="1" applyProtection="1">
      <alignment horizontal="right"/>
      <protection hidden="1"/>
    </xf>
    <xf numFmtId="9" fontId="31" fillId="0" borderId="0" xfId="0" applyNumberFormat="1" applyFont="1" applyBorder="1" applyAlignment="1" applyProtection="1">
      <alignment horizontal="right"/>
      <protection hidden="1"/>
    </xf>
    <xf numFmtId="0" fontId="90" fillId="0" borderId="0" xfId="0" applyFont="1" applyProtection="1">
      <protection hidden="1"/>
    </xf>
    <xf numFmtId="169" fontId="90" fillId="0" borderId="0" xfId="0" applyNumberFormat="1" applyFont="1" applyBorder="1" applyAlignment="1" applyProtection="1">
      <alignment horizontal="center"/>
      <protection hidden="1"/>
    </xf>
    <xf numFmtId="0" fontId="25" fillId="0" borderId="0" xfId="0" applyFont="1" applyFill="1" applyProtection="1">
      <protection hidden="1"/>
    </xf>
    <xf numFmtId="0" fontId="7" fillId="0" borderId="0" xfId="0" applyFont="1" applyFill="1" applyAlignment="1" applyProtection="1">
      <alignment horizontal="center"/>
      <protection hidden="1"/>
    </xf>
    <xf numFmtId="0" fontId="7" fillId="4" borderId="0" xfId="0" applyFont="1" applyFill="1" applyProtection="1">
      <protection hidden="1"/>
    </xf>
    <xf numFmtId="0" fontId="7" fillId="0" borderId="0" xfId="0" applyFont="1" applyFill="1" applyBorder="1" applyAlignment="1" applyProtection="1">
      <alignment horizontal="centerContinuous"/>
      <protection hidden="1"/>
    </xf>
    <xf numFmtId="0" fontId="7" fillId="0" borderId="0" xfId="0" applyFont="1" applyBorder="1" applyAlignment="1" applyProtection="1">
      <alignment horizontal="centerContinuous"/>
      <protection hidden="1"/>
    </xf>
    <xf numFmtId="164" fontId="7" fillId="0" borderId="0" xfId="0" applyNumberFormat="1" applyFont="1" applyBorder="1" applyAlignment="1" applyProtection="1">
      <alignment horizontal="centerContinuous"/>
      <protection hidden="1"/>
    </xf>
    <xf numFmtId="0" fontId="7" fillId="4" borderId="0" xfId="0" applyFont="1" applyFill="1" applyBorder="1" applyAlignment="1" applyProtection="1">
      <alignment horizontal="centerContinuous"/>
      <protection hidden="1"/>
    </xf>
    <xf numFmtId="0" fontId="108" fillId="0" borderId="0" xfId="0" applyFont="1" applyProtection="1">
      <protection hidden="1"/>
    </xf>
    <xf numFmtId="164" fontId="108" fillId="0" borderId="0" xfId="0" applyNumberFormat="1" applyFont="1" applyProtection="1">
      <protection hidden="1"/>
    </xf>
    <xf numFmtId="0" fontId="7" fillId="4" borderId="0" xfId="0" applyFont="1" applyFill="1" applyBorder="1" applyProtection="1">
      <protection hidden="1"/>
    </xf>
    <xf numFmtId="169" fontId="7" fillId="0" borderId="0" xfId="0" applyNumberFormat="1" applyFont="1" applyBorder="1" applyProtection="1">
      <protection hidden="1"/>
    </xf>
    <xf numFmtId="170" fontId="7" fillId="0" borderId="0" xfId="0" applyNumberFormat="1" applyFont="1" applyBorder="1" applyProtection="1">
      <protection hidden="1"/>
    </xf>
    <xf numFmtId="169" fontId="7" fillId="0" borderId="0" xfId="0" applyNumberFormat="1" applyFont="1" applyProtection="1">
      <protection hidden="1"/>
    </xf>
    <xf numFmtId="0" fontId="109" fillId="0" borderId="0" xfId="0" applyFont="1" applyBorder="1" applyProtection="1">
      <protection hidden="1"/>
    </xf>
    <xf numFmtId="0" fontId="25" fillId="0" borderId="0" xfId="0" applyFont="1" applyBorder="1" applyProtection="1">
      <protection hidden="1"/>
    </xf>
    <xf numFmtId="0" fontId="25" fillId="3" borderId="0" xfId="0" applyFont="1" applyFill="1" applyBorder="1" applyProtection="1">
      <protection hidden="1"/>
    </xf>
    <xf numFmtId="0" fontId="109" fillId="0" borderId="14" xfId="0" applyFont="1" applyBorder="1" applyProtection="1">
      <protection hidden="1"/>
    </xf>
    <xf numFmtId="0" fontId="7" fillId="0" borderId="4" xfId="0" applyFont="1" applyBorder="1" applyProtection="1">
      <protection hidden="1"/>
    </xf>
    <xf numFmtId="0" fontId="108" fillId="0" borderId="4" xfId="0" applyFont="1" applyBorder="1" applyProtection="1">
      <protection hidden="1"/>
    </xf>
    <xf numFmtId="164" fontId="108" fillId="0" borderId="4" xfId="0" applyNumberFormat="1" applyFont="1" applyBorder="1" applyProtection="1">
      <protection hidden="1"/>
    </xf>
    <xf numFmtId="0" fontId="108" fillId="0" borderId="15" xfId="0" applyFont="1" applyBorder="1" applyProtection="1">
      <protection hidden="1"/>
    </xf>
    <xf numFmtId="0" fontId="108" fillId="4" borderId="0" xfId="0" applyFont="1" applyFill="1" applyProtection="1">
      <protection hidden="1"/>
    </xf>
    <xf numFmtId="0" fontId="110" fillId="0" borderId="3" xfId="0" applyFont="1" applyBorder="1" applyProtection="1">
      <protection hidden="1"/>
    </xf>
    <xf numFmtId="0" fontId="108" fillId="0" borderId="0" xfId="0" applyFont="1" applyBorder="1" applyProtection="1">
      <protection hidden="1"/>
    </xf>
    <xf numFmtId="164" fontId="108" fillId="0" borderId="0" xfId="0" applyNumberFormat="1" applyFont="1" applyBorder="1" applyProtection="1">
      <protection hidden="1"/>
    </xf>
    <xf numFmtId="164" fontId="108" fillId="0" borderId="1" xfId="0" applyNumberFormat="1" applyFont="1" applyBorder="1" applyProtection="1">
      <protection hidden="1"/>
    </xf>
    <xf numFmtId="0" fontId="109" fillId="0" borderId="16" xfId="0" applyFont="1" applyBorder="1" applyProtection="1">
      <protection hidden="1"/>
    </xf>
    <xf numFmtId="9" fontId="7" fillId="0" borderId="17" xfId="0" applyNumberFormat="1" applyFont="1" applyBorder="1" applyProtection="1">
      <protection hidden="1"/>
    </xf>
    <xf numFmtId="9" fontId="7" fillId="0" borderId="18" xfId="0" applyNumberFormat="1" applyFont="1" applyBorder="1" applyProtection="1">
      <protection hidden="1"/>
    </xf>
    <xf numFmtId="9" fontId="7" fillId="0" borderId="0" xfId="0" applyNumberFormat="1" applyFont="1" applyBorder="1" applyProtection="1">
      <protection hidden="1"/>
    </xf>
    <xf numFmtId="0" fontId="7" fillId="0" borderId="15" xfId="0" applyFont="1" applyBorder="1" applyProtection="1">
      <protection hidden="1"/>
    </xf>
    <xf numFmtId="171" fontId="7" fillId="0" borderId="17" xfId="0" applyNumberFormat="1" applyFont="1" applyBorder="1" applyProtection="1">
      <protection hidden="1"/>
    </xf>
    <xf numFmtId="164" fontId="108" fillId="0" borderId="15" xfId="0" applyNumberFormat="1" applyFont="1" applyBorder="1" applyProtection="1">
      <protection hidden="1"/>
    </xf>
    <xf numFmtId="0" fontId="25" fillId="0" borderId="4" xfId="0" applyFont="1" applyBorder="1" applyProtection="1">
      <protection hidden="1"/>
    </xf>
    <xf numFmtId="0" fontId="7" fillId="0" borderId="19" xfId="0" applyFont="1" applyBorder="1" applyProtection="1">
      <protection hidden="1"/>
    </xf>
    <xf numFmtId="0" fontId="7" fillId="0" borderId="20" xfId="0" applyFont="1" applyBorder="1" applyProtection="1">
      <protection hidden="1"/>
    </xf>
    <xf numFmtId="9" fontId="7" fillId="0" borderId="21" xfId="0" applyNumberFormat="1" applyFont="1" applyBorder="1" applyProtection="1">
      <protection hidden="1"/>
    </xf>
    <xf numFmtId="9" fontId="22" fillId="0" borderId="0" xfId="0" applyNumberFormat="1" applyFont="1" applyBorder="1" applyAlignment="1" applyProtection="1">
      <alignment horizontal="left"/>
      <protection hidden="1"/>
    </xf>
    <xf numFmtId="0" fontId="110" fillId="0" borderId="14" xfId="0" applyFont="1" applyBorder="1" applyProtection="1">
      <protection hidden="1"/>
    </xf>
    <xf numFmtId="171" fontId="7" fillId="0" borderId="18" xfId="0" applyNumberFormat="1" applyFont="1" applyBorder="1" applyProtection="1">
      <protection hidden="1"/>
    </xf>
    <xf numFmtId="164" fontId="7" fillId="4" borderId="0" xfId="0" applyNumberFormat="1" applyFont="1" applyFill="1" applyBorder="1" applyProtection="1">
      <protection hidden="1"/>
    </xf>
    <xf numFmtId="9" fontId="7" fillId="0" borderId="4" xfId="0" applyNumberFormat="1" applyFont="1" applyBorder="1" applyProtection="1">
      <protection hidden="1"/>
    </xf>
    <xf numFmtId="9" fontId="111" fillId="0" borderId="16" xfId="0" applyNumberFormat="1" applyFont="1" applyBorder="1" applyAlignment="1" applyProtection="1">
      <alignment horizontal="left"/>
      <protection hidden="1"/>
    </xf>
    <xf numFmtId="0" fontId="18" fillId="0" borderId="17" xfId="0" applyFont="1" applyBorder="1" applyAlignment="1" applyProtection="1">
      <alignment horizontal="center"/>
      <protection hidden="1"/>
    </xf>
    <xf numFmtId="0" fontId="7" fillId="0" borderId="17" xfId="0" applyFont="1" applyBorder="1" applyProtection="1">
      <protection hidden="1"/>
    </xf>
    <xf numFmtId="9" fontId="22" fillId="0" borderId="17" xfId="0" applyNumberFormat="1" applyFont="1" applyBorder="1" applyAlignment="1" applyProtection="1">
      <alignment horizontal="left"/>
      <protection hidden="1"/>
    </xf>
    <xf numFmtId="9" fontId="111" fillId="0" borderId="17" xfId="0" applyNumberFormat="1" applyFont="1" applyBorder="1" applyAlignment="1" applyProtection="1">
      <alignment horizontal="left"/>
      <protection hidden="1"/>
    </xf>
    <xf numFmtId="0" fontId="18" fillId="0" borderId="17" xfId="0" applyFont="1" applyBorder="1" applyProtection="1">
      <protection hidden="1"/>
    </xf>
    <xf numFmtId="9" fontId="22" fillId="0" borderId="18" xfId="0" applyNumberFormat="1" applyFont="1" applyBorder="1" applyAlignment="1" applyProtection="1">
      <alignment horizontal="left"/>
      <protection hidden="1"/>
    </xf>
    <xf numFmtId="0" fontId="36" fillId="0" borderId="0" xfId="0" applyFont="1" applyBorder="1" applyAlignment="1" applyProtection="1">
      <alignment horizontal="right" vertical="justify"/>
      <protection hidden="1"/>
    </xf>
    <xf numFmtId="0" fontId="36" fillId="0" borderId="0" xfId="0" applyFont="1" applyAlignment="1" applyProtection="1">
      <alignment horizontal="right" vertical="justify"/>
      <protection hidden="1"/>
    </xf>
    <xf numFmtId="0" fontId="112" fillId="0" borderId="0" xfId="0" applyFont="1" applyProtection="1">
      <protection hidden="1"/>
    </xf>
    <xf numFmtId="164" fontId="112" fillId="0" borderId="0" xfId="0" applyNumberFormat="1" applyFont="1" applyProtection="1">
      <protection hidden="1"/>
    </xf>
    <xf numFmtId="0" fontId="36" fillId="4" borderId="0" xfId="0" applyFont="1" applyFill="1" applyBorder="1" applyProtection="1">
      <protection hidden="1"/>
    </xf>
    <xf numFmtId="0" fontId="36" fillId="0" borderId="0" xfId="0" applyFont="1" applyAlignment="1" applyProtection="1">
      <alignment horizontal="center"/>
      <protection hidden="1"/>
    </xf>
    <xf numFmtId="169" fontId="36" fillId="0" borderId="0" xfId="0" applyNumberFormat="1" applyFont="1" applyBorder="1" applyProtection="1">
      <protection hidden="1"/>
    </xf>
    <xf numFmtId="170" fontId="36" fillId="0" borderId="0" xfId="0" applyNumberFormat="1" applyFont="1" applyBorder="1" applyProtection="1">
      <protection hidden="1"/>
    </xf>
    <xf numFmtId="169" fontId="36" fillId="0" borderId="0" xfId="0" applyNumberFormat="1" applyFont="1" applyProtection="1">
      <protection hidden="1"/>
    </xf>
    <xf numFmtId="0" fontId="36" fillId="4" borderId="0" xfId="0" applyFont="1" applyFill="1" applyProtection="1">
      <protection hidden="1"/>
    </xf>
    <xf numFmtId="0" fontId="113" fillId="0" borderId="0" xfId="0" applyFont="1" applyBorder="1" applyProtection="1">
      <protection hidden="1"/>
    </xf>
    <xf numFmtId="0" fontId="31" fillId="3" borderId="0" xfId="0" applyFont="1" applyFill="1" applyBorder="1" applyProtection="1">
      <protection hidden="1"/>
    </xf>
    <xf numFmtId="164" fontId="36" fillId="8" borderId="0" xfId="0" applyNumberFormat="1" applyFont="1" applyFill="1" applyBorder="1" applyProtection="1">
      <protection hidden="1"/>
    </xf>
    <xf numFmtId="164" fontId="90" fillId="8" borderId="0" xfId="0" applyNumberFormat="1" applyFont="1" applyFill="1" applyAlignment="1" applyProtection="1">
      <alignment horizontal="right"/>
      <protection hidden="1"/>
    </xf>
    <xf numFmtId="0" fontId="36" fillId="8" borderId="0" xfId="0" applyFont="1" applyFill="1" applyBorder="1" applyAlignment="1" applyProtection="1">
      <alignment horizontal="right"/>
      <protection hidden="1"/>
    </xf>
    <xf numFmtId="0" fontId="31" fillId="8" borderId="0" xfId="0" applyFont="1" applyFill="1" applyBorder="1" applyAlignment="1" applyProtection="1">
      <alignment horizontal="right"/>
      <protection hidden="1"/>
    </xf>
    <xf numFmtId="164" fontId="90" fillId="8" borderId="0" xfId="0" applyNumberFormat="1" applyFont="1" applyFill="1" applyProtection="1">
      <protection hidden="1"/>
    </xf>
    <xf numFmtId="164" fontId="90" fillId="8" borderId="0" xfId="0" quotePrefix="1" applyNumberFormat="1" applyFont="1" applyFill="1" applyProtection="1">
      <protection hidden="1"/>
    </xf>
    <xf numFmtId="164" fontId="36" fillId="8" borderId="0" xfId="0" applyNumberFormat="1" applyFont="1" applyFill="1" applyBorder="1" applyAlignment="1" applyProtection="1">
      <alignment horizontal="left"/>
      <protection hidden="1"/>
    </xf>
    <xf numFmtId="164" fontId="36" fillId="8" borderId="0" xfId="0" applyNumberFormat="1" applyFont="1" applyFill="1" applyProtection="1">
      <protection hidden="1"/>
    </xf>
    <xf numFmtId="164" fontId="55" fillId="8" borderId="0" xfId="0" applyNumberFormat="1" applyFont="1" applyFill="1" applyProtection="1">
      <protection hidden="1"/>
    </xf>
    <xf numFmtId="164" fontId="55" fillId="8" borderId="0" xfId="0" quotePrefix="1" applyNumberFormat="1" applyFont="1" applyFill="1" applyProtection="1">
      <protection hidden="1"/>
    </xf>
    <xf numFmtId="164" fontId="7" fillId="8" borderId="0" xfId="0" applyNumberFormat="1" applyFont="1" applyFill="1" applyBorder="1" applyAlignment="1" applyProtection="1">
      <alignment horizontal="left"/>
      <protection hidden="1"/>
    </xf>
    <xf numFmtId="164" fontId="7" fillId="8" borderId="0" xfId="0" applyNumberFormat="1" applyFont="1" applyFill="1" applyProtection="1">
      <protection hidden="1"/>
    </xf>
    <xf numFmtId="164" fontId="7" fillId="8" borderId="0" xfId="0" applyNumberFormat="1" applyFont="1" applyFill="1" applyBorder="1" applyProtection="1">
      <protection hidden="1"/>
    </xf>
    <xf numFmtId="0" fontId="53" fillId="9" borderId="91" xfId="0" applyFont="1" applyFill="1" applyBorder="1" applyAlignment="1" applyProtection="1">
      <alignment horizontal="center"/>
      <protection hidden="1"/>
    </xf>
    <xf numFmtId="0" fontId="53" fillId="9" borderId="76" xfId="0" applyFont="1" applyFill="1" applyBorder="1" applyAlignment="1" applyProtection="1">
      <alignment horizontal="center"/>
      <protection hidden="1"/>
    </xf>
    <xf numFmtId="0" fontId="89" fillId="9" borderId="22" xfId="0" applyFont="1" applyFill="1" applyBorder="1" applyAlignment="1" applyProtection="1">
      <alignment horizontal="center"/>
      <protection hidden="1"/>
    </xf>
    <xf numFmtId="49" fontId="53" fillId="9" borderId="76" xfId="0" applyNumberFormat="1" applyFont="1" applyFill="1" applyBorder="1" applyAlignment="1" applyProtection="1">
      <alignment horizontal="center"/>
      <protection hidden="1"/>
    </xf>
    <xf numFmtId="164" fontId="81" fillId="9" borderId="52" xfId="0" applyNumberFormat="1" applyFont="1" applyFill="1" applyBorder="1" applyAlignment="1" applyProtection="1">
      <alignment horizontal="center"/>
      <protection hidden="1"/>
    </xf>
    <xf numFmtId="164" fontId="81" fillId="9" borderId="24" xfId="0" applyNumberFormat="1" applyFont="1" applyFill="1" applyBorder="1" applyAlignment="1" applyProtection="1">
      <alignment horizontal="center"/>
      <protection hidden="1"/>
    </xf>
    <xf numFmtId="164" fontId="89" fillId="9" borderId="23" xfId="0" applyNumberFormat="1" applyFont="1" applyFill="1" applyBorder="1" applyAlignment="1" applyProtection="1">
      <alignment horizontal="center"/>
      <protection hidden="1"/>
    </xf>
    <xf numFmtId="164" fontId="89" fillId="9" borderId="24" xfId="0" applyNumberFormat="1" applyFont="1" applyFill="1" applyBorder="1" applyAlignment="1" applyProtection="1">
      <alignment horizontal="center"/>
      <protection hidden="1"/>
    </xf>
    <xf numFmtId="0" fontId="89" fillId="9" borderId="23" xfId="0" applyFont="1" applyFill="1" applyBorder="1" applyAlignment="1" applyProtection="1">
      <alignment horizontal="center"/>
      <protection hidden="1"/>
    </xf>
    <xf numFmtId="0" fontId="89" fillId="9" borderId="24" xfId="0" applyFont="1" applyFill="1" applyBorder="1" applyAlignment="1" applyProtection="1">
      <alignment horizontal="center"/>
      <protection hidden="1"/>
    </xf>
    <xf numFmtId="164" fontId="88" fillId="9" borderId="52" xfId="0" applyNumberFormat="1" applyFont="1" applyFill="1" applyBorder="1" applyAlignment="1" applyProtection="1">
      <alignment horizontal="center"/>
      <protection hidden="1"/>
    </xf>
    <xf numFmtId="164" fontId="88" fillId="9" borderId="24" xfId="0" applyNumberFormat="1" applyFont="1" applyFill="1" applyBorder="1" applyAlignment="1" applyProtection="1">
      <alignment horizontal="center"/>
      <protection hidden="1"/>
    </xf>
    <xf numFmtId="0" fontId="89" fillId="9" borderId="14" xfId="0" applyFont="1" applyFill="1" applyBorder="1" applyAlignment="1" applyProtection="1">
      <alignment horizontal="center"/>
      <protection hidden="1"/>
    </xf>
    <xf numFmtId="0" fontId="89" fillId="9" borderId="15" xfId="0" applyFont="1" applyFill="1" applyBorder="1" applyAlignment="1" applyProtection="1">
      <alignment horizontal="center"/>
      <protection hidden="1"/>
    </xf>
    <xf numFmtId="164" fontId="89" fillId="9" borderId="14" xfId="0" applyNumberFormat="1" applyFont="1" applyFill="1" applyBorder="1" applyAlignment="1" applyProtection="1">
      <alignment horizontal="center"/>
      <protection hidden="1"/>
    </xf>
    <xf numFmtId="164" fontId="89" fillId="9" borderId="15" xfId="0" applyNumberFormat="1" applyFont="1" applyFill="1" applyBorder="1" applyAlignment="1" applyProtection="1">
      <alignment horizontal="center"/>
      <protection hidden="1"/>
    </xf>
    <xf numFmtId="0" fontId="0" fillId="0" borderId="0" xfId="0" applyFill="1" applyBorder="1" applyProtection="1">
      <protection hidden="1"/>
    </xf>
    <xf numFmtId="164" fontId="88" fillId="9" borderId="23" xfId="0" applyNumberFormat="1" applyFont="1" applyFill="1" applyBorder="1" applyAlignment="1" applyProtection="1">
      <alignment horizontal="left"/>
      <protection hidden="1"/>
    </xf>
    <xf numFmtId="164" fontId="81" fillId="9" borderId="23" xfId="0" applyNumberFormat="1" applyFont="1" applyFill="1" applyBorder="1" applyAlignment="1" applyProtection="1">
      <alignment horizontal="left"/>
      <protection hidden="1"/>
    </xf>
    <xf numFmtId="0" fontId="19" fillId="8" borderId="54" xfId="0" applyFont="1" applyFill="1" applyBorder="1" applyAlignment="1" applyProtection="1">
      <alignment horizontal="center" vertical="center"/>
      <protection hidden="1"/>
    </xf>
    <xf numFmtId="0" fontId="71" fillId="11" borderId="29" xfId="0" applyFont="1" applyFill="1" applyBorder="1" applyAlignment="1" applyProtection="1">
      <alignment horizontal="center" vertical="center"/>
      <protection hidden="1"/>
    </xf>
    <xf numFmtId="0" fontId="53" fillId="8" borderId="29" xfId="0" applyFont="1" applyFill="1" applyBorder="1" applyAlignment="1" applyProtection="1">
      <alignment horizontal="center" vertical="center"/>
      <protection hidden="1"/>
    </xf>
    <xf numFmtId="0" fontId="19" fillId="8" borderId="92" xfId="0" applyFont="1" applyFill="1" applyBorder="1" applyAlignment="1" applyProtection="1">
      <alignment horizontal="center" vertical="center"/>
      <protection hidden="1"/>
    </xf>
    <xf numFmtId="9" fontId="30" fillId="4" borderId="62" xfId="0" applyNumberFormat="1" applyFont="1" applyFill="1" applyBorder="1" applyAlignment="1" applyProtection="1">
      <alignment horizontal="center"/>
      <protection hidden="1"/>
    </xf>
    <xf numFmtId="9" fontId="30" fillId="4" borderId="65" xfId="0" applyNumberFormat="1" applyFont="1" applyFill="1" applyBorder="1" applyAlignment="1" applyProtection="1">
      <alignment horizontal="center"/>
      <protection hidden="1"/>
    </xf>
    <xf numFmtId="9" fontId="30" fillId="4" borderId="39" xfId="0" applyNumberFormat="1" applyFont="1" applyFill="1" applyBorder="1" applyAlignment="1" applyProtection="1">
      <alignment horizontal="center"/>
      <protection hidden="1"/>
    </xf>
    <xf numFmtId="0" fontId="36" fillId="0" borderId="0" xfId="0" applyFont="1" applyFill="1" applyBorder="1" applyAlignment="1" applyProtection="1">
      <alignment horizontal="center"/>
      <protection hidden="1"/>
    </xf>
    <xf numFmtId="164" fontId="3" fillId="0" borderId="0" xfId="0" applyNumberFormat="1" applyFont="1" applyFill="1" applyBorder="1" applyProtection="1">
      <protection hidden="1"/>
    </xf>
    <xf numFmtId="164" fontId="30" fillId="0" borderId="0" xfId="0" applyNumberFormat="1" applyFont="1" applyFill="1" applyBorder="1" applyAlignment="1" applyProtection="1">
      <alignment horizontal="center"/>
      <protection hidden="1"/>
    </xf>
    <xf numFmtId="164" fontId="36" fillId="0" borderId="0" xfId="0" applyNumberFormat="1" applyFont="1" applyFill="1" applyBorder="1" applyAlignment="1" applyProtection="1">
      <alignment horizontal="left"/>
      <protection hidden="1"/>
    </xf>
    <xf numFmtId="164" fontId="46" fillId="0" borderId="0" xfId="0" applyNumberFormat="1" applyFont="1" applyFill="1" applyBorder="1" applyAlignment="1" applyProtection="1">
      <alignment horizontal="center"/>
      <protection hidden="1"/>
    </xf>
    <xf numFmtId="164" fontId="7" fillId="0" borderId="0" xfId="0" applyNumberFormat="1" applyFont="1" applyBorder="1" applyAlignment="1" applyProtection="1">
      <alignment horizontal="center"/>
      <protection hidden="1"/>
    </xf>
    <xf numFmtId="164" fontId="55" fillId="0" borderId="0" xfId="0" quotePrefix="1" applyNumberFormat="1" applyFont="1" applyProtection="1">
      <protection hidden="1"/>
    </xf>
    <xf numFmtId="164" fontId="7" fillId="0" borderId="0" xfId="0" applyNumberFormat="1" applyFont="1" applyBorder="1" applyAlignment="1" applyProtection="1">
      <alignment horizontal="left"/>
      <protection hidden="1"/>
    </xf>
    <xf numFmtId="164" fontId="53" fillId="9" borderId="91" xfId="0" applyNumberFormat="1" applyFont="1" applyFill="1" applyBorder="1" applyAlignment="1" applyProtection="1">
      <alignment horizontal="center"/>
      <protection hidden="1"/>
    </xf>
    <xf numFmtId="0" fontId="36" fillId="8" borderId="19" xfId="0" applyFont="1" applyFill="1" applyBorder="1" applyAlignment="1" applyProtection="1">
      <alignment horizontal="left"/>
      <protection hidden="1"/>
    </xf>
    <xf numFmtId="0" fontId="53" fillId="8" borderId="20" xfId="0" applyFont="1" applyFill="1" applyBorder="1" applyAlignment="1" applyProtection="1">
      <alignment horizontal="center"/>
      <protection hidden="1"/>
    </xf>
    <xf numFmtId="0" fontId="36" fillId="8" borderId="21" xfId="0" applyFont="1" applyFill="1" applyBorder="1" applyAlignment="1" applyProtection="1">
      <alignment horizontal="left"/>
      <protection hidden="1"/>
    </xf>
    <xf numFmtId="164" fontId="55" fillId="0" borderId="0" xfId="0" applyNumberFormat="1" applyFont="1" applyAlignment="1" applyProtection="1">
      <alignment horizontal="right"/>
      <protection hidden="1"/>
    </xf>
    <xf numFmtId="0" fontId="25" fillId="0" borderId="0" xfId="0" applyFont="1" applyBorder="1" applyAlignment="1" applyProtection="1">
      <alignment horizontal="right"/>
      <protection hidden="1"/>
    </xf>
    <xf numFmtId="164" fontId="0" fillId="0" borderId="60" xfId="0" applyNumberFormat="1" applyBorder="1" applyProtection="1">
      <protection hidden="1"/>
    </xf>
    <xf numFmtId="164" fontId="0" fillId="0" borderId="64" xfId="0" applyNumberFormat="1" applyBorder="1" applyProtection="1">
      <protection hidden="1"/>
    </xf>
    <xf numFmtId="0" fontId="3" fillId="0" borderId="42" xfId="0" applyFont="1" applyBorder="1" applyProtection="1">
      <protection hidden="1"/>
    </xf>
    <xf numFmtId="164" fontId="46" fillId="7" borderId="10" xfId="0" applyNumberFormat="1" applyFont="1" applyFill="1" applyBorder="1" applyAlignment="1" applyProtection="1">
      <alignment horizontal="center"/>
      <protection hidden="1"/>
    </xf>
    <xf numFmtId="164" fontId="3" fillId="0" borderId="60" xfId="0" applyNumberFormat="1" applyFont="1" applyBorder="1" applyProtection="1">
      <protection hidden="1"/>
    </xf>
    <xf numFmtId="164" fontId="3" fillId="0" borderId="93" xfId="0" applyNumberFormat="1" applyFont="1" applyBorder="1" applyProtection="1">
      <protection hidden="1"/>
    </xf>
    <xf numFmtId="0" fontId="0" fillId="5" borderId="19" xfId="0" applyFill="1" applyBorder="1" applyAlignment="1" applyProtection="1">
      <alignment horizontal="center"/>
      <protection hidden="1"/>
    </xf>
    <xf numFmtId="164" fontId="26" fillId="0" borderId="0" xfId="0" applyNumberFormat="1" applyFont="1" applyBorder="1" applyAlignment="1" applyProtection="1">
      <alignment horizontal="left"/>
      <protection hidden="1"/>
    </xf>
    <xf numFmtId="164" fontId="29" fillId="0" borderId="22" xfId="0" applyNumberFormat="1" applyFont="1" applyBorder="1" applyAlignment="1" applyProtection="1">
      <alignment horizontal="left"/>
      <protection hidden="1"/>
    </xf>
    <xf numFmtId="164" fontId="46" fillId="7" borderId="10" xfId="0" applyNumberFormat="1" applyFont="1" applyFill="1" applyBorder="1" applyProtection="1">
      <protection hidden="1"/>
    </xf>
    <xf numFmtId="164" fontId="90" fillId="0" borderId="2" xfId="0" applyNumberFormat="1" applyFont="1" applyFill="1" applyBorder="1" applyProtection="1">
      <protection hidden="1"/>
    </xf>
    <xf numFmtId="0" fontId="3" fillId="7" borderId="10" xfId="0" applyFont="1" applyFill="1" applyBorder="1" applyProtection="1">
      <protection hidden="1"/>
    </xf>
    <xf numFmtId="164" fontId="29" fillId="0" borderId="22" xfId="0" applyNumberFormat="1" applyFont="1" applyBorder="1" applyProtection="1">
      <protection hidden="1"/>
    </xf>
    <xf numFmtId="164" fontId="5" fillId="0" borderId="61" xfId="0" applyNumberFormat="1" applyFont="1" applyBorder="1" applyAlignment="1" applyProtection="1">
      <alignment horizontal="left"/>
      <protection hidden="1"/>
    </xf>
    <xf numFmtId="164" fontId="3" fillId="0" borderId="62" xfId="0" applyNumberFormat="1" applyFont="1" applyBorder="1" applyAlignment="1" applyProtection="1">
      <alignment horizontal="center"/>
      <protection hidden="1"/>
    </xf>
    <xf numFmtId="164" fontId="5" fillId="0" borderId="62" xfId="0" applyNumberFormat="1" applyFont="1" applyBorder="1" applyAlignment="1" applyProtection="1">
      <alignment horizontal="left"/>
      <protection hidden="1"/>
    </xf>
    <xf numFmtId="164" fontId="29" fillId="0" borderId="62" xfId="0" applyNumberFormat="1" applyFont="1" applyBorder="1" applyAlignment="1" applyProtection="1">
      <alignment horizontal="left"/>
      <protection hidden="1"/>
    </xf>
    <xf numFmtId="164" fontId="29" fillId="0" borderId="62" xfId="0" applyNumberFormat="1" applyFont="1" applyBorder="1" applyProtection="1">
      <protection hidden="1"/>
    </xf>
    <xf numFmtId="164" fontId="29" fillId="0" borderId="63" xfId="0" applyNumberFormat="1" applyFont="1" applyBorder="1" applyProtection="1">
      <protection hidden="1"/>
    </xf>
    <xf numFmtId="164" fontId="5" fillId="0" borderId="46" xfId="0" applyNumberFormat="1" applyFont="1" applyBorder="1" applyAlignment="1" applyProtection="1">
      <alignment horizontal="left"/>
      <protection hidden="1"/>
    </xf>
    <xf numFmtId="164" fontId="29" fillId="0" borderId="65" xfId="0" applyNumberFormat="1" applyFont="1" applyBorder="1" applyProtection="1">
      <protection hidden="1"/>
    </xf>
    <xf numFmtId="164" fontId="5" fillId="0" borderId="37" xfId="0" applyNumberFormat="1" applyFont="1" applyBorder="1" applyAlignment="1" applyProtection="1">
      <alignment horizontal="left"/>
      <protection hidden="1"/>
    </xf>
    <xf numFmtId="164" fontId="3" fillId="0" borderId="38" xfId="0" applyNumberFormat="1" applyFont="1" applyBorder="1" applyAlignment="1" applyProtection="1">
      <alignment horizontal="center"/>
      <protection hidden="1"/>
    </xf>
    <xf numFmtId="164" fontId="5" fillId="0" borderId="38" xfId="0" applyNumberFormat="1" applyFont="1" applyBorder="1" applyAlignment="1" applyProtection="1">
      <alignment horizontal="left"/>
      <protection hidden="1"/>
    </xf>
    <xf numFmtId="164" fontId="29" fillId="0" borderId="38" xfId="0" applyNumberFormat="1" applyFont="1" applyBorder="1" applyAlignment="1" applyProtection="1">
      <alignment horizontal="left"/>
      <protection hidden="1"/>
    </xf>
    <xf numFmtId="164" fontId="29" fillId="0" borderId="38" xfId="0" applyNumberFormat="1" applyFont="1" applyBorder="1" applyProtection="1">
      <protection hidden="1"/>
    </xf>
    <xf numFmtId="164" fontId="29" fillId="0" borderId="39" xfId="0" applyNumberFormat="1" applyFont="1" applyBorder="1" applyProtection="1">
      <protection hidden="1"/>
    </xf>
    <xf numFmtId="0" fontId="3" fillId="9" borderId="34" xfId="0" applyFont="1" applyFill="1" applyBorder="1" applyAlignment="1" applyProtection="1">
      <alignment horizontal="center"/>
      <protection hidden="1"/>
    </xf>
    <xf numFmtId="0" fontId="3" fillId="9" borderId="43" xfId="0" applyFont="1" applyFill="1" applyBorder="1" applyAlignment="1" applyProtection="1">
      <alignment horizontal="center"/>
      <protection hidden="1"/>
    </xf>
    <xf numFmtId="169" fontId="90" fillId="0" borderId="25" xfId="0" applyNumberFormat="1" applyFont="1" applyBorder="1" applyAlignment="1" applyProtection="1">
      <alignment horizontal="center"/>
      <protection hidden="1"/>
    </xf>
    <xf numFmtId="14" fontId="36" fillId="0" borderId="0" xfId="0" applyNumberFormat="1" applyFont="1" applyBorder="1" applyProtection="1">
      <protection hidden="1"/>
    </xf>
    <xf numFmtId="14" fontId="15" fillId="0" borderId="0" xfId="0" applyNumberFormat="1" applyFont="1" applyProtection="1">
      <protection hidden="1"/>
    </xf>
    <xf numFmtId="164" fontId="0" fillId="0" borderId="66" xfId="0" applyNumberFormat="1" applyBorder="1" applyProtection="1">
      <protection hidden="1"/>
    </xf>
    <xf numFmtId="164" fontId="3" fillId="0" borderId="94" xfId="0" applyNumberFormat="1" applyFont="1" applyBorder="1" applyProtection="1">
      <protection hidden="1"/>
    </xf>
    <xf numFmtId="164" fontId="3" fillId="0" borderId="67" xfId="0" applyNumberFormat="1" applyFont="1" applyBorder="1" applyProtection="1">
      <protection hidden="1"/>
    </xf>
    <xf numFmtId="0" fontId="3" fillId="0" borderId="95" xfId="0" applyFont="1" applyBorder="1" applyProtection="1">
      <protection hidden="1"/>
    </xf>
    <xf numFmtId="164" fontId="3" fillId="0" borderId="20" xfId="0" applyNumberFormat="1" applyFont="1" applyBorder="1" applyProtection="1">
      <protection hidden="1"/>
    </xf>
    <xf numFmtId="164" fontId="3" fillId="0" borderId="95" xfId="0" applyNumberFormat="1" applyFont="1" applyBorder="1" applyProtection="1">
      <protection hidden="1"/>
    </xf>
    <xf numFmtId="164" fontId="3" fillId="0" borderId="25" xfId="0" applyNumberFormat="1" applyFont="1" applyBorder="1" applyProtection="1">
      <protection hidden="1"/>
    </xf>
    <xf numFmtId="0" fontId="0" fillId="5" borderId="20" xfId="0" applyFill="1" applyBorder="1" applyAlignment="1" applyProtection="1">
      <alignment horizontal="center"/>
      <protection hidden="1"/>
    </xf>
    <xf numFmtId="164" fontId="3" fillId="0" borderId="64" xfId="0" applyNumberFormat="1" applyFont="1" applyBorder="1" applyProtection="1">
      <protection hidden="1"/>
    </xf>
    <xf numFmtId="0" fontId="3" fillId="0" borderId="5" xfId="0" applyFont="1" applyBorder="1" applyProtection="1">
      <protection hidden="1"/>
    </xf>
    <xf numFmtId="0" fontId="36" fillId="0" borderId="7" xfId="0" applyFont="1" applyFill="1" applyBorder="1" applyProtection="1">
      <protection hidden="1"/>
    </xf>
    <xf numFmtId="0" fontId="36" fillId="0" borderId="69" xfId="0" applyFont="1" applyFill="1" applyBorder="1" applyProtection="1">
      <protection hidden="1"/>
    </xf>
    <xf numFmtId="0" fontId="36" fillId="0" borderId="69" xfId="0" applyFont="1" applyFill="1" applyBorder="1" applyAlignment="1" applyProtection="1">
      <alignment horizontal="left"/>
      <protection hidden="1"/>
    </xf>
    <xf numFmtId="0" fontId="36" fillId="0" borderId="96" xfId="0" applyFont="1" applyFill="1" applyBorder="1" applyProtection="1">
      <protection hidden="1"/>
    </xf>
    <xf numFmtId="0" fontId="36" fillId="0" borderId="9" xfId="0" applyFont="1" applyFill="1" applyBorder="1" applyProtection="1">
      <protection hidden="1"/>
    </xf>
    <xf numFmtId="164" fontId="3" fillId="0" borderId="8" xfId="0" applyNumberFormat="1" applyFont="1" applyBorder="1" applyProtection="1">
      <protection hidden="1"/>
    </xf>
    <xf numFmtId="164" fontId="3" fillId="0" borderId="24" xfId="0" applyNumberFormat="1" applyFont="1" applyBorder="1" applyProtection="1">
      <protection hidden="1"/>
    </xf>
    <xf numFmtId="164" fontId="3" fillId="0" borderId="97" xfId="0" applyNumberFormat="1" applyFont="1" applyBorder="1" applyProtection="1">
      <protection hidden="1"/>
    </xf>
    <xf numFmtId="164" fontId="3" fillId="0" borderId="61" xfId="0" applyNumberFormat="1" applyFont="1" applyBorder="1" applyProtection="1">
      <protection hidden="1"/>
    </xf>
    <xf numFmtId="164" fontId="3" fillId="0" borderId="62" xfId="0" applyNumberFormat="1" applyFont="1" applyBorder="1" applyProtection="1">
      <protection hidden="1"/>
    </xf>
    <xf numFmtId="164" fontId="3" fillId="0" borderId="63" xfId="0" applyNumberFormat="1" applyFont="1" applyBorder="1" applyProtection="1">
      <protection hidden="1"/>
    </xf>
    <xf numFmtId="0" fontId="36" fillId="8" borderId="9" xfId="0" applyFont="1" applyFill="1" applyBorder="1" applyProtection="1">
      <protection hidden="1"/>
    </xf>
    <xf numFmtId="164" fontId="3" fillId="8" borderId="21" xfId="0" applyNumberFormat="1" applyFont="1" applyFill="1" applyBorder="1" applyProtection="1">
      <protection hidden="1"/>
    </xf>
    <xf numFmtId="164" fontId="3" fillId="8" borderId="58" xfId="0" applyNumberFormat="1" applyFont="1" applyFill="1" applyBorder="1" applyProtection="1">
      <protection hidden="1"/>
    </xf>
    <xf numFmtId="164" fontId="3" fillId="8" borderId="31" xfId="0" applyNumberFormat="1" applyFont="1" applyFill="1" applyBorder="1" applyProtection="1">
      <protection hidden="1"/>
    </xf>
    <xf numFmtId="164" fontId="3" fillId="8" borderId="98" xfId="0" applyNumberFormat="1" applyFont="1" applyFill="1" applyBorder="1" applyProtection="1">
      <protection hidden="1"/>
    </xf>
    <xf numFmtId="164" fontId="3" fillId="8" borderId="11" xfId="0" applyNumberFormat="1" applyFont="1" applyFill="1" applyBorder="1" applyProtection="1">
      <protection hidden="1"/>
    </xf>
    <xf numFmtId="164" fontId="3" fillId="8" borderId="32" xfId="0" applyNumberFormat="1" applyFont="1" applyFill="1" applyBorder="1" applyProtection="1">
      <protection hidden="1"/>
    </xf>
    <xf numFmtId="164" fontId="3" fillId="8" borderId="36" xfId="0" applyNumberFormat="1" applyFont="1" applyFill="1" applyBorder="1" applyProtection="1">
      <protection hidden="1"/>
    </xf>
    <xf numFmtId="175" fontId="5" fillId="0" borderId="0" xfId="0" applyNumberFormat="1" applyFont="1" applyBorder="1" applyAlignment="1" applyProtection="1">
      <alignment horizontal="center"/>
      <protection hidden="1"/>
    </xf>
    <xf numFmtId="14" fontId="19" fillId="5" borderId="74" xfId="0" applyNumberFormat="1" applyFont="1" applyFill="1" applyBorder="1" applyAlignment="1" applyProtection="1">
      <alignment horizontal="center"/>
      <protection hidden="1"/>
    </xf>
    <xf numFmtId="169" fontId="36" fillId="0" borderId="0" xfId="0" applyNumberFormat="1" applyFont="1" applyAlignment="1" applyProtection="1">
      <alignment horizontal="right"/>
      <protection hidden="1"/>
    </xf>
    <xf numFmtId="14" fontId="36" fillId="0" borderId="0" xfId="0" applyNumberFormat="1" applyFont="1" applyAlignment="1" applyProtection="1">
      <alignment horizontal="right"/>
      <protection hidden="1"/>
    </xf>
    <xf numFmtId="175" fontId="46" fillId="0" borderId="47" xfId="0" applyNumberFormat="1" applyFont="1" applyFill="1" applyBorder="1" applyAlignment="1" applyProtection="1">
      <alignment horizontal="center"/>
      <protection hidden="1"/>
    </xf>
    <xf numFmtId="169" fontId="90" fillId="0" borderId="25" xfId="0" applyNumberFormat="1" applyFont="1" applyFill="1" applyBorder="1" applyAlignment="1" applyProtection="1">
      <alignment horizontal="center"/>
      <protection hidden="1"/>
    </xf>
    <xf numFmtId="169" fontId="20" fillId="10" borderId="22" xfId="0" applyNumberFormat="1" applyFont="1" applyFill="1" applyBorder="1" applyAlignment="1" applyProtection="1">
      <alignment horizontal="center"/>
      <protection hidden="1"/>
    </xf>
    <xf numFmtId="164" fontId="20" fillId="0" borderId="63" xfId="0" applyNumberFormat="1" applyFont="1" applyBorder="1" applyProtection="1">
      <protection hidden="1"/>
    </xf>
    <xf numFmtId="164" fontId="20" fillId="0" borderId="65" xfId="0" applyNumberFormat="1" applyFont="1" applyBorder="1" applyProtection="1">
      <protection hidden="1"/>
    </xf>
    <xf numFmtId="169" fontId="20" fillId="10" borderId="34" xfId="0" applyNumberFormat="1" applyFont="1" applyFill="1" applyBorder="1" applyAlignment="1" applyProtection="1">
      <alignment horizontal="center"/>
      <protection hidden="1"/>
    </xf>
    <xf numFmtId="169" fontId="20" fillId="10" borderId="38" xfId="0" applyNumberFormat="1" applyFont="1" applyFill="1" applyBorder="1" applyAlignment="1" applyProtection="1">
      <alignment horizontal="center"/>
      <protection hidden="1"/>
    </xf>
    <xf numFmtId="164" fontId="20" fillId="0" borderId="39" xfId="0" applyNumberFormat="1" applyFont="1" applyBorder="1" applyProtection="1">
      <protection hidden="1"/>
    </xf>
    <xf numFmtId="0" fontId="90" fillId="0" borderId="0" xfId="0" applyFont="1" applyBorder="1" applyProtection="1">
      <protection hidden="1"/>
    </xf>
    <xf numFmtId="175" fontId="46" fillId="0" borderId="47" xfId="0" applyNumberFormat="1" applyFont="1" applyFill="1" applyBorder="1" applyAlignment="1" applyProtection="1">
      <alignment horizontal="left"/>
      <protection hidden="1"/>
    </xf>
    <xf numFmtId="175" fontId="46" fillId="0" borderId="33" xfId="0" applyNumberFormat="1" applyFont="1" applyFill="1" applyBorder="1" applyAlignment="1" applyProtection="1">
      <alignment horizontal="left"/>
      <protection hidden="1"/>
    </xf>
    <xf numFmtId="164" fontId="90" fillId="0" borderId="0" xfId="0" applyNumberFormat="1" applyFont="1" applyBorder="1" applyProtection="1">
      <protection hidden="1"/>
    </xf>
    <xf numFmtId="175" fontId="46" fillId="0" borderId="3" xfId="0" applyNumberFormat="1" applyFont="1" applyFill="1" applyBorder="1" applyAlignment="1" applyProtection="1">
      <alignment horizontal="left"/>
      <protection hidden="1"/>
    </xf>
    <xf numFmtId="175" fontId="46" fillId="0" borderId="3" xfId="0" applyNumberFormat="1" applyFont="1" applyFill="1" applyBorder="1" applyAlignment="1" applyProtection="1">
      <alignment horizontal="center"/>
      <protection hidden="1"/>
    </xf>
    <xf numFmtId="164" fontId="20" fillId="0" borderId="34" xfId="0" applyNumberFormat="1" applyFont="1" applyBorder="1" applyProtection="1">
      <protection hidden="1"/>
    </xf>
    <xf numFmtId="164" fontId="90" fillId="0" borderId="99" xfId="0" applyNumberFormat="1" applyFont="1" applyBorder="1" applyProtection="1">
      <protection hidden="1"/>
    </xf>
    <xf numFmtId="169" fontId="117" fillId="0" borderId="0" xfId="0" applyNumberFormat="1" applyFont="1" applyBorder="1" applyAlignment="1" applyProtection="1">
      <alignment horizontal="center"/>
      <protection hidden="1"/>
    </xf>
    <xf numFmtId="164" fontId="77" fillId="0" borderId="0" xfId="0" applyNumberFormat="1" applyFont="1" applyBorder="1" applyProtection="1">
      <protection hidden="1"/>
    </xf>
    <xf numFmtId="164" fontId="20" fillId="0" borderId="22" xfId="0" applyNumberFormat="1" applyFont="1" applyFill="1" applyBorder="1" applyAlignment="1" applyProtection="1">
      <alignment horizontal="center"/>
      <protection hidden="1"/>
    </xf>
    <xf numFmtId="0" fontId="69" fillId="0" borderId="0" xfId="0" applyFont="1" applyBorder="1" applyProtection="1">
      <protection hidden="1"/>
    </xf>
    <xf numFmtId="0" fontId="118" fillId="0" borderId="0" xfId="0" applyFont="1" applyBorder="1" applyProtection="1">
      <protection hidden="1"/>
    </xf>
    <xf numFmtId="164" fontId="74" fillId="0" borderId="0" xfId="0" applyNumberFormat="1" applyFont="1" applyBorder="1" applyProtection="1">
      <protection hidden="1"/>
    </xf>
    <xf numFmtId="164" fontId="20" fillId="8" borderId="38" xfId="0" applyNumberFormat="1" applyFont="1" applyFill="1" applyBorder="1" applyProtection="1">
      <protection hidden="1"/>
    </xf>
    <xf numFmtId="175" fontId="46" fillId="8" borderId="33" xfId="0" applyNumberFormat="1" applyFont="1" applyFill="1" applyBorder="1" applyAlignment="1" applyProtection="1">
      <alignment horizontal="center"/>
      <protection hidden="1"/>
    </xf>
    <xf numFmtId="14" fontId="112" fillId="9" borderId="22" xfId="0" applyNumberFormat="1" applyFont="1" applyFill="1" applyBorder="1" applyAlignment="1" applyProtection="1">
      <alignment horizontal="center"/>
      <protection hidden="1"/>
    </xf>
    <xf numFmtId="164" fontId="3" fillId="8" borderId="22" xfId="0" applyNumberFormat="1" applyFont="1" applyFill="1" applyBorder="1" applyProtection="1">
      <protection hidden="1"/>
    </xf>
    <xf numFmtId="0" fontId="0" fillId="5" borderId="2" xfId="0" applyFill="1" applyBorder="1" applyAlignment="1" applyProtection="1">
      <alignment horizontal="center"/>
      <protection hidden="1"/>
    </xf>
    <xf numFmtId="0" fontId="36" fillId="0" borderId="100" xfId="0" applyFont="1" applyFill="1" applyBorder="1" applyProtection="1">
      <protection hidden="1"/>
    </xf>
    <xf numFmtId="164" fontId="0" fillId="0" borderId="61" xfId="0" applyNumberFormat="1" applyBorder="1" applyProtection="1">
      <protection hidden="1"/>
    </xf>
    <xf numFmtId="169" fontId="46" fillId="10" borderId="62" xfId="0" applyNumberFormat="1" applyFont="1" applyFill="1" applyBorder="1" applyAlignment="1" applyProtection="1">
      <alignment horizontal="center"/>
      <protection hidden="1"/>
    </xf>
    <xf numFmtId="14" fontId="73" fillId="9" borderId="22" xfId="0" applyNumberFormat="1" applyFont="1" applyFill="1" applyBorder="1" applyAlignment="1" applyProtection="1">
      <alignment horizontal="center"/>
      <protection hidden="1"/>
    </xf>
    <xf numFmtId="164" fontId="62" fillId="0" borderId="0" xfId="0" applyNumberFormat="1" applyFont="1" applyFill="1" applyBorder="1" applyAlignment="1" applyProtection="1">
      <alignment horizontal="left"/>
      <protection hidden="1"/>
    </xf>
    <xf numFmtId="164" fontId="81" fillId="0" borderId="0" xfId="0" applyNumberFormat="1" applyFont="1" applyFill="1" applyBorder="1" applyAlignment="1" applyProtection="1">
      <protection hidden="1"/>
    </xf>
    <xf numFmtId="164" fontId="7" fillId="0" borderId="0" xfId="0" applyNumberFormat="1" applyFont="1" applyAlignment="1" applyProtection="1">
      <alignment horizontal="center"/>
      <protection hidden="1"/>
    </xf>
    <xf numFmtId="164" fontId="56" fillId="0" borderId="0" xfId="0" applyNumberFormat="1" applyFont="1" applyBorder="1" applyAlignment="1" applyProtection="1">
      <protection hidden="1"/>
    </xf>
    <xf numFmtId="164" fontId="56" fillId="0" borderId="0" xfId="0" applyNumberFormat="1" applyFont="1" applyBorder="1" applyProtection="1">
      <protection hidden="1"/>
    </xf>
    <xf numFmtId="164" fontId="79" fillId="0" borderId="0" xfId="0" applyNumberFormat="1" applyFont="1" applyFill="1" applyBorder="1" applyAlignment="1" applyProtection="1">
      <protection hidden="1"/>
    </xf>
    <xf numFmtId="164" fontId="61" fillId="0" borderId="0" xfId="0" applyNumberFormat="1" applyFont="1" applyFill="1" applyBorder="1" applyAlignment="1" applyProtection="1">
      <alignment horizontal="left"/>
      <protection hidden="1"/>
    </xf>
    <xf numFmtId="164" fontId="79" fillId="0" borderId="0" xfId="0" applyNumberFormat="1" applyFont="1" applyFill="1" applyBorder="1" applyAlignment="1" applyProtection="1">
      <alignment horizontal="left"/>
      <protection hidden="1"/>
    </xf>
    <xf numFmtId="164" fontId="50" fillId="0" borderId="0" xfId="1" applyNumberFormat="1" applyFont="1" applyFill="1" applyBorder="1" applyAlignment="1" applyProtection="1">
      <alignment horizontal="center"/>
      <protection hidden="1"/>
    </xf>
    <xf numFmtId="164" fontId="50" fillId="0" borderId="0" xfId="1" applyNumberFormat="1" applyFont="1" applyFill="1" applyBorder="1" applyAlignment="1" applyProtection="1">
      <protection hidden="1"/>
    </xf>
    <xf numFmtId="164" fontId="58" fillId="0" borderId="0" xfId="0" applyNumberFormat="1" applyFont="1" applyFill="1" applyBorder="1" applyAlignment="1" applyProtection="1">
      <alignment horizontal="left"/>
      <protection hidden="1"/>
    </xf>
    <xf numFmtId="164" fontId="85" fillId="0" borderId="0" xfId="0" applyNumberFormat="1" applyFont="1" applyFill="1" applyBorder="1" applyAlignment="1" applyProtection="1">
      <protection hidden="1"/>
    </xf>
    <xf numFmtId="164" fontId="86" fillId="0" borderId="0" xfId="0" applyNumberFormat="1" applyFont="1" applyFill="1" applyBorder="1" applyAlignment="1" applyProtection="1">
      <protection hidden="1"/>
    </xf>
    <xf numFmtId="164" fontId="84" fillId="0" borderId="0" xfId="0" applyNumberFormat="1" applyFont="1" applyFill="1" applyBorder="1" applyAlignment="1" applyProtection="1">
      <alignment horizontal="center"/>
      <protection hidden="1"/>
    </xf>
    <xf numFmtId="164" fontId="81" fillId="0" borderId="0" xfId="0" applyNumberFormat="1" applyFont="1" applyFill="1" applyBorder="1" applyAlignment="1" applyProtection="1">
      <alignment horizontal="center"/>
      <protection hidden="1"/>
    </xf>
    <xf numFmtId="164" fontId="84" fillId="0" borderId="0" xfId="0" applyNumberFormat="1" applyFont="1" applyFill="1" applyBorder="1" applyAlignment="1" applyProtection="1">
      <alignment horizontal="right"/>
      <protection hidden="1"/>
    </xf>
    <xf numFmtId="164" fontId="84" fillId="0" borderId="0" xfId="0" applyNumberFormat="1" applyFont="1" applyFill="1" applyBorder="1" applyAlignment="1" applyProtection="1">
      <protection hidden="1"/>
    </xf>
    <xf numFmtId="164" fontId="84" fillId="0" borderId="0" xfId="1" applyNumberFormat="1" applyFont="1" applyFill="1" applyBorder="1" applyAlignment="1" applyProtection="1">
      <alignment horizontal="left"/>
      <protection hidden="1"/>
    </xf>
    <xf numFmtId="164" fontId="81" fillId="0" borderId="0" xfId="0" applyNumberFormat="1" applyFont="1" applyFill="1" applyBorder="1" applyAlignment="1" applyProtection="1">
      <alignment horizontal="left"/>
      <protection hidden="1"/>
    </xf>
    <xf numFmtId="164" fontId="0" fillId="0" borderId="0" xfId="0" applyNumberFormat="1" applyFill="1" applyBorder="1" applyProtection="1">
      <protection hidden="1"/>
    </xf>
    <xf numFmtId="0" fontId="5" fillId="0" borderId="0" xfId="0" applyFont="1" applyFill="1" applyBorder="1" applyProtection="1">
      <protection hidden="1"/>
    </xf>
    <xf numFmtId="0" fontId="37" fillId="0" borderId="0" xfId="0" applyFont="1" applyFill="1" applyBorder="1" applyProtection="1">
      <protection hidden="1"/>
    </xf>
    <xf numFmtId="164" fontId="27" fillId="0" borderId="0" xfId="0" applyNumberFormat="1" applyFont="1" applyFill="1" applyBorder="1" applyAlignment="1" applyProtection="1">
      <protection hidden="1"/>
    </xf>
    <xf numFmtId="169" fontId="90" fillId="0" borderId="31" xfId="0" applyNumberFormat="1" applyFont="1" applyFill="1" applyBorder="1" applyAlignment="1" applyProtection="1">
      <alignment horizontal="center"/>
      <protection hidden="1"/>
    </xf>
    <xf numFmtId="169" fontId="46" fillId="0" borderId="31" xfId="0" applyNumberFormat="1" applyFont="1" applyBorder="1" applyAlignment="1" applyProtection="1">
      <alignment horizontal="center"/>
      <protection hidden="1"/>
    </xf>
    <xf numFmtId="169" fontId="90" fillId="0" borderId="31" xfId="0" applyNumberFormat="1" applyFont="1" applyBorder="1" applyAlignment="1" applyProtection="1">
      <alignment horizontal="center"/>
      <protection hidden="1"/>
    </xf>
    <xf numFmtId="164" fontId="90" fillId="0" borderId="32" xfId="0" applyNumberFormat="1" applyFont="1" applyBorder="1" applyProtection="1">
      <protection hidden="1"/>
    </xf>
    <xf numFmtId="175" fontId="46" fillId="0" borderId="0" xfId="0" applyNumberFormat="1" applyFont="1" applyFill="1" applyBorder="1" applyAlignment="1" applyProtection="1">
      <alignment horizontal="center"/>
      <protection hidden="1"/>
    </xf>
    <xf numFmtId="175" fontId="46" fillId="0" borderId="49" xfId="0" applyNumberFormat="1" applyFont="1" applyFill="1" applyBorder="1" applyAlignment="1" applyProtection="1">
      <alignment horizontal="left"/>
      <protection hidden="1"/>
    </xf>
    <xf numFmtId="175" fontId="46" fillId="0" borderId="49" xfId="0" applyNumberFormat="1" applyFont="1" applyFill="1" applyBorder="1" applyAlignment="1" applyProtection="1">
      <alignment horizontal="center"/>
      <protection hidden="1"/>
    </xf>
    <xf numFmtId="0" fontId="69" fillId="0" borderId="9" xfId="0" applyFont="1" applyBorder="1" applyProtection="1">
      <protection hidden="1"/>
    </xf>
    <xf numFmtId="169" fontId="90" fillId="0" borderId="10" xfId="0" applyNumberFormat="1" applyFont="1" applyBorder="1" applyAlignment="1" applyProtection="1">
      <alignment horizontal="center"/>
      <protection hidden="1"/>
    </xf>
    <xf numFmtId="169" fontId="69" fillId="0" borderId="10" xfId="0" applyNumberFormat="1" applyFont="1" applyBorder="1" applyAlignment="1" applyProtection="1">
      <alignment horizontal="center"/>
      <protection hidden="1"/>
    </xf>
    <xf numFmtId="164" fontId="68" fillId="0" borderId="10" xfId="0" applyNumberFormat="1" applyFont="1" applyBorder="1" applyProtection="1">
      <protection hidden="1"/>
    </xf>
    <xf numFmtId="0" fontId="68" fillId="0" borderId="10" xfId="0" applyFont="1" applyBorder="1" applyProtection="1">
      <protection hidden="1"/>
    </xf>
    <xf numFmtId="0" fontId="36" fillId="0" borderId="10" xfId="0" applyFont="1" applyBorder="1" applyProtection="1">
      <protection hidden="1"/>
    </xf>
    <xf numFmtId="0" fontId="118" fillId="0" borderId="10" xfId="0" applyFont="1" applyBorder="1" applyProtection="1">
      <protection hidden="1"/>
    </xf>
    <xf numFmtId="0" fontId="31" fillId="0" borderId="10" xfId="0" applyFont="1" applyBorder="1" applyProtection="1">
      <protection hidden="1"/>
    </xf>
    <xf numFmtId="164" fontId="74" fillId="0" borderId="10" xfId="0" applyNumberFormat="1" applyFont="1" applyBorder="1" applyProtection="1">
      <protection hidden="1"/>
    </xf>
    <xf numFmtId="0" fontId="31" fillId="0" borderId="11" xfId="0" applyFont="1" applyBorder="1" applyProtection="1">
      <protection hidden="1"/>
    </xf>
    <xf numFmtId="164" fontId="90" fillId="0" borderId="31" xfId="0" applyNumberFormat="1" applyFont="1" applyBorder="1" applyProtection="1">
      <protection hidden="1"/>
    </xf>
    <xf numFmtId="164" fontId="20" fillId="0" borderId="101" xfId="0" applyNumberFormat="1" applyFont="1" applyBorder="1" applyProtection="1">
      <protection hidden="1"/>
    </xf>
    <xf numFmtId="0" fontId="31" fillId="0" borderId="14" xfId="0" applyFont="1" applyBorder="1" applyProtection="1">
      <protection hidden="1"/>
    </xf>
    <xf numFmtId="0" fontId="36" fillId="0" borderId="4" xfId="0" applyFont="1" applyBorder="1" applyProtection="1">
      <protection hidden="1"/>
    </xf>
    <xf numFmtId="0" fontId="36" fillId="0" borderId="15" xfId="0" applyFont="1" applyBorder="1" applyProtection="1">
      <protection hidden="1"/>
    </xf>
    <xf numFmtId="164" fontId="53" fillId="0" borderId="0" xfId="0" applyNumberFormat="1" applyFont="1" applyFill="1" applyBorder="1" applyAlignment="1">
      <alignment horizontal="left"/>
    </xf>
    <xf numFmtId="164" fontId="62" fillId="5" borderId="0" xfId="0" applyNumberFormat="1" applyFont="1" applyFill="1" applyBorder="1" applyAlignment="1" applyProtection="1">
      <alignment horizontal="left"/>
      <protection hidden="1"/>
    </xf>
    <xf numFmtId="164" fontId="90" fillId="7" borderId="10" xfId="0" applyNumberFormat="1" applyFont="1" applyFill="1" applyBorder="1" applyAlignment="1" applyProtection="1">
      <alignment horizontal="center"/>
      <protection hidden="1"/>
    </xf>
    <xf numFmtId="0" fontId="90" fillId="7" borderId="10" xfId="0" applyFont="1" applyFill="1" applyBorder="1" applyAlignment="1" applyProtection="1">
      <alignment horizontal="center"/>
      <protection hidden="1"/>
    </xf>
    <xf numFmtId="0" fontId="90" fillId="7" borderId="10" xfId="0" applyFont="1" applyFill="1" applyBorder="1" applyProtection="1">
      <protection hidden="1"/>
    </xf>
    <xf numFmtId="0" fontId="63" fillId="7" borderId="7" xfId="0" applyFont="1" applyFill="1" applyBorder="1" applyProtection="1">
      <protection hidden="1"/>
    </xf>
    <xf numFmtId="0" fontId="59" fillId="7" borderId="0" xfId="0" applyFont="1" applyFill="1" applyBorder="1" applyAlignment="1" applyProtection="1">
      <alignment horizontal="center"/>
      <protection hidden="1"/>
    </xf>
    <xf numFmtId="0" fontId="59" fillId="7" borderId="0" xfId="0" applyFont="1" applyFill="1" applyBorder="1" applyProtection="1">
      <protection hidden="1"/>
    </xf>
    <xf numFmtId="0" fontId="63" fillId="7" borderId="0" xfId="0" applyFont="1" applyFill="1" applyBorder="1" applyProtection="1">
      <protection hidden="1"/>
    </xf>
    <xf numFmtId="0" fontId="63" fillId="7" borderId="9" xfId="0" applyFont="1" applyFill="1" applyBorder="1" applyProtection="1">
      <protection hidden="1"/>
    </xf>
    <xf numFmtId="0" fontId="59" fillId="7" borderId="10" xfId="0" applyFont="1" applyFill="1" applyBorder="1" applyAlignment="1" applyProtection="1">
      <alignment horizontal="center"/>
      <protection hidden="1"/>
    </xf>
    <xf numFmtId="0" fontId="59" fillId="7" borderId="10" xfId="0" applyFont="1" applyFill="1" applyBorder="1" applyProtection="1">
      <protection hidden="1"/>
    </xf>
    <xf numFmtId="164" fontId="59" fillId="7" borderId="10" xfId="0" applyNumberFormat="1" applyFont="1" applyFill="1" applyBorder="1" applyProtection="1">
      <protection hidden="1"/>
    </xf>
    <xf numFmtId="0" fontId="36" fillId="8" borderId="69" xfId="0" applyFont="1" applyFill="1" applyBorder="1" applyProtection="1">
      <protection hidden="1"/>
    </xf>
    <xf numFmtId="164" fontId="0" fillId="8" borderId="46" xfId="0" applyNumberFormat="1" applyFill="1" applyBorder="1" applyProtection="1">
      <protection hidden="1"/>
    </xf>
    <xf numFmtId="164" fontId="3" fillId="8" borderId="65" xfId="0" applyNumberFormat="1" applyFont="1" applyFill="1" applyBorder="1" applyProtection="1">
      <protection hidden="1"/>
    </xf>
    <xf numFmtId="164" fontId="3" fillId="8" borderId="46" xfId="0" applyNumberFormat="1" applyFont="1" applyFill="1" applyBorder="1" applyProtection="1">
      <protection hidden="1"/>
    </xf>
    <xf numFmtId="164" fontId="3" fillId="8" borderId="64" xfId="0" applyNumberFormat="1" applyFont="1" applyFill="1" applyBorder="1" applyProtection="1">
      <protection hidden="1"/>
    </xf>
    <xf numFmtId="2" fontId="44" fillId="0" borderId="0" xfId="0" applyNumberFormat="1" applyFont="1" applyBorder="1" applyProtection="1">
      <protection hidden="1"/>
    </xf>
    <xf numFmtId="0" fontId="44" fillId="0" borderId="0" xfId="0" applyFont="1" applyProtection="1">
      <protection hidden="1"/>
    </xf>
    <xf numFmtId="164" fontId="44" fillId="0" borderId="0" xfId="0" applyNumberFormat="1" applyFont="1" applyProtection="1">
      <protection hidden="1"/>
    </xf>
    <xf numFmtId="164" fontId="44" fillId="0" borderId="0" xfId="0" applyNumberFormat="1" applyFont="1" applyAlignment="1" applyProtection="1">
      <alignment horizontal="center"/>
      <protection hidden="1"/>
    </xf>
    <xf numFmtId="164" fontId="44" fillId="12" borderId="46" xfId="0" applyNumberFormat="1" applyFont="1" applyFill="1" applyBorder="1" applyProtection="1">
      <protection hidden="1"/>
    </xf>
    <xf numFmtId="164" fontId="3" fillId="12" borderId="22" xfId="0" applyNumberFormat="1" applyFont="1" applyFill="1" applyBorder="1" applyProtection="1">
      <protection hidden="1"/>
    </xf>
    <xf numFmtId="164" fontId="3" fillId="12" borderId="46" xfId="0" applyNumberFormat="1" applyFont="1" applyFill="1" applyBorder="1" applyProtection="1">
      <protection hidden="1"/>
    </xf>
    <xf numFmtId="164" fontId="3" fillId="12" borderId="65" xfId="0" applyNumberFormat="1" applyFont="1" applyFill="1" applyBorder="1" applyProtection="1">
      <protection hidden="1"/>
    </xf>
    <xf numFmtId="164" fontId="3" fillId="12" borderId="64" xfId="0" applyNumberFormat="1" applyFont="1" applyFill="1" applyBorder="1" applyProtection="1">
      <protection hidden="1"/>
    </xf>
    <xf numFmtId="0" fontId="36" fillId="12" borderId="69" xfId="0" applyFont="1" applyFill="1" applyBorder="1" applyProtection="1">
      <protection hidden="1"/>
    </xf>
    <xf numFmtId="164" fontId="0" fillId="12" borderId="46" xfId="0" applyNumberFormat="1" applyFill="1" applyBorder="1" applyProtection="1">
      <protection hidden="1"/>
    </xf>
    <xf numFmtId="0" fontId="36" fillId="10" borderId="69" xfId="0" applyFont="1" applyFill="1" applyBorder="1" applyProtection="1">
      <protection hidden="1"/>
    </xf>
    <xf numFmtId="164" fontId="0" fillId="10" borderId="46" xfId="0" applyNumberFormat="1" applyFill="1" applyBorder="1" applyProtection="1">
      <protection hidden="1"/>
    </xf>
    <xf numFmtId="164" fontId="3" fillId="10" borderId="22" xfId="0" applyNumberFormat="1" applyFont="1" applyFill="1" applyBorder="1" applyProtection="1">
      <protection hidden="1"/>
    </xf>
    <xf numFmtId="164" fontId="3" fillId="10" borderId="46" xfId="0" applyNumberFormat="1" applyFont="1" applyFill="1" applyBorder="1" applyProtection="1">
      <protection hidden="1"/>
    </xf>
    <xf numFmtId="164" fontId="3" fillId="10" borderId="65" xfId="0" applyNumberFormat="1" applyFont="1" applyFill="1" applyBorder="1" applyProtection="1">
      <protection hidden="1"/>
    </xf>
    <xf numFmtId="164" fontId="3" fillId="10" borderId="64" xfId="0" applyNumberFormat="1" applyFont="1" applyFill="1" applyBorder="1" applyProtection="1">
      <protection hidden="1"/>
    </xf>
    <xf numFmtId="0" fontId="36" fillId="7" borderId="69" xfId="0" applyFont="1" applyFill="1" applyBorder="1" applyProtection="1">
      <protection hidden="1"/>
    </xf>
    <xf numFmtId="164" fontId="0" fillId="7" borderId="46" xfId="0" applyNumberFormat="1" applyFill="1" applyBorder="1" applyProtection="1">
      <protection hidden="1"/>
    </xf>
    <xf numFmtId="164" fontId="3" fillId="7" borderId="22" xfId="0" applyNumberFormat="1" applyFont="1" applyFill="1" applyBorder="1" applyProtection="1">
      <protection hidden="1"/>
    </xf>
    <xf numFmtId="164" fontId="3" fillId="7" borderId="65" xfId="0" applyNumberFormat="1" applyFont="1" applyFill="1" applyBorder="1" applyProtection="1">
      <protection hidden="1"/>
    </xf>
    <xf numFmtId="164" fontId="3" fillId="7" borderId="46" xfId="0" applyNumberFormat="1" applyFont="1" applyFill="1" applyBorder="1" applyProtection="1">
      <protection hidden="1"/>
    </xf>
    <xf numFmtId="164" fontId="3" fillId="7" borderId="64" xfId="0" applyNumberFormat="1" applyFont="1" applyFill="1" applyBorder="1" applyProtection="1">
      <protection hidden="1"/>
    </xf>
    <xf numFmtId="0" fontId="36" fillId="9" borderId="69" xfId="0" applyFont="1" applyFill="1" applyBorder="1" applyProtection="1">
      <protection hidden="1"/>
    </xf>
    <xf numFmtId="164" fontId="0" fillId="9" borderId="46" xfId="0" applyNumberFormat="1" applyFill="1" applyBorder="1" applyProtection="1">
      <protection hidden="1"/>
    </xf>
    <xf numFmtId="164" fontId="3" fillId="9" borderId="22" xfId="0" applyNumberFormat="1" applyFont="1" applyFill="1" applyBorder="1" applyProtection="1">
      <protection hidden="1"/>
    </xf>
    <xf numFmtId="164" fontId="3" fillId="9" borderId="65" xfId="0" applyNumberFormat="1" applyFont="1" applyFill="1" applyBorder="1" applyProtection="1">
      <protection hidden="1"/>
    </xf>
    <xf numFmtId="164" fontId="3" fillId="9" borderId="46" xfId="0" applyNumberFormat="1" applyFont="1" applyFill="1" applyBorder="1" applyProtection="1">
      <protection hidden="1"/>
    </xf>
    <xf numFmtId="164" fontId="3" fillId="9" borderId="64" xfId="0" applyNumberFormat="1" applyFont="1" applyFill="1" applyBorder="1" applyProtection="1">
      <protection hidden="1"/>
    </xf>
    <xf numFmtId="0" fontId="36" fillId="9" borderId="102" xfId="0" applyFont="1" applyFill="1" applyBorder="1" applyProtection="1">
      <protection hidden="1"/>
    </xf>
    <xf numFmtId="164" fontId="3" fillId="9" borderId="37" xfId="0" applyNumberFormat="1" applyFont="1" applyFill="1" applyBorder="1" applyProtection="1">
      <protection hidden="1"/>
    </xf>
    <xf numFmtId="164" fontId="3" fillId="9" borderId="38" xfId="0" applyNumberFormat="1" applyFont="1" applyFill="1" applyBorder="1" applyProtection="1">
      <protection hidden="1"/>
    </xf>
    <xf numFmtId="164" fontId="3" fillId="9" borderId="39" xfId="0" applyNumberFormat="1" applyFont="1" applyFill="1" applyBorder="1" applyProtection="1">
      <protection hidden="1"/>
    </xf>
    <xf numFmtId="164" fontId="3" fillId="9" borderId="21" xfId="0" applyNumberFormat="1" applyFont="1" applyFill="1" applyBorder="1" applyProtection="1">
      <protection hidden="1"/>
    </xf>
    <xf numFmtId="164" fontId="3" fillId="9" borderId="58" xfId="0" applyNumberFormat="1" applyFont="1" applyFill="1" applyBorder="1" applyProtection="1">
      <protection hidden="1"/>
    </xf>
    <xf numFmtId="164" fontId="3" fillId="9" borderId="11" xfId="0" applyNumberFormat="1" applyFont="1" applyFill="1" applyBorder="1" applyProtection="1">
      <protection hidden="1"/>
    </xf>
    <xf numFmtId="164" fontId="3" fillId="9" borderId="36" xfId="0" applyNumberFormat="1" applyFont="1" applyFill="1" applyBorder="1" applyProtection="1">
      <protection hidden="1"/>
    </xf>
    <xf numFmtId="175" fontId="5" fillId="0" borderId="0" xfId="0" applyNumberFormat="1" applyFont="1" applyFill="1" applyBorder="1" applyAlignment="1" applyProtection="1">
      <alignment horizontal="center"/>
      <protection hidden="1"/>
    </xf>
    <xf numFmtId="164" fontId="18" fillId="0" borderId="0" xfId="0" applyNumberFormat="1" applyFont="1" applyProtection="1">
      <protection hidden="1"/>
    </xf>
    <xf numFmtId="0" fontId="15" fillId="7" borderId="0" xfId="0" applyFont="1" applyFill="1" applyBorder="1" applyAlignment="1" applyProtection="1">
      <alignment horizontal="left"/>
      <protection hidden="1"/>
    </xf>
    <xf numFmtId="164" fontId="53" fillId="5" borderId="34" xfId="0" applyNumberFormat="1" applyFont="1" applyFill="1" applyBorder="1" applyAlignment="1" applyProtection="1">
      <alignment horizontal="center" vertical="center" wrapText="1"/>
      <protection hidden="1"/>
    </xf>
    <xf numFmtId="169" fontId="90" fillId="0" borderId="0" xfId="0" applyNumberFormat="1" applyFont="1" applyFill="1" applyBorder="1" applyAlignment="1" applyProtection="1">
      <alignment horizontal="center"/>
      <protection hidden="1"/>
    </xf>
    <xf numFmtId="164" fontId="79" fillId="5" borderId="0" xfId="0" applyNumberFormat="1" applyFont="1" applyFill="1" applyBorder="1" applyAlignment="1" applyProtection="1">
      <alignment horizontal="left"/>
      <protection hidden="1"/>
    </xf>
    <xf numFmtId="9" fontId="123" fillId="0" borderId="0" xfId="0" applyNumberFormat="1" applyFont="1" applyBorder="1" applyAlignment="1" applyProtection="1">
      <alignment horizontal="left"/>
      <protection hidden="1"/>
    </xf>
    <xf numFmtId="164" fontId="53" fillId="5" borderId="103" xfId="0" applyNumberFormat="1" applyFont="1" applyFill="1" applyBorder="1" applyAlignment="1" applyProtection="1">
      <alignment horizontal="center" vertical="center" wrapText="1"/>
      <protection hidden="1"/>
    </xf>
    <xf numFmtId="164" fontId="53" fillId="5" borderId="34" xfId="0" applyNumberFormat="1" applyFont="1" applyFill="1" applyBorder="1" applyAlignment="1" applyProtection="1">
      <alignment horizontal="center" vertical="center"/>
      <protection hidden="1"/>
    </xf>
    <xf numFmtId="0" fontId="75" fillId="13" borderId="0" xfId="0" applyFont="1" applyFill="1" applyBorder="1" applyAlignment="1" applyProtection="1">
      <alignment horizontal="center"/>
      <protection hidden="1"/>
    </xf>
    <xf numFmtId="0" fontId="0" fillId="13" borderId="0" xfId="0" applyFill="1" applyBorder="1" applyProtection="1">
      <protection hidden="1"/>
    </xf>
    <xf numFmtId="0" fontId="115" fillId="13" borderId="0" xfId="0" applyFont="1" applyFill="1" applyBorder="1" applyAlignment="1" applyProtection="1">
      <alignment horizontal="justify" vertical="center"/>
      <protection hidden="1"/>
    </xf>
    <xf numFmtId="0" fontId="19" fillId="13" borderId="0" xfId="0" applyFont="1" applyFill="1" applyBorder="1" applyAlignment="1" applyProtection="1">
      <alignment horizontal="center"/>
      <protection hidden="1"/>
    </xf>
    <xf numFmtId="0" fontId="3" fillId="13" borderId="0" xfId="0" applyFont="1" applyFill="1" applyBorder="1" applyAlignment="1" applyProtection="1">
      <alignment horizontal="center"/>
      <protection hidden="1"/>
    </xf>
    <xf numFmtId="0" fontId="3" fillId="13" borderId="0" xfId="0" applyFont="1" applyFill="1" applyBorder="1" applyAlignment="1" applyProtection="1">
      <protection hidden="1"/>
    </xf>
    <xf numFmtId="0" fontId="71" fillId="13" borderId="0" xfId="0" applyFont="1" applyFill="1" applyAlignment="1" applyProtection="1">
      <alignment horizontal="right" vertical="center"/>
      <protection hidden="1"/>
    </xf>
    <xf numFmtId="0" fontId="0" fillId="13" borderId="0" xfId="0" applyFill="1" applyProtection="1">
      <protection hidden="1"/>
    </xf>
    <xf numFmtId="0" fontId="0" fillId="13" borderId="0" xfId="0" applyFill="1" applyProtection="1">
      <protection locked="0"/>
    </xf>
    <xf numFmtId="0" fontId="19" fillId="13" borderId="0" xfId="0" applyFont="1" applyFill="1" applyBorder="1" applyAlignment="1" applyProtection="1">
      <protection hidden="1"/>
    </xf>
    <xf numFmtId="0" fontId="37" fillId="13" borderId="0" xfId="0" applyFont="1" applyFill="1" applyBorder="1" applyProtection="1">
      <protection hidden="1"/>
    </xf>
    <xf numFmtId="0" fontId="75" fillId="13" borderId="0" xfId="0" applyFont="1" applyFill="1" applyAlignment="1" applyProtection="1">
      <alignment horizontal="right" vertical="center"/>
      <protection hidden="1"/>
    </xf>
    <xf numFmtId="0" fontId="75" fillId="13" borderId="0" xfId="0" applyFont="1" applyFill="1" applyBorder="1" applyAlignment="1" applyProtection="1">
      <alignment horizontal="left"/>
      <protection hidden="1"/>
    </xf>
    <xf numFmtId="0" fontId="27" fillId="13" borderId="0" xfId="0" applyFont="1" applyFill="1" applyBorder="1" applyAlignment="1" applyProtection="1">
      <protection hidden="1"/>
    </xf>
    <xf numFmtId="164" fontId="75" fillId="13" borderId="0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Border="1" applyAlignment="1" applyProtection="1">
      <alignment horizontal="center"/>
      <protection hidden="1"/>
    </xf>
    <xf numFmtId="0" fontId="19" fillId="13" borderId="0" xfId="0" applyFont="1" applyFill="1" applyBorder="1" applyAlignment="1" applyProtection="1">
      <alignment horizontal="left"/>
      <protection hidden="1"/>
    </xf>
    <xf numFmtId="0" fontId="124" fillId="13" borderId="0" xfId="0" applyFont="1" applyFill="1" applyBorder="1" applyAlignment="1" applyProtection="1">
      <alignment horizontal="left"/>
      <protection hidden="1"/>
    </xf>
    <xf numFmtId="0" fontId="125" fillId="13" borderId="0" xfId="0" applyFont="1" applyFill="1" applyBorder="1" applyAlignment="1" applyProtection="1">
      <alignment horizontal="center"/>
      <protection hidden="1"/>
    </xf>
    <xf numFmtId="0" fontId="19" fillId="13" borderId="0" xfId="0" applyFont="1" applyFill="1" applyAlignment="1" applyProtection="1">
      <alignment horizontal="center"/>
      <protection hidden="1"/>
    </xf>
    <xf numFmtId="0" fontId="124" fillId="13" borderId="0" xfId="0" applyFont="1" applyFill="1" applyAlignment="1" applyProtection="1">
      <alignment horizontal="right" vertical="center"/>
      <protection hidden="1"/>
    </xf>
    <xf numFmtId="0" fontId="19" fillId="13" borderId="0" xfId="0" applyFont="1" applyFill="1" applyBorder="1" applyAlignment="1" applyProtection="1">
      <alignment horizontal="left" wrapText="1"/>
      <protection hidden="1"/>
    </xf>
    <xf numFmtId="0" fontId="0" fillId="13" borderId="0" xfId="0" applyFill="1" applyAlignment="1" applyProtection="1">
      <alignment horizontal="center"/>
      <protection hidden="1"/>
    </xf>
    <xf numFmtId="0" fontId="19" fillId="13" borderId="0" xfId="0" applyFont="1" applyFill="1" applyAlignment="1" applyProtection="1">
      <alignment horizontal="left"/>
      <protection hidden="1"/>
    </xf>
    <xf numFmtId="0" fontId="16" fillId="13" borderId="0" xfId="0" applyFont="1" applyFill="1" applyBorder="1" applyAlignment="1" applyProtection="1">
      <protection hidden="1"/>
    </xf>
    <xf numFmtId="164" fontId="124" fillId="13" borderId="0" xfId="0" applyNumberFormat="1" applyFont="1" applyFill="1" applyBorder="1" applyAlignment="1" applyProtection="1">
      <alignment horizontal="center"/>
      <protection hidden="1"/>
    </xf>
    <xf numFmtId="0" fontId="124" fillId="13" borderId="0" xfId="0" applyFont="1" applyFill="1" applyBorder="1" applyAlignment="1" applyProtection="1">
      <alignment horizontal="center"/>
      <protection hidden="1"/>
    </xf>
    <xf numFmtId="0" fontId="114" fillId="13" borderId="0" xfId="0" applyFont="1" applyFill="1" applyAlignment="1" applyProtection="1">
      <protection hidden="1"/>
    </xf>
    <xf numFmtId="0" fontId="71" fillId="13" borderId="3" xfId="0" applyFont="1" applyFill="1" applyBorder="1" applyAlignment="1" applyProtection="1">
      <protection hidden="1"/>
    </xf>
    <xf numFmtId="0" fontId="71" fillId="13" borderId="0" xfId="0" applyFont="1" applyFill="1" applyBorder="1" applyAlignment="1" applyProtection="1">
      <alignment horizontal="left"/>
      <protection hidden="1"/>
    </xf>
    <xf numFmtId="0" fontId="71" fillId="13" borderId="0" xfId="0" applyFont="1" applyFill="1" applyBorder="1" applyAlignment="1" applyProtection="1">
      <protection hidden="1"/>
    </xf>
    <xf numFmtId="0" fontId="71" fillId="13" borderId="0" xfId="0" applyFont="1" applyFill="1" applyAlignment="1" applyProtection="1">
      <protection hidden="1"/>
    </xf>
    <xf numFmtId="0" fontId="0" fillId="13" borderId="0" xfId="0" applyFill="1" applyAlignment="1" applyProtection="1">
      <protection hidden="1"/>
    </xf>
    <xf numFmtId="0" fontId="0" fillId="13" borderId="3" xfId="0" applyFill="1" applyBorder="1" applyAlignment="1" applyProtection="1">
      <protection hidden="1"/>
    </xf>
    <xf numFmtId="0" fontId="0" fillId="13" borderId="0" xfId="0" applyFill="1" applyBorder="1" applyAlignment="1" applyProtection="1">
      <protection hidden="1"/>
    </xf>
    <xf numFmtId="0" fontId="71" fillId="13" borderId="0" xfId="0" applyFont="1" applyFill="1" applyBorder="1" applyAlignment="1" applyProtection="1">
      <alignment horizontal="right" vertical="center"/>
      <protection hidden="1"/>
    </xf>
    <xf numFmtId="0" fontId="126" fillId="13" borderId="0" xfId="0" applyFont="1" applyFill="1" applyAlignment="1" applyProtection="1">
      <protection hidden="1"/>
    </xf>
    <xf numFmtId="0" fontId="19" fillId="13" borderId="0" xfId="0" applyFont="1" applyFill="1" applyBorder="1" applyProtection="1">
      <protection hidden="1"/>
    </xf>
    <xf numFmtId="0" fontId="19" fillId="13" borderId="3" xfId="0" applyFont="1" applyFill="1" applyBorder="1" applyAlignment="1" applyProtection="1">
      <protection hidden="1"/>
    </xf>
    <xf numFmtId="0" fontId="0" fillId="13" borderId="1" xfId="0" applyFill="1" applyBorder="1" applyAlignment="1" applyProtection="1">
      <protection hidden="1"/>
    </xf>
    <xf numFmtId="0" fontId="0" fillId="13" borderId="90" xfId="0" applyFill="1" applyBorder="1" applyAlignment="1" applyProtection="1">
      <protection hidden="1"/>
    </xf>
    <xf numFmtId="0" fontId="0" fillId="13" borderId="89" xfId="0" applyFill="1" applyBorder="1" applyAlignment="1" applyProtection="1">
      <protection hidden="1"/>
    </xf>
    <xf numFmtId="0" fontId="19" fillId="13" borderId="72" xfId="0" applyFont="1" applyFill="1" applyBorder="1" applyAlignment="1" applyProtection="1">
      <alignment horizontal="center"/>
      <protection hidden="1"/>
    </xf>
    <xf numFmtId="0" fontId="19" fillId="13" borderId="73" xfId="0" applyFont="1" applyFill="1" applyBorder="1" applyAlignment="1" applyProtection="1">
      <alignment horizontal="center"/>
      <protection hidden="1"/>
    </xf>
    <xf numFmtId="0" fontId="0" fillId="13" borderId="25" xfId="0" applyFill="1" applyBorder="1" applyAlignment="1" applyProtection="1">
      <protection hidden="1"/>
    </xf>
    <xf numFmtId="0" fontId="19" fillId="13" borderId="25" xfId="0" applyFont="1" applyFill="1" applyBorder="1" applyAlignment="1" applyProtection="1">
      <alignment horizontal="left"/>
      <protection hidden="1"/>
    </xf>
    <xf numFmtId="0" fontId="19" fillId="13" borderId="104" xfId="0" applyFont="1" applyFill="1" applyBorder="1" applyAlignment="1" applyProtection="1">
      <alignment horizontal="left"/>
      <protection hidden="1"/>
    </xf>
    <xf numFmtId="0" fontId="103" fillId="13" borderId="0" xfId="0" applyFont="1" applyFill="1" applyBorder="1" applyAlignment="1" applyProtection="1">
      <alignment horizontal="justify" vertical="center"/>
      <protection hidden="1"/>
    </xf>
    <xf numFmtId="0" fontId="103" fillId="13" borderId="0" xfId="0" applyFont="1" applyFill="1" applyProtection="1">
      <protection hidden="1"/>
    </xf>
    <xf numFmtId="0" fontId="102" fillId="13" borderId="0" xfId="0" applyFont="1" applyFill="1" applyProtection="1">
      <protection hidden="1"/>
    </xf>
    <xf numFmtId="0" fontId="23" fillId="13" borderId="3" xfId="0" applyFont="1" applyFill="1" applyBorder="1" applyAlignment="1" applyProtection="1">
      <protection hidden="1"/>
    </xf>
    <xf numFmtId="14" fontId="124" fillId="13" borderId="0" xfId="0" applyNumberFormat="1" applyFont="1" applyFill="1" applyBorder="1" applyProtection="1">
      <protection hidden="1"/>
    </xf>
    <xf numFmtId="164" fontId="125" fillId="13" borderId="0" xfId="0" applyNumberFormat="1" applyFont="1" applyFill="1" applyProtection="1">
      <protection hidden="1"/>
    </xf>
    <xf numFmtId="0" fontId="125" fillId="13" borderId="0" xfId="0" applyFont="1" applyFill="1" applyProtection="1">
      <protection hidden="1"/>
    </xf>
    <xf numFmtId="0" fontId="112" fillId="13" borderId="0" xfId="0" applyFont="1" applyFill="1" applyProtection="1">
      <protection hidden="1"/>
    </xf>
    <xf numFmtId="0" fontId="116" fillId="13" borderId="0" xfId="0" applyFont="1" applyFill="1" applyProtection="1">
      <protection hidden="1"/>
    </xf>
    <xf numFmtId="14" fontId="127" fillId="13" borderId="0" xfId="0" applyNumberFormat="1" applyFont="1" applyFill="1" applyBorder="1" applyProtection="1">
      <protection hidden="1"/>
    </xf>
    <xf numFmtId="0" fontId="126" fillId="13" borderId="0" xfId="0" applyFont="1" applyFill="1" applyProtection="1">
      <protection hidden="1"/>
    </xf>
    <xf numFmtId="0" fontId="124" fillId="13" borderId="3" xfId="0" applyFont="1" applyFill="1" applyBorder="1" applyAlignment="1" applyProtection="1">
      <protection hidden="1"/>
    </xf>
    <xf numFmtId="0" fontId="128" fillId="13" borderId="0" xfId="0" applyFont="1" applyFill="1" applyBorder="1" applyAlignment="1" applyProtection="1">
      <protection hidden="1"/>
    </xf>
    <xf numFmtId="0" fontId="0" fillId="13" borderId="70" xfId="0" applyFill="1" applyBorder="1" applyAlignment="1" applyProtection="1">
      <protection hidden="1"/>
    </xf>
    <xf numFmtId="0" fontId="0" fillId="13" borderId="4" xfId="0" applyFill="1" applyBorder="1" applyAlignment="1" applyProtection="1">
      <protection hidden="1"/>
    </xf>
    <xf numFmtId="0" fontId="0" fillId="13" borderId="73" xfId="0" applyFill="1" applyBorder="1" applyAlignment="1" applyProtection="1">
      <protection hidden="1"/>
    </xf>
    <xf numFmtId="0" fontId="0" fillId="13" borderId="72" xfId="0" applyFill="1" applyBorder="1" applyAlignment="1" applyProtection="1">
      <protection hidden="1"/>
    </xf>
    <xf numFmtId="0" fontId="99" fillId="13" borderId="0" xfId="0" applyFont="1" applyFill="1" applyBorder="1" applyAlignment="1" applyProtection="1">
      <alignment horizontal="center"/>
      <protection hidden="1"/>
    </xf>
    <xf numFmtId="171" fontId="0" fillId="13" borderId="0" xfId="0" applyNumberFormat="1" applyFill="1" applyBorder="1" applyAlignment="1" applyProtection="1">
      <alignment horizontal="center"/>
      <protection hidden="1"/>
    </xf>
    <xf numFmtId="0" fontId="126" fillId="13" borderId="10" xfId="0" applyFont="1" applyFill="1" applyBorder="1" applyAlignment="1" applyProtection="1">
      <protection hidden="1"/>
    </xf>
    <xf numFmtId="0" fontId="129" fillId="13" borderId="10" xfId="0" applyFont="1" applyFill="1" applyBorder="1" applyAlignment="1" applyProtection="1">
      <protection hidden="1"/>
    </xf>
    <xf numFmtId="171" fontId="126" fillId="13" borderId="73" xfId="0" applyNumberFormat="1" applyFont="1" applyFill="1" applyBorder="1" applyAlignment="1" applyProtection="1">
      <alignment horizontal="center"/>
      <protection hidden="1"/>
    </xf>
    <xf numFmtId="0" fontId="130" fillId="13" borderId="0" xfId="0" applyFont="1" applyFill="1" applyProtection="1">
      <protection hidden="1"/>
    </xf>
    <xf numFmtId="0" fontId="131" fillId="13" borderId="3" xfId="0" applyFont="1" applyFill="1" applyBorder="1" applyAlignment="1" applyProtection="1">
      <protection hidden="1"/>
    </xf>
    <xf numFmtId="0" fontId="96" fillId="13" borderId="0" xfId="0" applyFont="1" applyFill="1" applyProtection="1">
      <protection hidden="1"/>
    </xf>
    <xf numFmtId="0" fontId="61" fillId="13" borderId="0" xfId="0" applyFont="1" applyFill="1" applyAlignment="1" applyProtection="1">
      <alignment horizontal="right" vertical="center"/>
      <protection hidden="1"/>
    </xf>
    <xf numFmtId="0" fontId="50" fillId="13" borderId="0" xfId="0" applyFont="1" applyFill="1" applyProtection="1">
      <protection hidden="1"/>
    </xf>
    <xf numFmtId="0" fontId="87" fillId="13" borderId="0" xfId="0" applyFont="1" applyFill="1" applyBorder="1" applyAlignment="1" applyProtection="1">
      <alignment horizontal="center"/>
      <protection hidden="1"/>
    </xf>
    <xf numFmtId="0" fontId="61" fillId="13" borderId="0" xfId="0" applyFont="1" applyFill="1" applyBorder="1" applyAlignment="1" applyProtection="1">
      <alignment horizontal="center"/>
      <protection hidden="1"/>
    </xf>
    <xf numFmtId="0" fontId="61" fillId="13" borderId="0" xfId="0" applyFont="1" applyFill="1" applyBorder="1" applyAlignment="1" applyProtection="1">
      <alignment horizontal="left"/>
      <protection hidden="1"/>
    </xf>
    <xf numFmtId="0" fontId="50" fillId="13" borderId="0" xfId="0" applyFont="1" applyFill="1" applyBorder="1" applyAlignment="1" applyProtection="1">
      <protection hidden="1"/>
    </xf>
    <xf numFmtId="0" fontId="61" fillId="13" borderId="0" xfId="0" applyFont="1" applyFill="1" applyBorder="1" applyAlignment="1" applyProtection="1">
      <alignment horizontal="right" vertical="center"/>
      <protection hidden="1"/>
    </xf>
    <xf numFmtId="0" fontId="61" fillId="13" borderId="0" xfId="0" applyFont="1" applyFill="1" applyBorder="1" applyAlignment="1" applyProtection="1">
      <alignment vertical="center"/>
      <protection hidden="1"/>
    </xf>
    <xf numFmtId="0" fontId="61" fillId="13" borderId="0" xfId="0" applyFont="1" applyFill="1" applyBorder="1" applyAlignment="1" applyProtection="1">
      <alignment horizontal="center" vertical="center"/>
      <protection hidden="1"/>
    </xf>
    <xf numFmtId="0" fontId="50" fillId="13" borderId="72" xfId="0" applyFont="1" applyFill="1" applyBorder="1" applyProtection="1">
      <protection hidden="1"/>
    </xf>
    <xf numFmtId="0" fontId="50" fillId="13" borderId="0" xfId="0" applyFont="1" applyFill="1" applyBorder="1" applyProtection="1">
      <protection hidden="1"/>
    </xf>
    <xf numFmtId="0" fontId="50" fillId="13" borderId="73" xfId="0" applyFont="1" applyFill="1" applyBorder="1" applyProtection="1">
      <protection hidden="1"/>
    </xf>
    <xf numFmtId="0" fontId="53" fillId="13" borderId="0" xfId="0" applyFont="1" applyFill="1" applyBorder="1" applyAlignment="1" applyProtection="1">
      <alignment horizontal="center"/>
      <protection hidden="1"/>
    </xf>
    <xf numFmtId="0" fontId="53" fillId="13" borderId="0" xfId="0" applyFont="1" applyFill="1" applyBorder="1" applyAlignment="1" applyProtection="1">
      <protection hidden="1"/>
    </xf>
    <xf numFmtId="164" fontId="50" fillId="13" borderId="0" xfId="0" applyNumberFormat="1" applyFont="1" applyFill="1" applyBorder="1" applyProtection="1">
      <protection hidden="1"/>
    </xf>
    <xf numFmtId="0" fontId="50" fillId="13" borderId="74" xfId="0" applyFont="1" applyFill="1" applyBorder="1" applyAlignment="1" applyProtection="1">
      <protection hidden="1"/>
    </xf>
    <xf numFmtId="0" fontId="50" fillId="13" borderId="80" xfId="0" applyFont="1" applyFill="1" applyBorder="1" applyAlignment="1" applyProtection="1">
      <protection hidden="1"/>
    </xf>
    <xf numFmtId="0" fontId="50" fillId="13" borderId="4" xfId="0" applyFont="1" applyFill="1" applyBorder="1" applyAlignment="1" applyProtection="1">
      <protection hidden="1"/>
    </xf>
    <xf numFmtId="0" fontId="50" fillId="13" borderId="74" xfId="0" applyFont="1" applyFill="1" applyBorder="1" applyProtection="1">
      <protection hidden="1"/>
    </xf>
    <xf numFmtId="0" fontId="50" fillId="13" borderId="75" xfId="0" applyFont="1" applyFill="1" applyBorder="1" applyProtection="1">
      <protection hidden="1"/>
    </xf>
    <xf numFmtId="169" fontId="50" fillId="13" borderId="0" xfId="0" applyNumberFormat="1" applyFont="1" applyFill="1" applyBorder="1" applyAlignment="1" applyProtection="1">
      <alignment horizontal="center"/>
      <protection hidden="1"/>
    </xf>
    <xf numFmtId="169" fontId="50" fillId="13" borderId="0" xfId="0" applyNumberFormat="1" applyFont="1" applyFill="1" applyBorder="1" applyAlignment="1" applyProtection="1">
      <protection hidden="1"/>
    </xf>
    <xf numFmtId="164" fontId="50" fillId="13" borderId="0" xfId="0" applyNumberFormat="1" applyFont="1" applyFill="1" applyBorder="1" applyAlignment="1" applyProtection="1">
      <protection hidden="1"/>
    </xf>
    <xf numFmtId="9" fontId="50" fillId="13" borderId="0" xfId="0" applyNumberFormat="1" applyFont="1" applyFill="1" applyBorder="1" applyAlignment="1" applyProtection="1">
      <protection hidden="1"/>
    </xf>
    <xf numFmtId="0" fontId="77" fillId="13" borderId="0" xfId="0" applyFont="1" applyFill="1" applyBorder="1" applyAlignment="1" applyProtection="1">
      <protection hidden="1"/>
    </xf>
    <xf numFmtId="0" fontId="61" fillId="13" borderId="0" xfId="0" applyFont="1" applyFill="1" applyBorder="1" applyAlignment="1" applyProtection="1">
      <protection hidden="1"/>
    </xf>
    <xf numFmtId="169" fontId="79" fillId="13" borderId="0" xfId="0" applyNumberFormat="1" applyFont="1" applyFill="1" applyBorder="1" applyAlignment="1" applyProtection="1">
      <alignment horizontal="center"/>
      <protection hidden="1"/>
    </xf>
    <xf numFmtId="169" fontId="79" fillId="13" borderId="0" xfId="0" applyNumberFormat="1" applyFont="1" applyFill="1" applyBorder="1" applyAlignment="1" applyProtection="1">
      <protection hidden="1"/>
    </xf>
    <xf numFmtId="0" fontId="50" fillId="13" borderId="0" xfId="0" applyFont="1" applyFill="1" applyBorder="1" applyAlignment="1" applyProtection="1">
      <alignment horizontal="center"/>
      <protection hidden="1"/>
    </xf>
    <xf numFmtId="0" fontId="80" fillId="13" borderId="0" xfId="0" applyFont="1" applyFill="1" applyBorder="1" applyAlignment="1" applyProtection="1">
      <alignment horizontal="center"/>
      <protection hidden="1"/>
    </xf>
    <xf numFmtId="171" fontId="50" fillId="13" borderId="0" xfId="0" applyNumberFormat="1" applyFont="1" applyFill="1" applyBorder="1" applyAlignment="1" applyProtection="1">
      <protection hidden="1"/>
    </xf>
    <xf numFmtId="164" fontId="58" fillId="13" borderId="0" xfId="0" applyNumberFormat="1" applyFont="1" applyFill="1" applyBorder="1" applyAlignment="1" applyProtection="1">
      <protection hidden="1"/>
    </xf>
    <xf numFmtId="0" fontId="62" fillId="13" borderId="0" xfId="0" applyFont="1" applyFill="1" applyBorder="1" applyAlignment="1" applyProtection="1">
      <protection hidden="1"/>
    </xf>
    <xf numFmtId="0" fontId="50" fillId="13" borderId="0" xfId="0" applyFont="1" applyFill="1" applyBorder="1" applyAlignment="1" applyProtection="1">
      <alignment horizontal="left"/>
      <protection hidden="1"/>
    </xf>
    <xf numFmtId="9" fontId="53" fillId="13" borderId="0" xfId="0" applyNumberFormat="1" applyFont="1" applyFill="1" applyBorder="1" applyAlignment="1" applyProtection="1">
      <alignment horizontal="left"/>
      <protection hidden="1"/>
    </xf>
    <xf numFmtId="164" fontId="53" fillId="13" borderId="0" xfId="0" applyNumberFormat="1" applyFont="1" applyFill="1" applyBorder="1" applyAlignment="1" applyProtection="1">
      <alignment horizontal="left"/>
      <protection hidden="1"/>
    </xf>
    <xf numFmtId="9" fontId="50" fillId="13" borderId="0" xfId="0" applyNumberFormat="1" applyFont="1" applyFill="1" applyBorder="1" applyAlignment="1" applyProtection="1">
      <alignment horizontal="left"/>
      <protection hidden="1"/>
    </xf>
    <xf numFmtId="164" fontId="61" fillId="13" borderId="0" xfId="0" applyNumberFormat="1" applyFont="1" applyFill="1" applyAlignment="1" applyProtection="1">
      <alignment horizontal="right" vertical="center"/>
      <protection hidden="1"/>
    </xf>
    <xf numFmtId="164" fontId="50" fillId="13" borderId="0" xfId="0" applyNumberFormat="1" applyFont="1" applyFill="1" applyProtection="1">
      <protection hidden="1"/>
    </xf>
    <xf numFmtId="164" fontId="87" fillId="13" borderId="0" xfId="0" applyNumberFormat="1" applyFont="1" applyFill="1" applyBorder="1" applyAlignment="1" applyProtection="1">
      <alignment horizontal="center"/>
      <protection hidden="1"/>
    </xf>
    <xf numFmtId="164" fontId="61" fillId="13" borderId="0" xfId="0" applyNumberFormat="1" applyFont="1" applyFill="1" applyBorder="1" applyAlignment="1" applyProtection="1">
      <alignment horizontal="left"/>
      <protection hidden="1"/>
    </xf>
    <xf numFmtId="164" fontId="61" fillId="13" borderId="0" xfId="0" applyNumberFormat="1" applyFont="1" applyFill="1" applyBorder="1" applyAlignment="1" applyProtection="1">
      <alignment horizontal="justify" vertical="center"/>
      <protection hidden="1"/>
    </xf>
    <xf numFmtId="164" fontId="50" fillId="13" borderId="72" xfId="0" applyNumberFormat="1" applyFont="1" applyFill="1" applyBorder="1" applyProtection="1">
      <protection hidden="1"/>
    </xf>
    <xf numFmtId="164" fontId="50" fillId="13" borderId="73" xfId="0" applyNumberFormat="1" applyFont="1" applyFill="1" applyBorder="1" applyProtection="1">
      <protection hidden="1"/>
    </xf>
    <xf numFmtId="164" fontId="50" fillId="13" borderId="0" xfId="0" applyNumberFormat="1" applyFont="1" applyFill="1" applyAlignment="1" applyProtection="1">
      <protection hidden="1"/>
    </xf>
    <xf numFmtId="14" fontId="132" fillId="5" borderId="105" xfId="0" applyNumberFormat="1" applyFont="1" applyFill="1" applyBorder="1" applyAlignment="1" applyProtection="1">
      <alignment horizontal="center" vertical="center" wrapText="1"/>
      <protection hidden="1"/>
    </xf>
    <xf numFmtId="14" fontId="132" fillId="5" borderId="79" xfId="0" applyNumberFormat="1" applyFont="1" applyFill="1" applyBorder="1" applyAlignment="1" applyProtection="1">
      <alignment horizontal="center" vertical="center" wrapText="1"/>
      <protection hidden="1"/>
    </xf>
    <xf numFmtId="14" fontId="132" fillId="5" borderId="76" xfId="0" applyNumberFormat="1" applyFont="1" applyFill="1" applyBorder="1" applyAlignment="1" applyProtection="1">
      <alignment horizontal="center" vertical="center" wrapText="1"/>
      <protection hidden="1"/>
    </xf>
    <xf numFmtId="0" fontId="96" fillId="0" borderId="0" xfId="0" applyFont="1" applyAlignment="1" applyProtection="1">
      <alignment horizontal="justify" vertical="center"/>
      <protection hidden="1"/>
    </xf>
    <xf numFmtId="0" fontId="50" fillId="0" borderId="0" xfId="0" applyFont="1" applyAlignment="1" applyProtection="1">
      <alignment horizontal="justify" vertical="center" wrapText="1"/>
      <protection hidden="1"/>
    </xf>
    <xf numFmtId="0" fontId="50" fillId="0" borderId="0" xfId="0" applyFont="1" applyAlignment="1" applyProtection="1">
      <alignment horizontal="justify" vertical="center"/>
      <protection hidden="1"/>
    </xf>
    <xf numFmtId="0" fontId="81" fillId="0" borderId="0" xfId="0" applyFont="1" applyAlignment="1" applyProtection="1">
      <alignment horizontal="justify" vertical="center" wrapText="1"/>
      <protection hidden="1"/>
    </xf>
    <xf numFmtId="0" fontId="50" fillId="0" borderId="0" xfId="0" applyFont="1" applyFill="1" applyBorder="1" applyAlignment="1" applyProtection="1">
      <alignment horizontal="justify" vertical="center"/>
      <protection hidden="1"/>
    </xf>
    <xf numFmtId="49" fontId="53" fillId="0" borderId="0" xfId="0" applyNumberFormat="1" applyFont="1" applyFill="1" applyBorder="1" applyAlignment="1" applyProtection="1">
      <alignment horizontal="center"/>
      <protection hidden="1"/>
    </xf>
    <xf numFmtId="174" fontId="79" fillId="0" borderId="0" xfId="0" applyNumberFormat="1" applyFont="1" applyFill="1" applyBorder="1" applyAlignment="1" applyProtection="1">
      <alignment horizontal="center"/>
      <protection hidden="1"/>
    </xf>
    <xf numFmtId="0" fontId="53" fillId="0" borderId="0" xfId="0" applyFont="1" applyAlignment="1" applyProtection="1">
      <alignment horizontal="justify" vertical="center"/>
      <protection hidden="1"/>
    </xf>
    <xf numFmtId="167" fontId="5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justify" vertical="center"/>
      <protection hidden="1"/>
    </xf>
    <xf numFmtId="13" fontId="53" fillId="0" borderId="0" xfId="0" applyNumberFormat="1" applyFont="1" applyFill="1" applyBorder="1" applyAlignment="1" applyProtection="1">
      <alignment horizontal="left"/>
      <protection hidden="1"/>
    </xf>
    <xf numFmtId="0" fontId="0" fillId="0" borderId="0" xfId="0" applyAlignment="1" applyProtection="1">
      <alignment vertical="center"/>
      <protection hidden="1"/>
    </xf>
    <xf numFmtId="0" fontId="50" fillId="0" borderId="0" xfId="0" applyFont="1" applyAlignment="1" applyProtection="1">
      <alignment horizontal="left" vertical="center" wrapText="1"/>
      <protection hidden="1"/>
    </xf>
    <xf numFmtId="0" fontId="43" fillId="0" borderId="0" xfId="0" applyFont="1" applyAlignment="1" applyProtection="1">
      <alignment horizontal="justify" vertical="center"/>
      <protection hidden="1"/>
    </xf>
    <xf numFmtId="0" fontId="50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horizontal="justify"/>
      <protection hidden="1"/>
    </xf>
    <xf numFmtId="164" fontId="121" fillId="5" borderId="45" xfId="0" applyNumberFormat="1" applyFont="1" applyFill="1" applyBorder="1" applyAlignment="1" applyProtection="1">
      <alignment horizontal="center" vertical="center" wrapText="1"/>
      <protection hidden="1"/>
    </xf>
    <xf numFmtId="164" fontId="121" fillId="5" borderId="22" xfId="0" applyNumberFormat="1" applyFont="1" applyFill="1" applyBorder="1" applyAlignment="1" applyProtection="1">
      <alignment horizontal="center" vertical="center" wrapText="1"/>
      <protection hidden="1"/>
    </xf>
    <xf numFmtId="14" fontId="121" fillId="5" borderId="76" xfId="0" applyNumberFormat="1" applyFont="1" applyFill="1" applyBorder="1" applyAlignment="1" applyProtection="1">
      <alignment horizontal="center" vertical="center" wrapText="1"/>
      <protection hidden="1"/>
    </xf>
    <xf numFmtId="164" fontId="121" fillId="5" borderId="77" xfId="0" applyNumberFormat="1" applyFont="1" applyFill="1" applyBorder="1" applyAlignment="1" applyProtection="1">
      <alignment horizontal="center" vertical="center" wrapText="1"/>
      <protection hidden="1"/>
    </xf>
    <xf numFmtId="14" fontId="121" fillId="5" borderId="78" xfId="0" applyNumberFormat="1" applyFont="1" applyFill="1" applyBorder="1" applyAlignment="1" applyProtection="1">
      <alignment horizontal="center" vertical="center" wrapText="1"/>
      <protection hidden="1"/>
    </xf>
    <xf numFmtId="164" fontId="132" fillId="5" borderId="22" xfId="0" applyNumberFormat="1" applyFont="1" applyFill="1" applyBorder="1" applyAlignment="1" applyProtection="1">
      <alignment horizontal="center" vertical="center" wrapText="1"/>
      <protection hidden="1"/>
    </xf>
    <xf numFmtId="164" fontId="132" fillId="5" borderId="77" xfId="0" applyNumberFormat="1" applyFont="1" applyFill="1" applyBorder="1" applyAlignment="1" applyProtection="1">
      <alignment horizontal="center" vertical="center" wrapText="1"/>
      <protection hidden="1"/>
    </xf>
    <xf numFmtId="169" fontId="30" fillId="0" borderId="0" xfId="0" applyNumberFormat="1" applyFont="1" applyFill="1" applyBorder="1" applyAlignment="1" applyProtection="1">
      <alignment horizontal="center"/>
      <protection hidden="1"/>
    </xf>
    <xf numFmtId="0" fontId="124" fillId="13" borderId="0" xfId="0" applyFont="1" applyFill="1" applyBorder="1" applyAlignment="1" applyProtection="1">
      <alignment horizontal="left"/>
      <protection locked="0"/>
    </xf>
    <xf numFmtId="0" fontId="3" fillId="0" borderId="19" xfId="0" applyFont="1" applyFill="1" applyBorder="1" applyAlignment="1" applyProtection="1">
      <alignment horizontal="justify" vertical="center"/>
      <protection hidden="1"/>
    </xf>
    <xf numFmtId="0" fontId="0" fillId="0" borderId="21" xfId="0" applyBorder="1" applyAlignment="1">
      <alignment horizontal="justify" vertical="center"/>
    </xf>
    <xf numFmtId="0" fontId="5" fillId="0" borderId="0" xfId="0" applyFont="1" applyFill="1" applyBorder="1" applyAlignment="1" applyProtection="1">
      <alignment horizontal="justify" vertical="center"/>
      <protection hidden="1"/>
    </xf>
    <xf numFmtId="0" fontId="0" fillId="0" borderId="0" xfId="0" applyAlignment="1">
      <alignment horizontal="justify" vertical="center"/>
    </xf>
    <xf numFmtId="0" fontId="16" fillId="13" borderId="0" xfId="0" applyFont="1" applyFill="1" applyBorder="1" applyAlignment="1" applyProtection="1">
      <alignment horizontal="center"/>
      <protection hidden="1"/>
    </xf>
    <xf numFmtId="0" fontId="31" fillId="5" borderId="6" xfId="0" applyFont="1" applyFill="1" applyBorder="1" applyAlignment="1" applyProtection="1">
      <alignment horizontal="center"/>
      <protection hidden="1"/>
    </xf>
    <xf numFmtId="0" fontId="31" fillId="5" borderId="12" xfId="0" applyFont="1" applyFill="1" applyBorder="1" applyAlignment="1" applyProtection="1">
      <alignment horizontal="center"/>
      <protection hidden="1"/>
    </xf>
    <xf numFmtId="0" fontId="15" fillId="5" borderId="5" xfId="0" applyFont="1" applyFill="1" applyBorder="1" applyAlignment="1" applyProtection="1">
      <alignment horizontal="center"/>
      <protection hidden="1"/>
    </xf>
    <xf numFmtId="0" fontId="15" fillId="5" borderId="6" xfId="0" applyFont="1" applyFill="1" applyBorder="1" applyAlignment="1" applyProtection="1">
      <alignment horizontal="center"/>
      <protection hidden="1"/>
    </xf>
    <xf numFmtId="0" fontId="75" fillId="5" borderId="23" xfId="0" applyFont="1" applyFill="1" applyBorder="1" applyAlignment="1" applyProtection="1">
      <alignment horizontal="center"/>
      <protection hidden="1"/>
    </xf>
    <xf numFmtId="0" fontId="75" fillId="5" borderId="52" xfId="0" applyFont="1" applyFill="1" applyBorder="1" applyAlignment="1" applyProtection="1">
      <alignment horizontal="center"/>
      <protection hidden="1"/>
    </xf>
    <xf numFmtId="0" fontId="75" fillId="5" borderId="24" xfId="0" applyFont="1" applyFill="1" applyBorder="1" applyAlignment="1" applyProtection="1">
      <alignment horizontal="center"/>
      <protection hidden="1"/>
    </xf>
    <xf numFmtId="14" fontId="19" fillId="0" borderId="23" xfId="0" applyNumberFormat="1" applyFont="1" applyFill="1" applyBorder="1" applyAlignment="1" applyProtection="1">
      <alignment horizontal="justify" vertical="justify"/>
      <protection locked="0"/>
    </xf>
    <xf numFmtId="14" fontId="19" fillId="0" borderId="52" xfId="0" applyNumberFormat="1" applyFont="1" applyFill="1" applyBorder="1" applyAlignment="1" applyProtection="1">
      <alignment horizontal="justify" vertical="justify"/>
      <protection locked="0"/>
    </xf>
    <xf numFmtId="14" fontId="19" fillId="0" borderId="24" xfId="0" applyNumberFormat="1" applyFont="1" applyFill="1" applyBorder="1" applyAlignment="1" applyProtection="1">
      <alignment horizontal="justify" vertical="justify"/>
      <protection locked="0"/>
    </xf>
    <xf numFmtId="0" fontId="19" fillId="9" borderId="23" xfId="0" applyFont="1" applyFill="1" applyBorder="1" applyAlignment="1" applyProtection="1">
      <alignment horizontal="center"/>
      <protection hidden="1"/>
    </xf>
    <xf numFmtId="0" fontId="19" fillId="9" borderId="52" xfId="0" applyFont="1" applyFill="1" applyBorder="1" applyAlignment="1" applyProtection="1">
      <alignment horizontal="center"/>
      <protection hidden="1"/>
    </xf>
    <xf numFmtId="0" fontId="19" fillId="9" borderId="24" xfId="0" applyFont="1" applyFill="1" applyBorder="1" applyAlignment="1" applyProtection="1">
      <alignment horizontal="center"/>
      <protection hidden="1"/>
    </xf>
    <xf numFmtId="0" fontId="19" fillId="0" borderId="23" xfId="0" applyFont="1" applyBorder="1" applyAlignment="1" applyProtection="1">
      <alignment horizontal="center"/>
      <protection locked="0"/>
    </xf>
    <xf numFmtId="0" fontId="19" fillId="0" borderId="52" xfId="0" applyFont="1" applyBorder="1" applyAlignment="1" applyProtection="1">
      <alignment horizontal="center"/>
      <protection locked="0"/>
    </xf>
    <xf numFmtId="0" fontId="19" fillId="0" borderId="24" xfId="0" applyFont="1" applyBorder="1" applyAlignment="1" applyProtection="1">
      <alignment horizontal="center"/>
      <protection locked="0"/>
    </xf>
    <xf numFmtId="0" fontId="19" fillId="0" borderId="23" xfId="0" applyFont="1" applyBorder="1" applyAlignment="1" applyProtection="1">
      <alignment horizontal="left"/>
      <protection locked="0"/>
    </xf>
    <xf numFmtId="0" fontId="19" fillId="0" borderId="52" xfId="0" applyFont="1" applyBorder="1" applyAlignment="1" applyProtection="1">
      <alignment horizontal="left"/>
      <protection locked="0"/>
    </xf>
    <xf numFmtId="0" fontId="19" fillId="0" borderId="24" xfId="0" applyFont="1" applyBorder="1" applyAlignment="1" applyProtection="1">
      <alignment horizontal="left"/>
      <protection locked="0"/>
    </xf>
    <xf numFmtId="0" fontId="72" fillId="8" borderId="22" xfId="0" applyFont="1" applyFill="1" applyBorder="1" applyAlignment="1" applyProtection="1">
      <alignment horizontal="center"/>
      <protection hidden="1"/>
    </xf>
    <xf numFmtId="173" fontId="19" fillId="0" borderId="23" xfId="0" applyNumberFormat="1" applyFont="1" applyFill="1" applyBorder="1" applyAlignment="1" applyProtection="1">
      <alignment horizontal="justify" vertical="justify"/>
      <protection locked="0"/>
    </xf>
    <xf numFmtId="173" fontId="19" fillId="0" borderId="52" xfId="0" applyNumberFormat="1" applyFont="1" applyFill="1" applyBorder="1" applyAlignment="1" applyProtection="1">
      <alignment horizontal="justify" vertical="justify"/>
      <protection locked="0"/>
    </xf>
    <xf numFmtId="173" fontId="19" fillId="0" borderId="24" xfId="0" applyNumberFormat="1" applyFont="1" applyFill="1" applyBorder="1" applyAlignment="1" applyProtection="1">
      <alignment horizontal="justify" vertical="justify"/>
      <protection locked="0"/>
    </xf>
    <xf numFmtId="0" fontId="56" fillId="0" borderId="0" xfId="0" applyFont="1" applyBorder="1" applyAlignment="1" applyProtection="1">
      <alignment horizontal="center"/>
      <protection hidden="1"/>
    </xf>
    <xf numFmtId="0" fontId="19" fillId="9" borderId="23" xfId="0" applyFont="1" applyFill="1" applyBorder="1" applyAlignment="1" applyProtection="1">
      <alignment horizontal="center" vertical="center"/>
      <protection hidden="1"/>
    </xf>
    <xf numFmtId="0" fontId="19" fillId="9" borderId="52" xfId="0" applyFont="1" applyFill="1" applyBorder="1" applyAlignment="1" applyProtection="1">
      <alignment horizontal="center" vertical="center"/>
      <protection hidden="1"/>
    </xf>
    <xf numFmtId="0" fontId="19" fillId="9" borderId="24" xfId="0" applyFont="1" applyFill="1" applyBorder="1" applyAlignment="1" applyProtection="1">
      <alignment horizontal="center" vertical="center"/>
      <protection hidden="1"/>
    </xf>
    <xf numFmtId="0" fontId="72" fillId="8" borderId="107" xfId="0" applyFont="1" applyFill="1" applyBorder="1" applyAlignment="1" applyProtection="1">
      <alignment horizontal="center"/>
      <protection hidden="1"/>
    </xf>
    <xf numFmtId="0" fontId="72" fillId="8" borderId="108" xfId="0" applyFont="1" applyFill="1" applyBorder="1" applyAlignment="1" applyProtection="1">
      <alignment horizontal="center"/>
      <protection hidden="1"/>
    </xf>
    <xf numFmtId="0" fontId="72" fillId="8" borderId="106" xfId="0" applyFont="1" applyFill="1" applyBorder="1" applyAlignment="1" applyProtection="1">
      <alignment horizontal="center"/>
      <protection hidden="1"/>
    </xf>
    <xf numFmtId="0" fontId="19" fillId="5" borderId="22" xfId="0" applyFont="1" applyFill="1" applyBorder="1" applyAlignment="1" applyProtection="1">
      <alignment horizontal="center"/>
      <protection hidden="1"/>
    </xf>
    <xf numFmtId="14" fontId="19" fillId="9" borderId="22" xfId="0" applyNumberFormat="1" applyFont="1" applyFill="1" applyBorder="1" applyAlignment="1" applyProtection="1">
      <alignment horizontal="center"/>
      <protection hidden="1"/>
    </xf>
    <xf numFmtId="0" fontId="19" fillId="9" borderId="22" xfId="0" applyFont="1" applyFill="1" applyBorder="1" applyAlignment="1" applyProtection="1">
      <alignment horizontal="center"/>
      <protection hidden="1"/>
    </xf>
    <xf numFmtId="0" fontId="92" fillId="13" borderId="0" xfId="0" applyFont="1" applyFill="1" applyBorder="1" applyAlignment="1" applyProtection="1">
      <alignment horizontal="center"/>
      <protection hidden="1"/>
    </xf>
    <xf numFmtId="0" fontId="114" fillId="13" borderId="0" xfId="0" applyFont="1" applyFill="1" applyBorder="1" applyAlignment="1" applyProtection="1">
      <alignment horizontal="right"/>
      <protection hidden="1"/>
    </xf>
    <xf numFmtId="164" fontId="19" fillId="9" borderId="23" xfId="0" applyNumberFormat="1" applyFont="1" applyFill="1" applyBorder="1" applyAlignment="1" applyProtection="1">
      <protection hidden="1"/>
    </xf>
    <xf numFmtId="164" fontId="19" fillId="9" borderId="24" xfId="0" applyNumberFormat="1" applyFont="1" applyFill="1" applyBorder="1" applyAlignment="1" applyProtection="1">
      <protection hidden="1"/>
    </xf>
    <xf numFmtId="0" fontId="19" fillId="5" borderId="88" xfId="0" applyFont="1" applyFill="1" applyBorder="1" applyAlignment="1" applyProtection="1">
      <alignment horizontal="center"/>
      <protection hidden="1"/>
    </xf>
    <xf numFmtId="0" fontId="19" fillId="5" borderId="74" xfId="0" applyFont="1" applyFill="1" applyBorder="1" applyAlignment="1" applyProtection="1">
      <alignment horizontal="center"/>
      <protection hidden="1"/>
    </xf>
    <xf numFmtId="0" fontId="75" fillId="13" borderId="0" xfId="0" applyFont="1" applyFill="1" applyBorder="1" applyAlignment="1" applyProtection="1">
      <alignment horizontal="center"/>
      <protection hidden="1"/>
    </xf>
    <xf numFmtId="14" fontId="19" fillId="9" borderId="0" xfId="0" applyNumberFormat="1" applyFont="1" applyFill="1" applyBorder="1" applyAlignment="1" applyProtection="1">
      <alignment horizontal="center"/>
      <protection hidden="1"/>
    </xf>
    <xf numFmtId="0" fontId="115" fillId="13" borderId="4" xfId="0" applyFont="1" applyFill="1" applyBorder="1" applyAlignment="1" applyProtection="1">
      <alignment horizontal="justify" vertical="center"/>
      <protection hidden="1"/>
    </xf>
    <xf numFmtId="0" fontId="115" fillId="13" borderId="0" xfId="0" applyFont="1" applyFill="1" applyBorder="1" applyAlignment="1" applyProtection="1">
      <alignment horizontal="justify" vertical="center"/>
      <protection hidden="1"/>
    </xf>
    <xf numFmtId="0" fontId="72" fillId="9" borderId="0" xfId="0" applyFont="1" applyFill="1" applyBorder="1" applyAlignment="1" applyProtection="1">
      <alignment horizontal="center"/>
      <protection hidden="1"/>
    </xf>
    <xf numFmtId="164" fontId="19" fillId="0" borderId="5" xfId="0" applyNumberFormat="1" applyFont="1" applyBorder="1" applyAlignment="1" applyProtection="1">
      <alignment horizontal="center" vertical="center"/>
      <protection locked="0"/>
    </xf>
    <xf numFmtId="164" fontId="19" fillId="0" borderId="6" xfId="0" applyNumberFormat="1" applyFont="1" applyBorder="1" applyAlignment="1" applyProtection="1">
      <alignment horizontal="center" vertical="center"/>
      <protection locked="0"/>
    </xf>
    <xf numFmtId="164" fontId="19" fillId="0" borderId="12" xfId="0" applyNumberFormat="1" applyFont="1" applyBorder="1" applyAlignment="1" applyProtection="1">
      <alignment horizontal="center" vertical="center"/>
      <protection locked="0"/>
    </xf>
    <xf numFmtId="49" fontId="19" fillId="0" borderId="23" xfId="0" applyNumberFormat="1" applyFont="1" applyBorder="1" applyAlignment="1" applyProtection="1">
      <alignment horizontal="left"/>
      <protection locked="0"/>
    </xf>
    <xf numFmtId="49" fontId="19" fillId="0" borderId="52" xfId="0" quotePrefix="1" applyNumberFormat="1" applyFont="1" applyBorder="1" applyAlignment="1" applyProtection="1">
      <alignment horizontal="left"/>
      <protection locked="0"/>
    </xf>
    <xf numFmtId="49" fontId="19" fillId="0" borderId="24" xfId="0" quotePrefix="1" applyNumberFormat="1" applyFont="1" applyBorder="1" applyAlignment="1" applyProtection="1">
      <alignment horizontal="left"/>
      <protection locked="0"/>
    </xf>
    <xf numFmtId="14" fontId="19" fillId="0" borderId="23" xfId="0" applyNumberFormat="1" applyFont="1" applyBorder="1" applyAlignment="1" applyProtection="1">
      <alignment horizontal="center"/>
      <protection locked="0"/>
    </xf>
    <xf numFmtId="14" fontId="19" fillId="0" borderId="24" xfId="0" applyNumberFormat="1" applyFont="1" applyBorder="1" applyAlignment="1" applyProtection="1">
      <alignment horizontal="center"/>
      <protection locked="0"/>
    </xf>
    <xf numFmtId="0" fontId="19" fillId="0" borderId="23" xfId="0" applyFont="1" applyBorder="1" applyAlignment="1" applyProtection="1">
      <alignment horizontal="justify" vertical="center" wrapText="1"/>
      <protection locked="0"/>
    </xf>
    <xf numFmtId="0" fontId="19" fillId="0" borderId="52" xfId="0" applyFont="1" applyBorder="1" applyAlignment="1" applyProtection="1">
      <alignment horizontal="justify" vertical="center" wrapText="1"/>
      <protection locked="0"/>
    </xf>
    <xf numFmtId="0" fontId="19" fillId="0" borderId="24" xfId="0" applyFont="1" applyBorder="1" applyAlignment="1" applyProtection="1">
      <alignment horizontal="justify" vertical="center" wrapText="1"/>
      <protection locked="0"/>
    </xf>
    <xf numFmtId="0" fontId="114" fillId="13" borderId="17" xfId="0" applyFont="1" applyFill="1" applyBorder="1" applyAlignment="1" applyProtection="1">
      <alignment horizontal="right"/>
      <protection hidden="1"/>
    </xf>
    <xf numFmtId="0" fontId="75" fillId="5" borderId="17" xfId="0" applyFont="1" applyFill="1" applyBorder="1" applyAlignment="1" applyProtection="1">
      <alignment horizontal="center" vertical="center"/>
      <protection hidden="1"/>
    </xf>
    <xf numFmtId="0" fontId="75" fillId="5" borderId="87" xfId="0" applyFont="1" applyFill="1" applyBorder="1" applyAlignment="1" applyProtection="1">
      <alignment horizontal="center" vertical="center"/>
      <protection hidden="1"/>
    </xf>
    <xf numFmtId="0" fontId="19" fillId="9" borderId="91" xfId="0" applyFont="1" applyFill="1" applyBorder="1" applyAlignment="1" applyProtection="1">
      <alignment horizontal="left"/>
      <protection hidden="1"/>
    </xf>
    <xf numFmtId="0" fontId="19" fillId="9" borderId="22" xfId="0" applyFont="1" applyFill="1" applyBorder="1" applyAlignment="1" applyProtection="1">
      <alignment horizontal="left"/>
      <protection hidden="1"/>
    </xf>
    <xf numFmtId="0" fontId="73" fillId="13" borderId="86" xfId="0" applyFont="1" applyFill="1" applyBorder="1" applyAlignment="1" applyProtection="1">
      <alignment horizontal="center"/>
      <protection hidden="1"/>
    </xf>
    <xf numFmtId="0" fontId="73" fillId="13" borderId="17" xfId="0" applyFont="1" applyFill="1" applyBorder="1" applyAlignment="1" applyProtection="1">
      <alignment horizontal="center"/>
      <protection hidden="1"/>
    </xf>
    <xf numFmtId="0" fontId="19" fillId="9" borderId="76" xfId="0" applyFont="1" applyFill="1" applyBorder="1" applyAlignment="1" applyProtection="1">
      <alignment horizontal="center"/>
      <protection hidden="1"/>
    </xf>
    <xf numFmtId="164" fontId="0" fillId="5" borderId="23" xfId="0" applyNumberFormat="1" applyFill="1" applyBorder="1" applyAlignment="1" applyProtection="1">
      <alignment horizontal="center"/>
      <protection hidden="1"/>
    </xf>
    <xf numFmtId="164" fontId="0" fillId="5" borderId="52" xfId="0" applyNumberFormat="1" applyFill="1" applyBorder="1" applyAlignment="1" applyProtection="1">
      <alignment horizontal="center"/>
      <protection hidden="1"/>
    </xf>
    <xf numFmtId="164" fontId="0" fillId="5" borderId="24" xfId="0" applyNumberFormat="1" applyFill="1" applyBorder="1" applyAlignment="1" applyProtection="1">
      <alignment horizontal="center"/>
      <protection hidden="1"/>
    </xf>
    <xf numFmtId="0" fontId="0" fillId="9" borderId="22" xfId="0" applyFill="1" applyBorder="1" applyAlignment="1" applyProtection="1">
      <alignment horizontal="center"/>
      <protection hidden="1"/>
    </xf>
    <xf numFmtId="0" fontId="19" fillId="9" borderId="22" xfId="0" applyFont="1" applyFill="1" applyBorder="1" applyAlignment="1" applyProtection="1">
      <alignment horizontal="right"/>
      <protection hidden="1"/>
    </xf>
    <xf numFmtId="0" fontId="0" fillId="9" borderId="23" xfId="0" applyFill="1" applyBorder="1" applyAlignment="1" applyProtection="1">
      <alignment horizontal="left"/>
      <protection hidden="1"/>
    </xf>
    <xf numFmtId="0" fontId="0" fillId="9" borderId="52" xfId="0" applyFill="1" applyBorder="1" applyAlignment="1" applyProtection="1">
      <alignment horizontal="left"/>
      <protection hidden="1"/>
    </xf>
    <xf numFmtId="0" fontId="0" fillId="9" borderId="24" xfId="0" applyFill="1" applyBorder="1" applyAlignment="1" applyProtection="1">
      <alignment horizontal="left"/>
      <protection hidden="1"/>
    </xf>
    <xf numFmtId="0" fontId="71" fillId="13" borderId="1" xfId="0" applyFont="1" applyFill="1" applyBorder="1" applyAlignment="1" applyProtection="1">
      <alignment horizontal="right" vertical="center"/>
      <protection hidden="1"/>
    </xf>
    <xf numFmtId="0" fontId="53" fillId="9" borderId="67" xfId="0" applyFont="1" applyFill="1" applyBorder="1" applyAlignment="1" applyProtection="1">
      <alignment horizontal="center" vertical="center"/>
      <protection hidden="1"/>
    </xf>
    <xf numFmtId="0" fontId="53" fillId="9" borderId="25" xfId="0" applyFont="1" applyFill="1" applyBorder="1" applyAlignment="1" applyProtection="1">
      <alignment horizontal="center" vertical="center"/>
      <protection hidden="1"/>
    </xf>
    <xf numFmtId="0" fontId="19" fillId="9" borderId="67" xfId="0" applyFont="1" applyFill="1" applyBorder="1" applyAlignment="1" applyProtection="1">
      <alignment horizontal="center" vertical="center"/>
      <protection hidden="1"/>
    </xf>
    <xf numFmtId="0" fontId="19" fillId="9" borderId="25" xfId="0" applyFont="1" applyFill="1" applyBorder="1" applyAlignment="1" applyProtection="1">
      <alignment horizontal="center" vertical="center"/>
      <protection hidden="1"/>
    </xf>
    <xf numFmtId="0" fontId="19" fillId="9" borderId="23" xfId="0" applyFont="1" applyFill="1" applyBorder="1" applyAlignment="1" applyProtection="1">
      <alignment horizontal="left"/>
      <protection hidden="1"/>
    </xf>
    <xf numFmtId="0" fontId="19" fillId="9" borderId="24" xfId="0" applyFont="1" applyFill="1" applyBorder="1" applyAlignment="1" applyProtection="1">
      <alignment horizontal="left"/>
      <protection hidden="1"/>
    </xf>
    <xf numFmtId="0" fontId="19" fillId="9" borderId="22" xfId="0" applyFont="1" applyFill="1" applyBorder="1" applyAlignment="1" applyProtection="1">
      <alignment horizontal="center" vertical="center"/>
      <protection hidden="1"/>
    </xf>
    <xf numFmtId="0" fontId="9" fillId="9" borderId="23" xfId="0" applyFont="1" applyFill="1" applyBorder="1" applyAlignment="1" applyProtection="1">
      <alignment horizontal="center"/>
      <protection hidden="1"/>
    </xf>
    <xf numFmtId="0" fontId="9" fillId="9" borderId="52" xfId="0" applyFont="1" applyFill="1" applyBorder="1" applyAlignment="1" applyProtection="1">
      <alignment horizontal="center"/>
      <protection hidden="1"/>
    </xf>
    <xf numFmtId="0" fontId="9" fillId="9" borderId="24" xfId="0" applyFont="1" applyFill="1" applyBorder="1" applyAlignment="1" applyProtection="1">
      <alignment horizontal="center"/>
      <protection hidden="1"/>
    </xf>
    <xf numFmtId="0" fontId="0" fillId="9" borderId="24" xfId="0" applyFill="1" applyBorder="1" applyAlignment="1" applyProtection="1">
      <alignment horizontal="center"/>
      <protection hidden="1"/>
    </xf>
    <xf numFmtId="0" fontId="103" fillId="13" borderId="0" xfId="0" applyFont="1" applyFill="1" applyBorder="1" applyAlignment="1" applyProtection="1">
      <alignment horizontal="justify" vertical="center"/>
      <protection hidden="1"/>
    </xf>
    <xf numFmtId="0" fontId="0" fillId="13" borderId="0" xfId="0" applyFill="1" applyAlignment="1">
      <alignment horizontal="justify" vertical="center"/>
    </xf>
    <xf numFmtId="0" fontId="23" fillId="13" borderId="0" xfId="0" applyFont="1" applyFill="1" applyBorder="1" applyAlignment="1" applyProtection="1">
      <alignment horizontal="justify" vertical="center"/>
      <protection hidden="1"/>
    </xf>
    <xf numFmtId="0" fontId="0" fillId="13" borderId="0" xfId="0" applyFill="1" applyAlignment="1"/>
    <xf numFmtId="0" fontId="0" fillId="13" borderId="1" xfId="0" applyFill="1" applyBorder="1" applyAlignment="1"/>
    <xf numFmtId="0" fontId="19" fillId="0" borderId="67" xfId="0" applyFont="1" applyFill="1" applyBorder="1" applyAlignment="1" applyProtection="1">
      <alignment horizontal="center" vertical="center" wrapText="1"/>
      <protection locked="0"/>
    </xf>
    <xf numFmtId="0" fontId="43" fillId="0" borderId="45" xfId="0" applyFont="1" applyFill="1" applyBorder="1" applyAlignment="1" applyProtection="1">
      <alignment wrapText="1"/>
      <protection locked="0"/>
    </xf>
    <xf numFmtId="0" fontId="19" fillId="9" borderId="109" xfId="0" applyFont="1" applyFill="1" applyBorder="1" applyAlignment="1" applyProtection="1">
      <alignment horizontal="left"/>
      <protection hidden="1"/>
    </xf>
    <xf numFmtId="0" fontId="19" fillId="9" borderId="77" xfId="0" applyFont="1" applyFill="1" applyBorder="1" applyAlignment="1" applyProtection="1">
      <alignment horizontal="left"/>
      <protection hidden="1"/>
    </xf>
    <xf numFmtId="164" fontId="2" fillId="5" borderId="77" xfId="0" applyNumberFormat="1" applyFont="1" applyFill="1" applyBorder="1" applyAlignment="1" applyProtection="1">
      <alignment horizontal="center"/>
      <protection hidden="1"/>
    </xf>
    <xf numFmtId="0" fontId="9" fillId="9" borderId="22" xfId="0" applyFont="1" applyFill="1" applyBorder="1" applyAlignment="1" applyProtection="1">
      <alignment horizontal="center"/>
      <protection hidden="1"/>
    </xf>
    <xf numFmtId="164" fontId="0" fillId="5" borderId="22" xfId="0" applyNumberFormat="1" applyFill="1" applyBorder="1" applyAlignment="1" applyProtection="1">
      <alignment horizontal="center"/>
      <protection hidden="1"/>
    </xf>
    <xf numFmtId="165" fontId="73" fillId="9" borderId="91" xfId="0" applyNumberFormat="1" applyFont="1" applyFill="1" applyBorder="1" applyAlignment="1" applyProtection="1">
      <alignment horizontal="center"/>
      <protection hidden="1"/>
    </xf>
    <xf numFmtId="0" fontId="73" fillId="9" borderId="22" xfId="0" applyFont="1" applyFill="1" applyBorder="1" applyAlignment="1" applyProtection="1">
      <alignment horizontal="center"/>
      <protection hidden="1"/>
    </xf>
    <xf numFmtId="0" fontId="72" fillId="9" borderId="22" xfId="0" applyFont="1" applyFill="1" applyBorder="1" applyAlignment="1" applyProtection="1">
      <alignment horizontal="center"/>
      <protection hidden="1"/>
    </xf>
    <xf numFmtId="0" fontId="19" fillId="9" borderId="67" xfId="0" applyFont="1" applyFill="1" applyBorder="1" applyAlignment="1" applyProtection="1">
      <alignment horizontal="center"/>
      <protection hidden="1"/>
    </xf>
    <xf numFmtId="0" fontId="19" fillId="9" borderId="107" xfId="0" applyFont="1" applyFill="1" applyBorder="1" applyAlignment="1" applyProtection="1">
      <alignment horizontal="center"/>
      <protection hidden="1"/>
    </xf>
    <xf numFmtId="0" fontId="19" fillId="9" borderId="108" xfId="0" applyFont="1" applyFill="1" applyBorder="1" applyAlignment="1" applyProtection="1">
      <alignment horizontal="center"/>
      <protection hidden="1"/>
    </xf>
    <xf numFmtId="0" fontId="19" fillId="9" borderId="106" xfId="0" applyFont="1" applyFill="1" applyBorder="1" applyAlignment="1" applyProtection="1">
      <alignment horizontal="center"/>
      <protection hidden="1"/>
    </xf>
    <xf numFmtId="0" fontId="135" fillId="13" borderId="17" xfId="0" applyFont="1" applyFill="1" applyBorder="1" applyAlignment="1" applyProtection="1">
      <alignment horizontal="right"/>
      <protection hidden="1"/>
    </xf>
    <xf numFmtId="0" fontId="53" fillId="9" borderId="91" xfId="0" applyFont="1" applyFill="1" applyBorder="1" applyAlignment="1" applyProtection="1">
      <alignment horizontal="left"/>
      <protection hidden="1"/>
    </xf>
    <xf numFmtId="0" fontId="53" fillId="9" borderId="22" xfId="0" applyFont="1" applyFill="1" applyBorder="1" applyAlignment="1" applyProtection="1">
      <alignment horizontal="left"/>
      <protection hidden="1"/>
    </xf>
    <xf numFmtId="0" fontId="53" fillId="5" borderId="23" xfId="0" applyFont="1" applyFill="1" applyBorder="1" applyAlignment="1" applyProtection="1">
      <alignment horizontal="center"/>
      <protection hidden="1"/>
    </xf>
    <xf numFmtId="0" fontId="53" fillId="5" borderId="24" xfId="0" applyFont="1" applyFill="1" applyBorder="1" applyAlignment="1" applyProtection="1">
      <alignment horizontal="center"/>
      <protection hidden="1"/>
    </xf>
    <xf numFmtId="0" fontId="87" fillId="9" borderId="23" xfId="0" applyFont="1" applyFill="1" applyBorder="1" applyAlignment="1" applyProtection="1">
      <alignment horizontal="center"/>
      <protection hidden="1"/>
    </xf>
    <xf numFmtId="0" fontId="87" fillId="9" borderId="52" xfId="0" applyFont="1" applyFill="1" applyBorder="1" applyAlignment="1" applyProtection="1">
      <alignment horizontal="center"/>
      <protection hidden="1"/>
    </xf>
    <xf numFmtId="0" fontId="87" fillId="9" borderId="24" xfId="0" applyFont="1" applyFill="1" applyBorder="1" applyAlignment="1" applyProtection="1">
      <alignment horizontal="center"/>
      <protection hidden="1"/>
    </xf>
    <xf numFmtId="0" fontId="72" fillId="8" borderId="110" xfId="0" applyFont="1" applyFill="1" applyBorder="1" applyAlignment="1" applyProtection="1">
      <alignment horizontal="center"/>
      <protection hidden="1"/>
    </xf>
    <xf numFmtId="0" fontId="72" fillId="8" borderId="111" xfId="0" applyFont="1" applyFill="1" applyBorder="1" applyAlignment="1" applyProtection="1">
      <alignment horizontal="center"/>
      <protection hidden="1"/>
    </xf>
    <xf numFmtId="0" fontId="72" fillId="8" borderId="112" xfId="0" applyFont="1" applyFill="1" applyBorder="1" applyAlignment="1" applyProtection="1">
      <alignment horizontal="center"/>
      <protection hidden="1"/>
    </xf>
    <xf numFmtId="0" fontId="62" fillId="5" borderId="22" xfId="0" applyFont="1" applyFill="1" applyBorder="1" applyAlignment="1" applyProtection="1">
      <alignment horizontal="center"/>
      <protection hidden="1"/>
    </xf>
    <xf numFmtId="0" fontId="62" fillId="5" borderId="76" xfId="0" applyFont="1" applyFill="1" applyBorder="1" applyAlignment="1" applyProtection="1">
      <alignment horizontal="center"/>
      <protection hidden="1"/>
    </xf>
    <xf numFmtId="0" fontId="61" fillId="13" borderId="0" xfId="0" applyFont="1" applyFill="1" applyBorder="1" applyAlignment="1" applyProtection="1">
      <alignment horizontal="center"/>
      <protection hidden="1"/>
    </xf>
    <xf numFmtId="49" fontId="62" fillId="5" borderId="22" xfId="0" applyNumberFormat="1" applyFont="1" applyFill="1" applyBorder="1" applyAlignment="1" applyProtection="1">
      <alignment horizontal="center"/>
      <protection hidden="1"/>
    </xf>
    <xf numFmtId="49" fontId="62" fillId="5" borderId="76" xfId="0" applyNumberFormat="1" applyFont="1" applyFill="1" applyBorder="1" applyAlignment="1" applyProtection="1">
      <alignment horizontal="center"/>
      <protection hidden="1"/>
    </xf>
    <xf numFmtId="164" fontId="62" fillId="5" borderId="23" xfId="0" applyNumberFormat="1" applyFont="1" applyFill="1" applyBorder="1" applyAlignment="1" applyProtection="1">
      <alignment horizontal="center"/>
      <protection hidden="1"/>
    </xf>
    <xf numFmtId="0" fontId="62" fillId="5" borderId="24" xfId="0" applyFont="1" applyFill="1" applyBorder="1" applyAlignment="1" applyProtection="1">
      <alignment horizontal="center"/>
      <protection hidden="1"/>
    </xf>
    <xf numFmtId="0" fontId="53" fillId="9" borderId="80" xfId="0" applyFont="1" applyFill="1" applyBorder="1" applyAlignment="1" applyProtection="1">
      <alignment horizontal="center"/>
      <protection hidden="1"/>
    </xf>
    <xf numFmtId="0" fontId="53" fillId="9" borderId="52" xfId="0" applyFont="1" applyFill="1" applyBorder="1" applyAlignment="1" applyProtection="1">
      <alignment horizontal="center"/>
      <protection hidden="1"/>
    </xf>
    <xf numFmtId="0" fontId="53" fillId="9" borderId="24" xfId="0" applyFont="1" applyFill="1" applyBorder="1" applyAlignment="1" applyProtection="1">
      <alignment horizontal="center"/>
      <protection hidden="1"/>
    </xf>
    <xf numFmtId="0" fontId="61" fillId="13" borderId="0" xfId="0" applyFont="1" applyFill="1" applyBorder="1" applyAlignment="1" applyProtection="1">
      <alignment horizontal="right" vertical="center"/>
      <protection hidden="1"/>
    </xf>
    <xf numFmtId="0" fontId="53" fillId="9" borderId="70" xfId="0" applyFont="1" applyFill="1" applyBorder="1" applyAlignment="1" applyProtection="1">
      <alignment horizontal="center" vertical="center" wrapText="1"/>
      <protection hidden="1"/>
    </xf>
    <xf numFmtId="0" fontId="53" fillId="9" borderId="4" xfId="0" applyFont="1" applyFill="1" applyBorder="1" applyAlignment="1" applyProtection="1">
      <alignment horizontal="center" vertical="center" wrapText="1"/>
      <protection hidden="1"/>
    </xf>
    <xf numFmtId="0" fontId="53" fillId="9" borderId="15" xfId="0" applyFont="1" applyFill="1" applyBorder="1" applyAlignment="1" applyProtection="1">
      <alignment horizontal="center" vertical="center" wrapText="1"/>
      <protection hidden="1"/>
    </xf>
    <xf numFmtId="0" fontId="53" fillId="9" borderId="72" xfId="0" applyFont="1" applyFill="1" applyBorder="1" applyAlignment="1" applyProtection="1">
      <alignment horizontal="center" vertical="center" wrapText="1"/>
      <protection hidden="1"/>
    </xf>
    <xf numFmtId="0" fontId="53" fillId="9" borderId="0" xfId="0" applyFont="1" applyFill="1" applyBorder="1" applyAlignment="1" applyProtection="1">
      <alignment horizontal="center" vertical="center" wrapText="1"/>
      <protection hidden="1"/>
    </xf>
    <xf numFmtId="0" fontId="53" fillId="9" borderId="1" xfId="0" applyFont="1" applyFill="1" applyBorder="1" applyAlignment="1" applyProtection="1">
      <alignment horizontal="center" vertical="center" wrapText="1"/>
      <protection hidden="1"/>
    </xf>
    <xf numFmtId="0" fontId="53" fillId="9" borderId="86" xfId="0" applyFont="1" applyFill="1" applyBorder="1" applyAlignment="1" applyProtection="1">
      <alignment horizontal="center" vertical="center" wrapText="1"/>
      <protection hidden="1"/>
    </xf>
    <xf numFmtId="0" fontId="53" fillId="9" borderId="17" xfId="0" applyFont="1" applyFill="1" applyBorder="1" applyAlignment="1" applyProtection="1">
      <alignment horizontal="center" vertical="center" wrapText="1"/>
      <protection hidden="1"/>
    </xf>
    <xf numFmtId="0" fontId="53" fillId="9" borderId="18" xfId="0" applyFont="1" applyFill="1" applyBorder="1" applyAlignment="1" applyProtection="1">
      <alignment horizontal="center" vertical="center" wrapText="1"/>
      <protection hidden="1"/>
    </xf>
    <xf numFmtId="0" fontId="53" fillId="9" borderId="14" xfId="0" applyFont="1" applyFill="1" applyBorder="1" applyAlignment="1" applyProtection="1">
      <alignment horizontal="center"/>
      <protection hidden="1"/>
    </xf>
    <xf numFmtId="0" fontId="53" fillId="9" borderId="15" xfId="0" applyFont="1" applyFill="1" applyBorder="1" applyAlignment="1" applyProtection="1">
      <alignment horizontal="center"/>
      <protection hidden="1"/>
    </xf>
    <xf numFmtId="0" fontId="53" fillId="9" borderId="80" xfId="0" applyFont="1" applyFill="1" applyBorder="1" applyAlignment="1" applyProtection="1">
      <alignment horizontal="justify" vertical="center"/>
      <protection hidden="1"/>
    </xf>
    <xf numFmtId="0" fontId="53" fillId="9" borderId="52" xfId="0" applyFont="1" applyFill="1" applyBorder="1" applyAlignment="1" applyProtection="1">
      <alignment horizontal="justify" vertical="center"/>
      <protection hidden="1"/>
    </xf>
    <xf numFmtId="0" fontId="62" fillId="5" borderId="23" xfId="0" applyFont="1" applyFill="1" applyBorder="1" applyAlignment="1" applyProtection="1">
      <alignment horizontal="center"/>
      <protection hidden="1"/>
    </xf>
    <xf numFmtId="0" fontId="62" fillId="5" borderId="52" xfId="0" applyFont="1" applyFill="1" applyBorder="1" applyAlignment="1" applyProtection="1">
      <alignment horizontal="center"/>
      <protection hidden="1"/>
    </xf>
    <xf numFmtId="0" fontId="53" fillId="9" borderId="91" xfId="0" applyFont="1" applyFill="1" applyBorder="1" applyAlignment="1" applyProtection="1">
      <alignment horizontal="left" vertical="justify" wrapText="1"/>
      <protection hidden="1"/>
    </xf>
    <xf numFmtId="0" fontId="53" fillId="9" borderId="22" xfId="0" applyFont="1" applyFill="1" applyBorder="1" applyAlignment="1" applyProtection="1">
      <alignment horizontal="left" vertical="justify" wrapText="1"/>
      <protection hidden="1"/>
    </xf>
    <xf numFmtId="0" fontId="62" fillId="5" borderId="14" xfId="0" applyFont="1" applyFill="1" applyBorder="1" applyAlignment="1" applyProtection="1">
      <alignment horizontal="center" vertical="center"/>
      <protection hidden="1"/>
    </xf>
    <xf numFmtId="0" fontId="62" fillId="5" borderId="4" xfId="0" applyFont="1" applyFill="1" applyBorder="1" applyAlignment="1" applyProtection="1">
      <alignment horizontal="center" vertical="center"/>
      <protection hidden="1"/>
    </xf>
    <xf numFmtId="0" fontId="62" fillId="5" borderId="71" xfId="0" applyFont="1" applyFill="1" applyBorder="1" applyAlignment="1" applyProtection="1">
      <alignment horizontal="center" vertical="center"/>
      <protection hidden="1"/>
    </xf>
    <xf numFmtId="0" fontId="62" fillId="5" borderId="16" xfId="0" applyFont="1" applyFill="1" applyBorder="1" applyAlignment="1" applyProtection="1">
      <alignment horizontal="center" vertical="center"/>
      <protection hidden="1"/>
    </xf>
    <xf numFmtId="0" fontId="62" fillId="5" borderId="17" xfId="0" applyFont="1" applyFill="1" applyBorder="1" applyAlignment="1" applyProtection="1">
      <alignment horizontal="center" vertical="center"/>
      <protection hidden="1"/>
    </xf>
    <xf numFmtId="0" fontId="62" fillId="5" borderId="87" xfId="0" applyFont="1" applyFill="1" applyBorder="1" applyAlignment="1" applyProtection="1">
      <alignment horizontal="center" vertical="center"/>
      <protection hidden="1"/>
    </xf>
    <xf numFmtId="0" fontId="53" fillId="9" borderId="4" xfId="0" applyFont="1" applyFill="1" applyBorder="1" applyAlignment="1" applyProtection="1">
      <alignment horizontal="center"/>
      <protection hidden="1"/>
    </xf>
    <xf numFmtId="0" fontId="62" fillId="5" borderId="90" xfId="0" applyFont="1" applyFill="1" applyBorder="1" applyAlignment="1" applyProtection="1">
      <alignment horizontal="left"/>
      <protection hidden="1"/>
    </xf>
    <xf numFmtId="0" fontId="62" fillId="5" borderId="74" xfId="0" applyFont="1" applyFill="1" applyBorder="1" applyAlignment="1" applyProtection="1">
      <alignment horizontal="left"/>
      <protection hidden="1"/>
    </xf>
    <xf numFmtId="0" fontId="62" fillId="5" borderId="82" xfId="0" applyFont="1" applyFill="1" applyBorder="1" applyAlignment="1" applyProtection="1">
      <alignment horizontal="left"/>
      <protection hidden="1"/>
    </xf>
    <xf numFmtId="0" fontId="62" fillId="5" borderId="113" xfId="0" applyFont="1" applyFill="1" applyBorder="1" applyAlignment="1" applyProtection="1">
      <alignment horizontal="left"/>
      <protection hidden="1"/>
    </xf>
    <xf numFmtId="0" fontId="53" fillId="9" borderId="23" xfId="0" applyFont="1" applyFill="1" applyBorder="1" applyAlignment="1" applyProtection="1">
      <alignment horizontal="center"/>
      <protection hidden="1"/>
    </xf>
    <xf numFmtId="0" fontId="53" fillId="9" borderId="114" xfId="0" applyFont="1" applyFill="1" applyBorder="1" applyAlignment="1" applyProtection="1">
      <alignment horizontal="center"/>
      <protection hidden="1"/>
    </xf>
    <xf numFmtId="0" fontId="53" fillId="9" borderId="16" xfId="0" applyFont="1" applyFill="1" applyBorder="1" applyAlignment="1" applyProtection="1">
      <alignment horizontal="center"/>
      <protection hidden="1"/>
    </xf>
    <xf numFmtId="0" fontId="53" fillId="9" borderId="18" xfId="0" applyFont="1" applyFill="1" applyBorder="1" applyAlignment="1" applyProtection="1">
      <alignment horizontal="center"/>
      <protection hidden="1"/>
    </xf>
    <xf numFmtId="0" fontId="53" fillId="9" borderId="70" xfId="0" applyFont="1" applyFill="1" applyBorder="1" applyAlignment="1" applyProtection="1">
      <alignment horizontal="center" vertical="center"/>
      <protection hidden="1"/>
    </xf>
    <xf numFmtId="0" fontId="53" fillId="9" borderId="15" xfId="0" applyFont="1" applyFill="1" applyBorder="1" applyAlignment="1" applyProtection="1">
      <alignment horizontal="center" vertical="center"/>
      <protection hidden="1"/>
    </xf>
    <xf numFmtId="0" fontId="53" fillId="9" borderId="72" xfId="0" applyFont="1" applyFill="1" applyBorder="1" applyAlignment="1" applyProtection="1">
      <alignment horizontal="center" vertical="center"/>
      <protection hidden="1"/>
    </xf>
    <xf numFmtId="0" fontId="53" fillId="9" borderId="1" xfId="0" applyFont="1" applyFill="1" applyBorder="1" applyAlignment="1" applyProtection="1">
      <alignment horizontal="center" vertical="center"/>
      <protection hidden="1"/>
    </xf>
    <xf numFmtId="0" fontId="53" fillId="9" borderId="88" xfId="0" applyFont="1" applyFill="1" applyBorder="1" applyAlignment="1" applyProtection="1">
      <alignment horizontal="center" vertical="center"/>
      <protection hidden="1"/>
    </xf>
    <xf numFmtId="0" fontId="53" fillId="9" borderId="89" xfId="0" applyFont="1" applyFill="1" applyBorder="1" applyAlignment="1" applyProtection="1">
      <alignment horizontal="center" vertical="center"/>
      <protection hidden="1"/>
    </xf>
    <xf numFmtId="0" fontId="53" fillId="9" borderId="22" xfId="0" applyFont="1" applyFill="1" applyBorder="1" applyAlignment="1" applyProtection="1">
      <protection hidden="1"/>
    </xf>
    <xf numFmtId="0" fontId="53" fillId="9" borderId="77" xfId="0" applyFont="1" applyFill="1" applyBorder="1" applyAlignment="1" applyProtection="1">
      <protection hidden="1"/>
    </xf>
    <xf numFmtId="0" fontId="53" fillId="9" borderId="86" xfId="0" applyFont="1" applyFill="1" applyBorder="1" applyAlignment="1" applyProtection="1">
      <alignment horizontal="center" vertical="center"/>
      <protection hidden="1"/>
    </xf>
    <xf numFmtId="0" fontId="53" fillId="9" borderId="18" xfId="0" applyFont="1" applyFill="1" applyBorder="1" applyAlignment="1" applyProtection="1">
      <alignment horizontal="center" vertical="center"/>
      <protection hidden="1"/>
    </xf>
    <xf numFmtId="13" fontId="62" fillId="5" borderId="23" xfId="0" applyNumberFormat="1" applyFont="1" applyFill="1" applyBorder="1" applyAlignment="1" applyProtection="1">
      <alignment horizontal="center"/>
      <protection hidden="1"/>
    </xf>
    <xf numFmtId="13" fontId="62" fillId="5" borderId="24" xfId="0" applyNumberFormat="1" applyFont="1" applyFill="1" applyBorder="1" applyAlignment="1" applyProtection="1">
      <alignment horizontal="center"/>
      <protection hidden="1"/>
    </xf>
    <xf numFmtId="0" fontId="0" fillId="0" borderId="24" xfId="0" applyBorder="1"/>
    <xf numFmtId="0" fontId="53" fillId="9" borderId="14" xfId="0" applyFont="1" applyFill="1" applyBorder="1" applyAlignment="1" applyProtection="1">
      <alignment horizontal="center" vertical="center"/>
      <protection hidden="1"/>
    </xf>
    <xf numFmtId="0" fontId="53" fillId="9" borderId="4" xfId="0" applyFont="1" applyFill="1" applyBorder="1" applyAlignment="1" applyProtection="1">
      <alignment horizontal="center" vertical="center"/>
      <protection hidden="1"/>
    </xf>
    <xf numFmtId="0" fontId="53" fillId="9" borderId="71" xfId="0" applyFont="1" applyFill="1" applyBorder="1" applyAlignment="1" applyProtection="1">
      <alignment horizontal="center" vertical="center"/>
      <protection hidden="1"/>
    </xf>
    <xf numFmtId="0" fontId="53" fillId="9" borderId="16" xfId="0" applyFont="1" applyFill="1" applyBorder="1" applyAlignment="1" applyProtection="1">
      <alignment horizontal="center" vertical="center"/>
      <protection hidden="1"/>
    </xf>
    <xf numFmtId="0" fontId="53" fillId="9" borderId="17" xfId="0" applyFont="1" applyFill="1" applyBorder="1" applyAlignment="1" applyProtection="1">
      <alignment horizontal="center" vertical="center"/>
      <protection hidden="1"/>
    </xf>
    <xf numFmtId="0" fontId="53" fillId="9" borderId="87" xfId="0" applyFont="1" applyFill="1" applyBorder="1" applyAlignment="1" applyProtection="1">
      <alignment horizontal="center" vertical="center"/>
      <protection hidden="1"/>
    </xf>
    <xf numFmtId="0" fontId="53" fillId="5" borderId="115" xfId="0" applyFont="1" applyFill="1" applyBorder="1" applyAlignment="1" applyProtection="1">
      <alignment horizontal="center"/>
      <protection hidden="1"/>
    </xf>
    <xf numFmtId="0" fontId="53" fillId="5" borderId="113" xfId="0" applyFont="1" applyFill="1" applyBorder="1" applyAlignment="1" applyProtection="1">
      <alignment horizontal="center"/>
      <protection hidden="1"/>
    </xf>
    <xf numFmtId="10" fontId="62" fillId="5" borderId="23" xfId="0" applyNumberFormat="1" applyFont="1" applyFill="1" applyBorder="1" applyAlignment="1" applyProtection="1">
      <alignment horizontal="center"/>
      <protection hidden="1"/>
    </xf>
    <xf numFmtId="10" fontId="0" fillId="0" borderId="52" xfId="0" applyNumberFormat="1" applyBorder="1"/>
    <xf numFmtId="10" fontId="0" fillId="0" borderId="114" xfId="0" applyNumberFormat="1" applyBorder="1"/>
    <xf numFmtId="10" fontId="62" fillId="5" borderId="52" xfId="0" applyNumberFormat="1" applyFont="1" applyFill="1" applyBorder="1" applyAlignment="1" applyProtection="1">
      <alignment horizontal="center"/>
      <protection hidden="1"/>
    </xf>
    <xf numFmtId="10" fontId="62" fillId="5" borderId="114" xfId="0" applyNumberFormat="1" applyFont="1" applyFill="1" applyBorder="1" applyAlignment="1" applyProtection="1">
      <alignment horizontal="center"/>
      <protection hidden="1"/>
    </xf>
    <xf numFmtId="164" fontId="105" fillId="9" borderId="88" xfId="0" applyNumberFormat="1" applyFont="1" applyFill="1" applyBorder="1" applyAlignment="1" applyProtection="1">
      <alignment horizontal="center"/>
      <protection hidden="1"/>
    </xf>
    <xf numFmtId="164" fontId="105" fillId="9" borderId="74" xfId="0" applyNumberFormat="1" applyFont="1" applyFill="1" applyBorder="1" applyAlignment="1" applyProtection="1">
      <alignment horizontal="center"/>
      <protection hidden="1"/>
    </xf>
    <xf numFmtId="164" fontId="105" fillId="9" borderId="82" xfId="0" applyNumberFormat="1" applyFont="1" applyFill="1" applyBorder="1" applyAlignment="1" applyProtection="1">
      <alignment horizontal="center"/>
      <protection hidden="1"/>
    </xf>
    <xf numFmtId="164" fontId="105" fillId="9" borderId="116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/>
      <protection hidden="1"/>
    </xf>
    <xf numFmtId="169" fontId="87" fillId="9" borderId="0" xfId="0" applyNumberFormat="1" applyFont="1" applyFill="1" applyBorder="1" applyAlignment="1" applyProtection="1">
      <alignment horizontal="center"/>
      <protection hidden="1"/>
    </xf>
    <xf numFmtId="0" fontId="106" fillId="9" borderId="0" xfId="0" applyFont="1" applyFill="1" applyBorder="1" applyAlignment="1" applyProtection="1">
      <alignment horizontal="justify" vertical="justify"/>
      <protection hidden="1"/>
    </xf>
    <xf numFmtId="0" fontId="106" fillId="0" borderId="0" xfId="0" applyFont="1" applyAlignment="1">
      <alignment horizontal="justify" vertical="justify"/>
    </xf>
    <xf numFmtId="0" fontId="0" fillId="0" borderId="0" xfId="0" applyAlignment="1">
      <alignment horizontal="justify" vertical="justify"/>
    </xf>
    <xf numFmtId="164" fontId="53" fillId="9" borderId="81" xfId="0" applyNumberFormat="1" applyFont="1" applyFill="1" applyBorder="1" applyAlignment="1" applyProtection="1">
      <alignment horizontal="justify" vertical="distributed"/>
      <protection hidden="1"/>
    </xf>
    <xf numFmtId="164" fontId="53" fillId="9" borderId="82" xfId="0" applyNumberFormat="1" applyFont="1" applyFill="1" applyBorder="1" applyAlignment="1" applyProtection="1">
      <alignment horizontal="justify" vertical="distributed"/>
      <protection hidden="1"/>
    </xf>
    <xf numFmtId="164" fontId="53" fillId="9" borderId="113" xfId="0" applyNumberFormat="1" applyFont="1" applyFill="1" applyBorder="1" applyAlignment="1" applyProtection="1">
      <alignment horizontal="justify" vertical="distributed"/>
      <protection hidden="1"/>
    </xf>
    <xf numFmtId="164" fontId="119" fillId="9" borderId="115" xfId="0" applyNumberFormat="1" applyFont="1" applyFill="1" applyBorder="1" applyAlignment="1" applyProtection="1">
      <alignment horizontal="justify" vertical="center" wrapText="1"/>
      <protection hidden="1"/>
    </xf>
    <xf numFmtId="164" fontId="119" fillId="9" borderId="113" xfId="0" applyNumberFormat="1" applyFont="1" applyFill="1" applyBorder="1" applyAlignment="1" applyProtection="1">
      <alignment horizontal="justify" vertical="center" wrapText="1"/>
      <protection hidden="1"/>
    </xf>
    <xf numFmtId="164" fontId="121" fillId="5" borderId="115" xfId="0" applyNumberFormat="1" applyFont="1" applyFill="1" applyBorder="1" applyAlignment="1" applyProtection="1">
      <alignment horizontal="justify" vertical="distributed" wrapText="1"/>
      <protection hidden="1"/>
    </xf>
    <xf numFmtId="164" fontId="121" fillId="5" borderId="82" xfId="0" applyNumberFormat="1" applyFont="1" applyFill="1" applyBorder="1" applyAlignment="1" applyProtection="1">
      <alignment horizontal="justify" vertical="distributed" wrapText="1"/>
      <protection hidden="1"/>
    </xf>
    <xf numFmtId="164" fontId="121" fillId="5" borderId="113" xfId="0" applyNumberFormat="1" applyFont="1" applyFill="1" applyBorder="1" applyAlignment="1" applyProtection="1">
      <alignment horizontal="justify" vertical="distributed" wrapText="1"/>
      <protection hidden="1"/>
    </xf>
    <xf numFmtId="164" fontId="121" fillId="5" borderId="23" xfId="0" applyNumberFormat="1" applyFont="1" applyFill="1" applyBorder="1" applyAlignment="1" applyProtection="1">
      <alignment horizontal="justify" vertical="distributed" wrapText="1"/>
      <protection hidden="1"/>
    </xf>
    <xf numFmtId="164" fontId="121" fillId="5" borderId="52" xfId="0" applyNumberFormat="1" applyFont="1" applyFill="1" applyBorder="1" applyAlignment="1" applyProtection="1">
      <alignment horizontal="justify" vertical="distributed" wrapText="1"/>
      <protection hidden="1"/>
    </xf>
    <xf numFmtId="164" fontId="121" fillId="5" borderId="24" xfId="0" applyNumberFormat="1" applyFont="1" applyFill="1" applyBorder="1" applyAlignment="1" applyProtection="1">
      <alignment horizontal="justify" vertical="distributed" wrapText="1"/>
      <protection hidden="1"/>
    </xf>
    <xf numFmtId="164" fontId="119" fillId="9" borderId="23" xfId="0" applyNumberFormat="1" applyFont="1" applyFill="1" applyBorder="1" applyAlignment="1" applyProtection="1">
      <alignment horizontal="justify" vertical="center" wrapText="1"/>
      <protection hidden="1"/>
    </xf>
    <xf numFmtId="164" fontId="119" fillId="9" borderId="24" xfId="0" applyNumberFormat="1" applyFont="1" applyFill="1" applyBorder="1" applyAlignment="1" applyProtection="1">
      <alignment horizontal="justify" vertical="center" wrapText="1"/>
      <protection hidden="1"/>
    </xf>
    <xf numFmtId="164" fontId="119" fillId="9" borderId="80" xfId="0" applyNumberFormat="1" applyFont="1" applyFill="1" applyBorder="1" applyAlignment="1" applyProtection="1">
      <alignment horizontal="justify" vertical="center"/>
      <protection hidden="1"/>
    </xf>
    <xf numFmtId="0" fontId="120" fillId="0" borderId="52" xfId="0" applyFont="1" applyBorder="1" applyAlignment="1">
      <alignment horizontal="justify" vertical="center"/>
    </xf>
    <xf numFmtId="0" fontId="120" fillId="0" borderId="24" xfId="0" applyFont="1" applyBorder="1" applyAlignment="1">
      <alignment horizontal="justify" vertical="center"/>
    </xf>
    <xf numFmtId="164" fontId="121" fillId="5" borderId="22" xfId="0" applyNumberFormat="1" applyFont="1" applyFill="1" applyBorder="1" applyAlignment="1" applyProtection="1">
      <alignment horizontal="justify" vertical="distributed" wrapText="1"/>
      <protection hidden="1"/>
    </xf>
    <xf numFmtId="0" fontId="120" fillId="0" borderId="22" xfId="0" applyFont="1" applyBorder="1" applyAlignment="1">
      <alignment horizontal="justify" vertical="distributed" wrapText="1"/>
    </xf>
    <xf numFmtId="0" fontId="122" fillId="0" borderId="22" xfId="0" applyFont="1" applyBorder="1" applyAlignment="1">
      <alignment horizontal="justify" vertical="distributed" wrapText="1"/>
    </xf>
    <xf numFmtId="164" fontId="121" fillId="5" borderId="14" xfId="0" applyNumberFormat="1" applyFont="1" applyFill="1" applyBorder="1" applyAlignment="1" applyProtection="1">
      <alignment horizontal="justify" vertical="center" wrapText="1"/>
      <protection hidden="1"/>
    </xf>
    <xf numFmtId="164" fontId="121" fillId="5" borderId="4" xfId="0" applyNumberFormat="1" applyFont="1" applyFill="1" applyBorder="1" applyAlignment="1" applyProtection="1">
      <alignment horizontal="justify" vertical="center" wrapText="1"/>
      <protection hidden="1"/>
    </xf>
    <xf numFmtId="0" fontId="0" fillId="0" borderId="4" xfId="0" applyBorder="1" applyAlignment="1">
      <alignment horizontal="justify" vertical="center" wrapText="1"/>
    </xf>
    <xf numFmtId="0" fontId="0" fillId="0" borderId="15" xfId="0" applyBorder="1" applyAlignment="1">
      <alignment horizontal="justify" vertical="center" wrapText="1"/>
    </xf>
    <xf numFmtId="164" fontId="134" fillId="5" borderId="14" xfId="0" applyNumberFormat="1" applyFont="1" applyFill="1" applyBorder="1" applyAlignment="1" applyProtection="1">
      <alignment horizontal="justify" vertical="center" wrapText="1"/>
      <protection hidden="1"/>
    </xf>
    <xf numFmtId="164" fontId="134" fillId="5" borderId="4" xfId="0" applyNumberFormat="1" applyFont="1" applyFill="1" applyBorder="1" applyAlignment="1" applyProtection="1">
      <alignment horizontal="justify" vertical="center" wrapText="1"/>
      <protection hidden="1"/>
    </xf>
    <xf numFmtId="0" fontId="133" fillId="0" borderId="4" xfId="0" applyFont="1" applyBorder="1" applyAlignment="1">
      <alignment horizontal="justify" vertical="center" wrapText="1"/>
    </xf>
    <xf numFmtId="0" fontId="133" fillId="0" borderId="15" xfId="0" applyFont="1" applyBorder="1" applyAlignment="1">
      <alignment horizontal="justify" vertical="center" wrapText="1"/>
    </xf>
    <xf numFmtId="164" fontId="53" fillId="5" borderId="33" xfId="0" applyNumberFormat="1" applyFont="1" applyFill="1" applyBorder="1" applyAlignment="1" applyProtection="1">
      <alignment horizontal="center" vertical="center" wrapText="1"/>
      <protection hidden="1"/>
    </xf>
    <xf numFmtId="164" fontId="53" fillId="5" borderId="6" xfId="0" applyNumberFormat="1" applyFont="1" applyFill="1" applyBorder="1" applyAlignment="1" applyProtection="1">
      <alignment horizontal="center" vertical="center" wrapText="1"/>
      <protection hidden="1"/>
    </xf>
    <xf numFmtId="164" fontId="53" fillId="5" borderId="53" xfId="0" applyNumberFormat="1" applyFont="1" applyFill="1" applyBorder="1" applyAlignment="1" applyProtection="1">
      <alignment horizontal="center" vertical="center" wrapText="1"/>
      <protection hidden="1"/>
    </xf>
    <xf numFmtId="164" fontId="121" fillId="5" borderId="45" xfId="0" applyNumberFormat="1" applyFont="1" applyFill="1" applyBorder="1" applyAlignment="1" applyProtection="1">
      <alignment horizontal="justify" vertical="distributed" wrapText="1"/>
      <protection hidden="1"/>
    </xf>
    <xf numFmtId="0" fontId="120" fillId="0" borderId="45" xfId="0" applyFont="1" applyBorder="1" applyAlignment="1">
      <alignment horizontal="justify" vertical="distributed" wrapText="1"/>
    </xf>
    <xf numFmtId="164" fontId="119" fillId="9" borderId="16" xfId="0" applyNumberFormat="1" applyFont="1" applyFill="1" applyBorder="1" applyAlignment="1" applyProtection="1">
      <alignment horizontal="justify" vertical="center"/>
      <protection hidden="1"/>
    </xf>
    <xf numFmtId="164" fontId="119" fillId="9" borderId="18" xfId="0" applyNumberFormat="1" applyFont="1" applyFill="1" applyBorder="1" applyAlignment="1" applyProtection="1">
      <alignment horizontal="justify" vertical="center"/>
      <protection hidden="1"/>
    </xf>
    <xf numFmtId="164" fontId="53" fillId="9" borderId="33" xfId="0" applyNumberFormat="1" applyFont="1" applyFill="1" applyBorder="1" applyAlignment="1" applyProtection="1">
      <alignment horizontal="center" vertical="center"/>
      <protection hidden="1"/>
    </xf>
    <xf numFmtId="164" fontId="53" fillId="9" borderId="53" xfId="0" applyNumberFormat="1" applyFont="1" applyFill="1" applyBorder="1" applyAlignment="1" applyProtection="1">
      <alignment horizontal="center" vertical="center"/>
      <protection hidden="1"/>
    </xf>
    <xf numFmtId="164" fontId="53" fillId="9" borderId="117" xfId="0" applyNumberFormat="1" applyFont="1" applyFill="1" applyBorder="1" applyAlignment="1" applyProtection="1">
      <alignment horizontal="center" vertical="center" wrapText="1"/>
      <protection hidden="1"/>
    </xf>
    <xf numFmtId="164" fontId="53" fillId="9" borderId="6" xfId="0" applyNumberFormat="1" applyFont="1" applyFill="1" applyBorder="1" applyAlignment="1" applyProtection="1">
      <alignment horizontal="center" vertical="center" wrapText="1"/>
      <protection hidden="1"/>
    </xf>
    <xf numFmtId="164" fontId="53" fillId="9" borderId="53" xfId="0" applyNumberFormat="1" applyFont="1" applyFill="1" applyBorder="1" applyAlignment="1" applyProtection="1">
      <alignment horizontal="center" vertical="center" wrapText="1"/>
      <protection hidden="1"/>
    </xf>
    <xf numFmtId="164" fontId="119" fillId="9" borderId="23" xfId="0" applyNumberFormat="1" applyFont="1" applyFill="1" applyBorder="1" applyAlignment="1" applyProtection="1">
      <alignment horizontal="justify" vertical="center"/>
      <protection hidden="1"/>
    </xf>
    <xf numFmtId="164" fontId="119" fillId="9" borderId="24" xfId="0" applyNumberFormat="1" applyFont="1" applyFill="1" applyBorder="1" applyAlignment="1" applyProtection="1">
      <alignment horizontal="justify" vertical="center"/>
      <protection hidden="1"/>
    </xf>
    <xf numFmtId="164" fontId="121" fillId="5" borderId="23" xfId="0" applyNumberFormat="1" applyFont="1" applyFill="1" applyBorder="1" applyAlignment="1" applyProtection="1">
      <alignment horizontal="justify" vertical="justify" wrapText="1"/>
      <protection hidden="1"/>
    </xf>
    <xf numFmtId="164" fontId="121" fillId="5" borderId="52" xfId="0" applyNumberFormat="1" applyFont="1" applyFill="1" applyBorder="1" applyAlignment="1" applyProtection="1">
      <alignment horizontal="justify" vertical="justify" wrapText="1"/>
      <protection hidden="1"/>
    </xf>
    <xf numFmtId="0" fontId="120" fillId="0" borderId="24" xfId="0" applyFont="1" applyBorder="1" applyAlignment="1">
      <alignment horizontal="justify" vertical="justify" wrapText="1"/>
    </xf>
    <xf numFmtId="0" fontId="120" fillId="0" borderId="24" xfId="0" applyFont="1" applyBorder="1" applyAlignment="1">
      <alignment horizontal="justify" vertical="center" wrapText="1"/>
    </xf>
    <xf numFmtId="164" fontId="53" fillId="9" borderId="80" xfId="0" applyNumberFormat="1" applyFont="1" applyFill="1" applyBorder="1" applyAlignment="1" applyProtection="1">
      <alignment horizontal="justify" vertical="distributed"/>
      <protection hidden="1"/>
    </xf>
    <xf numFmtId="164" fontId="53" fillId="9" borderId="52" xfId="0" applyNumberFormat="1" applyFont="1" applyFill="1" applyBorder="1" applyAlignment="1" applyProtection="1">
      <alignment horizontal="justify" vertical="distributed"/>
      <protection hidden="1"/>
    </xf>
    <xf numFmtId="164" fontId="53" fillId="9" borderId="24" xfId="0" applyNumberFormat="1" applyFont="1" applyFill="1" applyBorder="1" applyAlignment="1" applyProtection="1">
      <alignment horizontal="justify" vertical="distributed"/>
      <protection hidden="1"/>
    </xf>
    <xf numFmtId="164" fontId="135" fillId="13" borderId="17" xfId="0" applyNumberFormat="1" applyFont="1" applyFill="1" applyBorder="1" applyAlignment="1" applyProtection="1">
      <alignment horizontal="right"/>
      <protection hidden="1"/>
    </xf>
    <xf numFmtId="164" fontId="87" fillId="9" borderId="23" xfId="0" applyNumberFormat="1" applyFont="1" applyFill="1" applyBorder="1" applyAlignment="1" applyProtection="1">
      <alignment horizontal="center"/>
      <protection hidden="1"/>
    </xf>
    <xf numFmtId="164" fontId="87" fillId="9" borderId="52" xfId="0" applyNumberFormat="1" applyFont="1" applyFill="1" applyBorder="1" applyAlignment="1" applyProtection="1">
      <alignment horizontal="center"/>
      <protection hidden="1"/>
    </xf>
    <xf numFmtId="164" fontId="87" fillId="9" borderId="24" xfId="0" applyNumberFormat="1" applyFont="1" applyFill="1" applyBorder="1" applyAlignment="1" applyProtection="1">
      <alignment horizontal="center"/>
      <protection hidden="1"/>
    </xf>
    <xf numFmtId="164" fontId="72" fillId="8" borderId="110" xfId="0" applyNumberFormat="1" applyFont="1" applyFill="1" applyBorder="1" applyAlignment="1" applyProtection="1">
      <alignment horizontal="center"/>
      <protection hidden="1"/>
    </xf>
    <xf numFmtId="164" fontId="72" fillId="8" borderId="111" xfId="0" applyNumberFormat="1" applyFont="1" applyFill="1" applyBorder="1" applyAlignment="1" applyProtection="1">
      <alignment horizontal="center"/>
      <protection hidden="1"/>
    </xf>
    <xf numFmtId="164" fontId="72" fillId="8" borderId="112" xfId="0" applyNumberFormat="1" applyFont="1" applyFill="1" applyBorder="1" applyAlignment="1" applyProtection="1">
      <alignment horizontal="center"/>
      <protection hidden="1"/>
    </xf>
    <xf numFmtId="164" fontId="61" fillId="13" borderId="0" xfId="0" applyNumberFormat="1" applyFont="1" applyFill="1" applyBorder="1" applyAlignment="1" applyProtection="1">
      <alignment horizontal="justify" vertical="center"/>
      <protection hidden="1"/>
    </xf>
    <xf numFmtId="164" fontId="92" fillId="13" borderId="0" xfId="0" applyNumberFormat="1" applyFont="1" applyFill="1" applyBorder="1" applyAlignment="1" applyProtection="1">
      <alignment horizontal="center"/>
      <protection hidden="1"/>
    </xf>
    <xf numFmtId="0" fontId="0" fillId="0" borderId="52" xfId="0" applyBorder="1" applyAlignment="1">
      <alignment horizontal="justify" vertical="distributed" wrapText="1"/>
    </xf>
    <xf numFmtId="0" fontId="0" fillId="0" borderId="24" xfId="0" applyBorder="1" applyAlignment="1">
      <alignment horizontal="justify" vertical="distributed" wrapText="1"/>
    </xf>
    <xf numFmtId="0" fontId="122" fillId="0" borderId="24" xfId="0" applyFont="1" applyBorder="1" applyAlignment="1">
      <alignment horizontal="justify" vertical="distributed" wrapText="1"/>
    </xf>
    <xf numFmtId="164" fontId="119" fillId="9" borderId="86" xfId="0" applyNumberFormat="1" applyFont="1" applyFill="1" applyBorder="1" applyAlignment="1" applyProtection="1">
      <alignment horizontal="justify" vertical="center"/>
      <protection hidden="1"/>
    </xf>
    <xf numFmtId="0" fontId="120" fillId="0" borderId="17" xfId="0" applyFont="1" applyBorder="1" applyAlignment="1">
      <alignment horizontal="justify" vertical="center"/>
    </xf>
    <xf numFmtId="0" fontId="120" fillId="0" borderId="18" xfId="0" applyFont="1" applyBorder="1" applyAlignment="1">
      <alignment horizontal="justify" vertical="center"/>
    </xf>
    <xf numFmtId="164" fontId="119" fillId="9" borderId="22" xfId="0" applyNumberFormat="1" applyFont="1" applyFill="1" applyBorder="1" applyAlignment="1" applyProtection="1">
      <alignment horizontal="justify" vertical="center"/>
      <protection hidden="1"/>
    </xf>
    <xf numFmtId="0" fontId="120" fillId="0" borderId="22" xfId="0" applyFont="1" applyBorder="1" applyAlignment="1">
      <alignment horizontal="justify" vertical="center"/>
    </xf>
    <xf numFmtId="0" fontId="15" fillId="5" borderId="26" xfId="0" applyFont="1" applyFill="1" applyBorder="1" applyAlignment="1" applyProtection="1">
      <alignment horizontal="center"/>
      <protection hidden="1"/>
    </xf>
    <xf numFmtId="0" fontId="15" fillId="5" borderId="13" xfId="0" applyFont="1" applyFill="1" applyBorder="1" applyAlignment="1" applyProtection="1">
      <alignment horizontal="center"/>
      <protection hidden="1"/>
    </xf>
    <xf numFmtId="0" fontId="15" fillId="5" borderId="27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15" fillId="9" borderId="7" xfId="0" applyFont="1" applyFill="1" applyBorder="1" applyAlignment="1" applyProtection="1">
      <alignment horizontal="center"/>
      <protection hidden="1"/>
    </xf>
    <xf numFmtId="0" fontId="15" fillId="9" borderId="0" xfId="0" applyFont="1" applyFill="1" applyBorder="1" applyAlignment="1" applyProtection="1">
      <alignment horizontal="center"/>
      <protection hidden="1"/>
    </xf>
    <xf numFmtId="0" fontId="15" fillId="5" borderId="0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5" fillId="7" borderId="0" xfId="0" applyFont="1" applyFill="1" applyBorder="1" applyAlignment="1" applyProtection="1">
      <alignment horizontal="center"/>
      <protection hidden="1"/>
    </xf>
    <xf numFmtId="0" fontId="3" fillId="0" borderId="92" xfId="0" applyFont="1" applyBorder="1" applyAlignment="1" applyProtection="1">
      <alignment horizontal="justify" vertical="center"/>
      <protection hidden="1"/>
    </xf>
    <xf numFmtId="0" fontId="0" fillId="0" borderId="68" xfId="0" applyBorder="1" applyAlignment="1">
      <alignment horizontal="justify" vertical="center"/>
    </xf>
    <xf numFmtId="164" fontId="0" fillId="0" borderId="22" xfId="0" applyNumberFormat="1" applyBorder="1" applyAlignment="1" applyProtection="1">
      <alignment horizontal="center"/>
      <protection hidden="1"/>
    </xf>
    <xf numFmtId="164" fontId="0" fillId="0" borderId="24" xfId="0" applyNumberFormat="1" applyBorder="1" applyAlignment="1" applyProtection="1">
      <alignment horizontal="center"/>
      <protection hidden="1"/>
    </xf>
    <xf numFmtId="0" fontId="15" fillId="5" borderId="12" xfId="0" applyFont="1" applyFill="1" applyBorder="1" applyAlignment="1" applyProtection="1">
      <alignment horizontal="center"/>
      <protection hidden="1"/>
    </xf>
    <xf numFmtId="164" fontId="68" fillId="0" borderId="0" xfId="0" applyNumberFormat="1" applyFont="1" applyAlignment="1" applyProtection="1">
      <alignment horizontal="justify" vertical="center"/>
      <protection hidden="1"/>
    </xf>
    <xf numFmtId="0" fontId="23" fillId="0" borderId="0" xfId="0" applyFont="1" applyAlignment="1">
      <alignment horizontal="justify" vertical="center"/>
    </xf>
    <xf numFmtId="0" fontId="15" fillId="5" borderId="0" xfId="0" applyFont="1" applyFill="1" applyAlignment="1" applyProtection="1">
      <alignment horizontal="center"/>
      <protection hidden="1"/>
    </xf>
    <xf numFmtId="0" fontId="3" fillId="0" borderId="29" xfId="0" applyFont="1" applyFill="1" applyBorder="1" applyAlignment="1" applyProtection="1">
      <alignment horizontal="justify" vertical="center"/>
      <protection hidden="1"/>
    </xf>
    <xf numFmtId="0" fontId="0" fillId="0" borderId="45" xfId="0" applyBorder="1" applyAlignment="1">
      <alignment horizontal="justify" vertical="center"/>
    </xf>
    <xf numFmtId="164" fontId="5" fillId="0" borderId="23" xfId="0" applyNumberFormat="1" applyFont="1" applyFill="1" applyBorder="1" applyAlignment="1" applyProtection="1">
      <alignment horizontal="center"/>
      <protection hidden="1"/>
    </xf>
    <xf numFmtId="164" fontId="5" fillId="0" borderId="52" xfId="0" applyNumberFormat="1" applyFont="1" applyFill="1" applyBorder="1" applyAlignment="1" applyProtection="1">
      <alignment horizontal="center"/>
      <protection hidden="1"/>
    </xf>
    <xf numFmtId="164" fontId="5" fillId="0" borderId="24" xfId="0" applyNumberFormat="1" applyFont="1" applyFill="1" applyBorder="1" applyAlignment="1" applyProtection="1">
      <alignment horizontal="center"/>
      <protection hidden="1"/>
    </xf>
    <xf numFmtId="0" fontId="15" fillId="0" borderId="54" xfId="0" applyFont="1" applyFill="1" applyBorder="1" applyAlignment="1" applyProtection="1">
      <alignment horizontal="justify" vertical="center"/>
      <protection hidden="1"/>
    </xf>
    <xf numFmtId="0" fontId="0" fillId="0" borderId="44" xfId="0" applyBorder="1" applyAlignment="1">
      <alignment horizontal="justify" vertical="center"/>
    </xf>
    <xf numFmtId="164" fontId="5" fillId="0" borderId="118" xfId="0" applyNumberFormat="1" applyFont="1" applyFill="1" applyBorder="1" applyAlignment="1" applyProtection="1">
      <alignment horizontal="center"/>
      <protection hidden="1"/>
    </xf>
    <xf numFmtId="164" fontId="5" fillId="0" borderId="119" xfId="0" applyNumberFormat="1" applyFont="1" applyFill="1" applyBorder="1" applyAlignment="1" applyProtection="1">
      <alignment horizontal="center"/>
      <protection hidden="1"/>
    </xf>
    <xf numFmtId="164" fontId="5" fillId="0" borderId="120" xfId="0" applyNumberFormat="1" applyFont="1" applyFill="1" applyBorder="1" applyAlignment="1" applyProtection="1">
      <alignment horizontal="center"/>
      <protection hidden="1"/>
    </xf>
    <xf numFmtId="0" fontId="30" fillId="0" borderId="23" xfId="0" applyFont="1" applyBorder="1" applyAlignment="1" applyProtection="1">
      <alignment horizontal="center" vertical="center"/>
      <protection hidden="1"/>
    </xf>
    <xf numFmtId="0" fontId="30" fillId="0" borderId="52" xfId="0" applyFont="1" applyBorder="1" applyAlignment="1" applyProtection="1">
      <alignment horizontal="center" vertical="center"/>
      <protection hidden="1"/>
    </xf>
    <xf numFmtId="0" fontId="30" fillId="0" borderId="24" xfId="0" applyFont="1" applyBorder="1" applyAlignment="1" applyProtection="1">
      <alignment horizontal="center" vertical="center"/>
      <protection hidden="1"/>
    </xf>
    <xf numFmtId="0" fontId="45" fillId="10" borderId="4" xfId="0" applyFont="1" applyFill="1" applyBorder="1" applyAlignment="1" applyProtection="1">
      <protection hidden="1"/>
    </xf>
    <xf numFmtId="0" fontId="49" fillId="10" borderId="15" xfId="0" applyFont="1" applyFill="1" applyBorder="1" applyAlignment="1" applyProtection="1">
      <protection hidden="1"/>
    </xf>
    <xf numFmtId="0" fontId="54" fillId="0" borderId="6" xfId="0" applyFont="1" applyBorder="1" applyAlignment="1" applyProtection="1">
      <alignment horizontal="center"/>
      <protection hidden="1"/>
    </xf>
    <xf numFmtId="0" fontId="47" fillId="0" borderId="23" xfId="0" applyFont="1" applyBorder="1" applyAlignment="1" applyProtection="1">
      <alignment horizontal="center"/>
      <protection hidden="1"/>
    </xf>
    <xf numFmtId="0" fontId="47" fillId="0" borderId="52" xfId="0" applyFont="1" applyBorder="1" applyAlignment="1" applyProtection="1">
      <alignment horizontal="center"/>
      <protection hidden="1"/>
    </xf>
    <xf numFmtId="0" fontId="47" fillId="0" borderId="24" xfId="0" applyFont="1" applyBorder="1" applyAlignment="1" applyProtection="1">
      <alignment horizontal="center"/>
      <protection hidden="1"/>
    </xf>
    <xf numFmtId="0" fontId="30" fillId="9" borderId="4" xfId="0" applyFont="1" applyFill="1" applyBorder="1" applyAlignment="1" applyProtection="1">
      <alignment horizontal="center"/>
      <protection hidden="1"/>
    </xf>
    <xf numFmtId="0" fontId="30" fillId="9" borderId="15" xfId="0" applyFont="1" applyFill="1" applyBorder="1" applyAlignment="1" applyProtection="1">
      <alignment horizontal="center"/>
      <protection hidden="1"/>
    </xf>
    <xf numFmtId="0" fontId="3" fillId="0" borderId="29" xfId="0" applyFont="1" applyBorder="1" applyAlignment="1" applyProtection="1">
      <alignment horizontal="justify" vertical="center"/>
      <protection hidden="1"/>
    </xf>
    <xf numFmtId="164" fontId="3" fillId="0" borderId="23" xfId="0" applyNumberFormat="1" applyFont="1" applyBorder="1" applyAlignment="1" applyProtection="1">
      <alignment horizontal="center"/>
      <protection hidden="1"/>
    </xf>
    <xf numFmtId="164" fontId="3" fillId="0" borderId="24" xfId="0" applyNumberFormat="1" applyFont="1" applyBorder="1" applyAlignment="1" applyProtection="1">
      <alignment horizontal="center"/>
      <protection hidden="1"/>
    </xf>
    <xf numFmtId="0" fontId="67" fillId="0" borderId="3" xfId="0" applyFont="1" applyBorder="1" applyAlignment="1" applyProtection="1">
      <alignment horizontal="center"/>
      <protection hidden="1"/>
    </xf>
    <xf numFmtId="0" fontId="67" fillId="0" borderId="0" xfId="0" applyFont="1" applyBorder="1" applyAlignment="1" applyProtection="1">
      <alignment horizontal="center"/>
      <protection hidden="1"/>
    </xf>
    <xf numFmtId="14" fontId="30" fillId="10" borderId="0" xfId="0" applyNumberFormat="1" applyFont="1" applyFill="1" applyAlignment="1" applyProtection="1">
      <alignment horizontal="center"/>
      <protection hidden="1"/>
    </xf>
    <xf numFmtId="14" fontId="30" fillId="10" borderId="1" xfId="0" applyNumberFormat="1" applyFont="1" applyFill="1" applyBorder="1" applyAlignment="1" applyProtection="1">
      <alignment horizontal="center"/>
      <protection hidden="1"/>
    </xf>
    <xf numFmtId="174" fontId="46" fillId="0" borderId="0" xfId="0" applyNumberFormat="1" applyFont="1" applyBorder="1" applyAlignment="1" applyProtection="1">
      <alignment horizontal="center"/>
      <protection hidden="1"/>
    </xf>
    <xf numFmtId="0" fontId="30" fillId="5" borderId="5" xfId="0" applyFont="1" applyFill="1" applyBorder="1" applyAlignment="1" applyProtection="1">
      <alignment horizontal="center"/>
      <protection hidden="1"/>
    </xf>
    <xf numFmtId="0" fontId="30" fillId="5" borderId="6" xfId="0" applyFont="1" applyFill="1" applyBorder="1" applyAlignment="1" applyProtection="1">
      <alignment horizontal="center"/>
      <protection hidden="1"/>
    </xf>
    <xf numFmtId="0" fontId="30" fillId="5" borderId="12" xfId="0" applyFont="1" applyFill="1" applyBorder="1" applyAlignment="1" applyProtection="1">
      <alignment horizontal="center"/>
      <protection hidden="1"/>
    </xf>
    <xf numFmtId="0" fontId="30" fillId="0" borderId="96" xfId="0" applyFont="1" applyBorder="1" applyAlignment="1" applyProtection="1">
      <alignment horizontal="center"/>
      <protection hidden="1"/>
    </xf>
    <xf numFmtId="0" fontId="30" fillId="0" borderId="0" xfId="0" applyFont="1" applyBorder="1" applyAlignment="1" applyProtection="1">
      <alignment horizontal="center"/>
      <protection hidden="1"/>
    </xf>
    <xf numFmtId="0" fontId="30" fillId="0" borderId="15" xfId="0" applyFont="1" applyBorder="1" applyAlignment="1" applyProtection="1">
      <alignment horizontal="center"/>
      <protection hidden="1"/>
    </xf>
    <xf numFmtId="164" fontId="3" fillId="0" borderId="118" xfId="0" applyNumberFormat="1" applyFont="1" applyBorder="1" applyAlignment="1" applyProtection="1">
      <alignment horizontal="center"/>
      <protection hidden="1"/>
    </xf>
    <xf numFmtId="164" fontId="3" fillId="0" borderId="120" xfId="0" applyNumberFormat="1" applyFont="1" applyBorder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5" fillId="0" borderId="0" xfId="0" applyFont="1" applyAlignment="1" applyProtection="1">
      <alignment horizontal="center"/>
      <protection hidden="1"/>
    </xf>
    <xf numFmtId="0" fontId="20" fillId="0" borderId="52" xfId="0" applyFont="1" applyBorder="1" applyAlignment="1" applyProtection="1">
      <alignment horizontal="left"/>
      <protection hidden="1"/>
    </xf>
    <xf numFmtId="166" fontId="30" fillId="0" borderId="52" xfId="0" applyNumberFormat="1" applyFont="1" applyBorder="1" applyAlignment="1" applyProtection="1">
      <protection hidden="1"/>
    </xf>
    <xf numFmtId="166" fontId="51" fillId="0" borderId="52" xfId="0" applyNumberFormat="1" applyFont="1" applyBorder="1" applyAlignment="1" applyProtection="1">
      <protection hidden="1"/>
    </xf>
    <xf numFmtId="166" fontId="51" fillId="0" borderId="24" xfId="0" applyNumberFormat="1" applyFont="1" applyBorder="1" applyAlignment="1" applyProtection="1">
      <protection hidden="1"/>
    </xf>
    <xf numFmtId="0" fontId="56" fillId="0" borderId="5" xfId="0" applyFont="1" applyBorder="1" applyAlignment="1" applyProtection="1">
      <alignment horizontal="center"/>
      <protection hidden="1"/>
    </xf>
    <xf numFmtId="0" fontId="56" fillId="0" borderId="6" xfId="0" applyFont="1" applyBorder="1" applyAlignment="1" applyProtection="1">
      <alignment horizontal="center"/>
      <protection hidden="1"/>
    </xf>
    <xf numFmtId="0" fontId="30" fillId="0" borderId="23" xfId="0" applyFont="1" applyBorder="1" applyAlignment="1" applyProtection="1">
      <alignment horizontal="center"/>
      <protection hidden="1"/>
    </xf>
    <xf numFmtId="0" fontId="30" fillId="0" borderId="52" xfId="0" applyFont="1" applyBorder="1" applyAlignment="1" applyProtection="1">
      <alignment horizontal="center"/>
      <protection hidden="1"/>
    </xf>
    <xf numFmtId="0" fontId="30" fillId="0" borderId="24" xfId="0" applyFont="1" applyBorder="1" applyAlignment="1" applyProtection="1">
      <alignment horizontal="center"/>
      <protection hidden="1"/>
    </xf>
    <xf numFmtId="14" fontId="30" fillId="0" borderId="23" xfId="0" applyNumberFormat="1" applyFont="1" applyBorder="1" applyAlignment="1" applyProtection="1">
      <alignment horizontal="center"/>
      <protection hidden="1"/>
    </xf>
    <xf numFmtId="14" fontId="30" fillId="0" borderId="24" xfId="0" applyNumberFormat="1" applyFont="1" applyBorder="1" applyAlignment="1" applyProtection="1">
      <alignment horizontal="center"/>
      <protection hidden="1"/>
    </xf>
    <xf numFmtId="0" fontId="49" fillId="10" borderId="4" xfId="0" applyFont="1" applyFill="1" applyBorder="1" applyAlignment="1" applyProtection="1">
      <protection hidden="1"/>
    </xf>
    <xf numFmtId="167" fontId="20" fillId="10" borderId="0" xfId="0" applyNumberFormat="1" applyFont="1" applyFill="1" applyBorder="1" applyAlignment="1" applyProtection="1">
      <alignment horizontal="center"/>
      <protection hidden="1"/>
    </xf>
    <xf numFmtId="167" fontId="20" fillId="10" borderId="1" xfId="0" applyNumberFormat="1" applyFont="1" applyFill="1" applyBorder="1" applyAlignment="1" applyProtection="1">
      <alignment horizontal="center"/>
      <protection hidden="1"/>
    </xf>
    <xf numFmtId="167" fontId="20" fillId="0" borderId="23" xfId="0" applyNumberFormat="1" applyFont="1" applyBorder="1" applyAlignment="1" applyProtection="1">
      <alignment horizontal="justify" vertical="center"/>
      <protection hidden="1"/>
    </xf>
    <xf numFmtId="167" fontId="20" fillId="0" borderId="52" xfId="0" applyNumberFormat="1" applyFont="1" applyBorder="1" applyAlignment="1" applyProtection="1">
      <alignment horizontal="justify" vertical="center"/>
      <protection hidden="1"/>
    </xf>
    <xf numFmtId="167" fontId="20" fillId="0" borderId="24" xfId="0" applyNumberFormat="1" applyFont="1" applyBorder="1" applyAlignment="1" applyProtection="1">
      <alignment horizontal="justify" vertical="center"/>
      <protection hidden="1"/>
    </xf>
    <xf numFmtId="0" fontId="20" fillId="0" borderId="23" xfId="0" applyFont="1" applyBorder="1" applyAlignment="1" applyProtection="1">
      <alignment horizontal="justify" vertical="center"/>
      <protection hidden="1"/>
    </xf>
    <xf numFmtId="0" fontId="20" fillId="0" borderId="52" xfId="0" applyFont="1" applyBorder="1" applyAlignment="1" applyProtection="1">
      <alignment horizontal="justify" vertical="center"/>
      <protection hidden="1"/>
    </xf>
    <xf numFmtId="0" fontId="20" fillId="0" borderId="24" xfId="0" applyFont="1" applyBorder="1" applyAlignment="1" applyProtection="1">
      <alignment horizontal="justify" vertical="center"/>
      <protection hidden="1"/>
    </xf>
    <xf numFmtId="0" fontId="20" fillId="10" borderId="0" xfId="0" applyFont="1" applyFill="1" applyBorder="1" applyAlignment="1" applyProtection="1">
      <alignment horizontal="justify" vertical="center"/>
      <protection hidden="1"/>
    </xf>
    <xf numFmtId="0" fontId="28" fillId="0" borderId="17" xfId="0" applyFont="1" applyBorder="1" applyAlignment="1" applyProtection="1">
      <alignment horizontal="center"/>
      <protection locked="0"/>
    </xf>
    <xf numFmtId="0" fontId="67" fillId="0" borderId="1" xfId="0" applyFont="1" applyBorder="1" applyAlignment="1" applyProtection="1">
      <alignment horizontal="center"/>
      <protection hidden="1"/>
    </xf>
    <xf numFmtId="0" fontId="70" fillId="0" borderId="33" xfId="0" applyFont="1" applyBorder="1" applyAlignment="1" applyProtection="1">
      <alignment horizontal="center"/>
      <protection hidden="1"/>
    </xf>
    <xf numFmtId="0" fontId="70" fillId="0" borderId="53" xfId="0" applyFont="1" applyBorder="1" applyAlignment="1" applyProtection="1">
      <alignment horizontal="center"/>
      <protection hidden="1"/>
    </xf>
    <xf numFmtId="0" fontId="28" fillId="0" borderId="33" xfId="0" applyFont="1" applyBorder="1" applyAlignment="1" applyProtection="1">
      <alignment horizontal="center"/>
      <protection hidden="1"/>
    </xf>
    <xf numFmtId="0" fontId="28" fillId="0" borderId="6" xfId="0" applyFont="1" applyBorder="1" applyAlignment="1" applyProtection="1">
      <alignment horizontal="center"/>
      <protection hidden="1"/>
    </xf>
    <xf numFmtId="0" fontId="28" fillId="0" borderId="53" xfId="0" applyFont="1" applyBorder="1" applyAlignment="1" applyProtection="1">
      <alignment horizontal="center"/>
      <protection hidden="1"/>
    </xf>
    <xf numFmtId="14" fontId="97" fillId="0" borderId="0" xfId="0" applyNumberFormat="1" applyFont="1" applyFill="1" applyBorder="1" applyAlignment="1" applyProtection="1">
      <alignment horizontal="justify" vertical="center"/>
      <protection hidden="1"/>
    </xf>
    <xf numFmtId="0" fontId="96" fillId="0" borderId="0" xfId="0" applyFont="1" applyAlignment="1" applyProtection="1">
      <alignment horizontal="justify" vertical="center"/>
      <protection hidden="1"/>
    </xf>
    <xf numFmtId="0" fontId="97" fillId="0" borderId="0" xfId="0" applyFont="1" applyFill="1" applyBorder="1" applyAlignment="1" applyProtection="1">
      <alignment horizontal="justify" vertical="center"/>
      <protection hidden="1"/>
    </xf>
    <xf numFmtId="0" fontId="0" fillId="0" borderId="0" xfId="0" applyAlignment="1" applyProtection="1">
      <alignment horizontal="justify" vertical="center"/>
      <protection hidden="1"/>
    </xf>
    <xf numFmtId="0" fontId="53" fillId="0" borderId="0" xfId="0" applyFont="1" applyFill="1" applyBorder="1" applyAlignment="1" applyProtection="1">
      <alignment horizontal="justify" vertical="center"/>
      <protection hidden="1"/>
    </xf>
    <xf numFmtId="0" fontId="0" fillId="0" borderId="0" xfId="0" applyAlignment="1" applyProtection="1">
      <protection hidden="1"/>
    </xf>
    <xf numFmtId="169" fontId="53" fillId="0" borderId="0" xfId="0" applyNumberFormat="1" applyFont="1" applyFill="1" applyBorder="1" applyAlignment="1" applyProtection="1">
      <alignment horizontal="justify" vertical="center"/>
      <protection hidden="1"/>
    </xf>
    <xf numFmtId="0" fontId="79" fillId="0" borderId="0" xfId="0" applyFont="1" applyAlignment="1" applyProtection="1">
      <alignment horizontal="justify" vertical="center" wrapText="1"/>
      <protection hidden="1"/>
    </xf>
    <xf numFmtId="0" fontId="73" fillId="0" borderId="0" xfId="0" applyFont="1" applyAlignment="1" applyProtection="1">
      <alignment horizontal="justify" vertical="center" wrapText="1"/>
      <protection hidden="1"/>
    </xf>
    <xf numFmtId="0" fontId="96" fillId="0" borderId="0" xfId="0" applyFont="1" applyAlignment="1" applyProtection="1">
      <protection hidden="1"/>
    </xf>
    <xf numFmtId="0" fontId="95" fillId="0" borderId="0" xfId="0" applyFont="1" applyAlignment="1" applyProtection="1">
      <alignment horizontal="justify" vertical="center"/>
      <protection hidden="1"/>
    </xf>
    <xf numFmtId="0" fontId="50" fillId="0" borderId="0" xfId="0" applyFont="1" applyAlignment="1" applyProtection="1">
      <alignment horizontal="justify" vertical="center"/>
      <protection hidden="1"/>
    </xf>
    <xf numFmtId="169" fontId="97" fillId="0" borderId="0" xfId="0" applyNumberFormat="1" applyFont="1" applyFill="1" applyBorder="1" applyAlignment="1" applyProtection="1">
      <alignment horizontal="justify" vertical="center"/>
      <protection hidden="1"/>
    </xf>
    <xf numFmtId="0" fontId="97" fillId="0" borderId="0" xfId="0" applyNumberFormat="1" applyFont="1" applyFill="1" applyBorder="1" applyAlignment="1" applyProtection="1">
      <alignment horizontal="justify"/>
      <protection hidden="1"/>
    </xf>
    <xf numFmtId="0" fontId="95" fillId="0" borderId="0" xfId="0" applyNumberFormat="1" applyFont="1" applyFill="1" applyBorder="1" applyAlignment="1" applyProtection="1">
      <alignment horizontal="justify"/>
      <protection hidden="1"/>
    </xf>
    <xf numFmtId="0" fontId="93" fillId="0" borderId="26" xfId="0" applyFont="1" applyFill="1" applyBorder="1" applyAlignment="1" applyProtection="1">
      <alignment horizontal="center" vertical="center"/>
      <protection hidden="1"/>
    </xf>
    <xf numFmtId="0" fontId="93" fillId="0" borderId="13" xfId="0" applyFont="1" applyFill="1" applyBorder="1" applyAlignment="1" applyProtection="1">
      <alignment horizontal="center" vertical="center"/>
      <protection hidden="1"/>
    </xf>
    <xf numFmtId="0" fontId="93" fillId="0" borderId="27" xfId="0" applyFont="1" applyFill="1" applyBorder="1" applyAlignment="1" applyProtection="1">
      <alignment horizontal="center" vertical="center"/>
      <protection hidden="1"/>
    </xf>
    <xf numFmtId="0" fontId="94" fillId="0" borderId="9" xfId="0" applyFont="1" applyFill="1" applyBorder="1" applyAlignment="1" applyProtection="1">
      <alignment horizontal="center" vertical="center"/>
      <protection hidden="1"/>
    </xf>
    <xf numFmtId="0" fontId="94" fillId="0" borderId="10" xfId="0" applyFont="1" applyFill="1" applyBorder="1" applyAlignment="1" applyProtection="1">
      <alignment horizontal="center" vertical="center"/>
      <protection hidden="1"/>
    </xf>
    <xf numFmtId="0" fontId="94" fillId="0" borderId="11" xfId="0" applyFont="1" applyFill="1" applyBorder="1" applyAlignment="1" applyProtection="1">
      <alignment horizontal="center" vertical="center"/>
      <protection hidden="1"/>
    </xf>
    <xf numFmtId="0" fontId="72" fillId="0" borderId="26" xfId="0" applyFont="1" applyFill="1" applyBorder="1" applyAlignment="1" applyProtection="1">
      <alignment horizontal="center" vertical="center"/>
      <protection hidden="1"/>
    </xf>
    <xf numFmtId="0" fontId="72" fillId="0" borderId="13" xfId="0" applyFont="1" applyFill="1" applyBorder="1" applyAlignment="1" applyProtection="1">
      <alignment horizontal="center" vertical="center"/>
      <protection hidden="1"/>
    </xf>
    <xf numFmtId="0" fontId="72" fillId="0" borderId="27" xfId="0" applyFont="1" applyFill="1" applyBorder="1" applyAlignment="1" applyProtection="1">
      <alignment horizontal="center" vertical="center"/>
      <protection hidden="1"/>
    </xf>
    <xf numFmtId="0" fontId="72" fillId="0" borderId="9" xfId="0" applyFont="1" applyBorder="1" applyAlignment="1" applyProtection="1">
      <alignment horizontal="center" vertical="center"/>
      <protection hidden="1"/>
    </xf>
    <xf numFmtId="0" fontId="72" fillId="0" borderId="10" xfId="0" applyFont="1" applyBorder="1" applyAlignment="1" applyProtection="1">
      <alignment horizontal="center" vertical="center"/>
      <protection hidden="1"/>
    </xf>
    <xf numFmtId="0" fontId="72" fillId="0" borderId="11" xfId="0" applyFont="1" applyBorder="1" applyAlignment="1" applyProtection="1">
      <alignment horizontal="center" vertical="center"/>
      <protection hidden="1"/>
    </xf>
    <xf numFmtId="0" fontId="50" fillId="0" borderId="0" xfId="0" applyNumberFormat="1" applyFont="1" applyFill="1" applyBorder="1" applyAlignment="1" applyProtection="1">
      <alignment horizontal="justify" vertical="center"/>
      <protection hidden="1"/>
    </xf>
    <xf numFmtId="0" fontId="53" fillId="0" borderId="0" xfId="0" applyFont="1" applyFill="1" applyBorder="1" applyAlignment="1" applyProtection="1">
      <alignment horizontal="center" vertical="center"/>
      <protection hidden="1"/>
    </xf>
    <xf numFmtId="0" fontId="95" fillId="0" borderId="0" xfId="0" applyFont="1" applyAlignment="1" applyProtection="1">
      <alignment horizontal="justify" vertical="center" wrapText="1"/>
      <protection hidden="1"/>
    </xf>
    <xf numFmtId="0" fontId="97" fillId="0" borderId="0" xfId="0" applyNumberFormat="1" applyFont="1" applyFill="1" applyBorder="1" applyAlignment="1" applyProtection="1">
      <alignment horizontal="justify" vertical="center"/>
      <protection hidden="1"/>
    </xf>
    <xf numFmtId="14" fontId="53" fillId="0" borderId="0" xfId="0" applyNumberFormat="1" applyFont="1" applyFill="1" applyBorder="1" applyAlignment="1" applyProtection="1">
      <alignment horizontal="left"/>
      <protection hidden="1"/>
    </xf>
    <xf numFmtId="169" fontId="53" fillId="0" borderId="0" xfId="0" applyNumberFormat="1" applyFont="1" applyFill="1" applyBorder="1" applyAlignment="1" applyProtection="1">
      <alignment horizontal="left"/>
      <protection hidden="1"/>
    </xf>
    <xf numFmtId="0" fontId="0" fillId="0" borderId="0" xfId="0" applyFill="1" applyAlignment="1" applyProtection="1">
      <protection hidden="1"/>
    </xf>
    <xf numFmtId="0" fontId="79" fillId="0" borderId="0" xfId="0" applyNumberFormat="1" applyFont="1" applyFill="1" applyBorder="1" applyAlignment="1" applyProtection="1">
      <alignment horizontal="left" wrapText="1"/>
      <protection hidden="1"/>
    </xf>
    <xf numFmtId="0" fontId="77" fillId="0" borderId="0" xfId="0" applyNumberFormat="1" applyFont="1" applyFill="1" applyBorder="1" applyAlignment="1" applyProtection="1">
      <alignment horizontal="left" wrapText="1"/>
      <protection hidden="1"/>
    </xf>
    <xf numFmtId="0" fontId="53" fillId="0" borderId="0" xfId="0" applyFont="1" applyFill="1" applyBorder="1" applyAlignment="1" applyProtection="1">
      <alignment horizontal="left"/>
      <protection hidden="1"/>
    </xf>
    <xf numFmtId="0" fontId="79" fillId="0" borderId="0" xfId="0" applyNumberFormat="1" applyFont="1" applyFill="1" applyBorder="1" applyAlignment="1" applyProtection="1">
      <alignment horizontal="justify" vertical="center"/>
      <protection hidden="1"/>
    </xf>
    <xf numFmtId="0" fontId="133" fillId="0" borderId="0" xfId="0" applyFont="1" applyAlignment="1" applyProtection="1">
      <alignment horizontal="justify" vertical="center"/>
      <protection hidden="1"/>
    </xf>
    <xf numFmtId="49" fontId="53" fillId="0" borderId="0" xfId="0" applyNumberFormat="1" applyFont="1" applyFill="1" applyBorder="1" applyAlignment="1" applyProtection="1">
      <alignment horizontal="justify" vertical="center" wrapText="1"/>
      <protection hidden="1"/>
    </xf>
    <xf numFmtId="0" fontId="0" fillId="0" borderId="0" xfId="0" applyFill="1" applyAlignment="1" applyProtection="1">
      <alignment horizontal="justify" vertical="center"/>
      <protection hidden="1"/>
    </xf>
    <xf numFmtId="0" fontId="50" fillId="0" borderId="0" xfId="0" applyFont="1" applyFill="1" applyAlignment="1" applyProtection="1">
      <alignment horizontal="justify" vertical="center"/>
      <protection hidden="1"/>
    </xf>
    <xf numFmtId="49" fontId="53" fillId="0" borderId="0" xfId="0" applyNumberFormat="1" applyFont="1" applyFill="1" applyBorder="1" applyAlignment="1" applyProtection="1">
      <alignment horizontal="left" vertical="center" wrapText="1"/>
      <protection hidden="1"/>
    </xf>
    <xf numFmtId="49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0" fontId="53" fillId="0" borderId="0" xfId="0" applyFont="1" applyFill="1" applyBorder="1" applyAlignment="1" applyProtection="1">
      <alignment vertical="center"/>
      <protection hidden="1"/>
    </xf>
    <xf numFmtId="49" fontId="50" fillId="0" borderId="0" xfId="0" applyNumberFormat="1" applyFont="1" applyFill="1" applyBorder="1" applyAlignment="1" applyProtection="1">
      <alignment horizontal="justify" vertical="center" wrapText="1"/>
      <protection hidden="1"/>
    </xf>
    <xf numFmtId="9" fontId="53" fillId="0" borderId="0" xfId="0" applyNumberFormat="1" applyFont="1" applyFill="1" applyBorder="1" applyAlignment="1" applyProtection="1">
      <alignment horizontal="justify" vertical="center"/>
      <protection hidden="1"/>
    </xf>
    <xf numFmtId="0" fontId="53" fillId="0" borderId="0" xfId="0" applyFont="1" applyFill="1" applyBorder="1" applyAlignment="1" applyProtection="1">
      <protection hidden="1"/>
    </xf>
    <xf numFmtId="0" fontId="53" fillId="0" borderId="0" xfId="0" applyFont="1" applyAlignment="1" applyProtection="1">
      <alignment horizontal="justify" vertical="center"/>
      <protection hidden="1"/>
    </xf>
    <xf numFmtId="0" fontId="79" fillId="0" borderId="0" xfId="0" applyFont="1" applyAlignment="1" applyProtection="1">
      <alignment horizontal="justify" vertical="center"/>
      <protection hidden="1"/>
    </xf>
    <xf numFmtId="0" fontId="77" fillId="0" borderId="0" xfId="0" applyFont="1" applyAlignment="1" applyProtection="1">
      <alignment horizontal="justify" vertical="center"/>
      <protection hidden="1"/>
    </xf>
    <xf numFmtId="0" fontId="50" fillId="0" borderId="0" xfId="0" applyFont="1" applyAlignment="1" applyProtection="1">
      <alignment horizontal="justify" vertical="center" wrapText="1"/>
      <protection hidden="1"/>
    </xf>
    <xf numFmtId="0" fontId="0" fillId="0" borderId="0" xfId="0" applyAlignment="1" applyProtection="1">
      <alignment horizontal="justify" vertical="center" wrapText="1"/>
      <protection hidden="1"/>
    </xf>
    <xf numFmtId="0" fontId="0" fillId="0" borderId="0" xfId="0" applyAlignment="1" applyProtection="1">
      <alignment horizontal="justify"/>
      <protection hidden="1"/>
    </xf>
    <xf numFmtId="164" fontId="136" fillId="0" borderId="17" xfId="0" applyNumberFormat="1" applyFont="1" applyFill="1" applyBorder="1" applyAlignment="1" applyProtection="1">
      <alignment horizontal="right"/>
      <protection hidden="1"/>
    </xf>
    <xf numFmtId="0" fontId="77" fillId="0" borderId="0" xfId="0" applyFont="1" applyAlignment="1" applyProtection="1">
      <alignment horizontal="justify" vertical="center" wrapText="1"/>
      <protection hidden="1"/>
    </xf>
    <xf numFmtId="0" fontId="53" fillId="0" borderId="0" xfId="0" applyNumberFormat="1" applyFont="1" applyFill="1" applyBorder="1" applyAlignment="1" applyProtection="1">
      <alignment horizontal="justify" vertical="center"/>
      <protection hidden="1"/>
    </xf>
    <xf numFmtId="169" fontId="79" fillId="0" borderId="0" xfId="0" applyNumberFormat="1" applyFont="1" applyFill="1" applyBorder="1" applyAlignment="1" applyProtection="1">
      <alignment horizontal="justify" wrapText="1"/>
      <protection hidden="1"/>
    </xf>
    <xf numFmtId="169" fontId="77" fillId="0" borderId="0" xfId="0" applyNumberFormat="1" applyFont="1" applyFill="1" applyBorder="1" applyAlignment="1" applyProtection="1">
      <alignment horizontal="justify" wrapText="1"/>
      <protection hidden="1"/>
    </xf>
    <xf numFmtId="0" fontId="30" fillId="0" borderId="14" xfId="0" applyFont="1" applyBorder="1" applyAlignment="1" applyProtection="1">
      <alignment horizontal="center"/>
      <protection hidden="1"/>
    </xf>
    <xf numFmtId="167" fontId="20" fillId="0" borderId="0" xfId="0" applyNumberFormat="1" applyFont="1" applyBorder="1" applyAlignment="1" applyProtection="1">
      <alignment horizontal="center"/>
      <protection hidden="1"/>
    </xf>
    <xf numFmtId="0" fontId="30" fillId="0" borderId="52" xfId="0" applyFont="1" applyBorder="1" applyAlignment="1" applyProtection="1">
      <protection hidden="1"/>
    </xf>
    <xf numFmtId="0" fontId="51" fillId="0" borderId="52" xfId="0" applyFont="1" applyBorder="1" applyAlignment="1" applyProtection="1">
      <protection hidden="1"/>
    </xf>
    <xf numFmtId="0" fontId="51" fillId="0" borderId="24" xfId="0" applyFont="1" applyBorder="1" applyAlignment="1" applyProtection="1">
      <protection hidden="1"/>
    </xf>
    <xf numFmtId="0" fontId="28" fillId="0" borderId="17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45" fillId="10" borderId="15" xfId="0" applyFont="1" applyFill="1" applyBorder="1" applyAlignment="1" applyProtection="1">
      <protection hidden="1"/>
    </xf>
    <xf numFmtId="0" fontId="30" fillId="0" borderId="102" xfId="0" applyFont="1" applyBorder="1" applyAlignment="1" applyProtection="1">
      <alignment horizontal="center"/>
      <protection hidden="1"/>
    </xf>
    <xf numFmtId="0" fontId="30" fillId="0" borderId="10" xfId="0" applyFont="1" applyBorder="1" applyAlignment="1" applyProtection="1">
      <alignment horizontal="center"/>
      <protection hidden="1"/>
    </xf>
    <xf numFmtId="0" fontId="30" fillId="0" borderId="121" xfId="0" applyFont="1" applyBorder="1" applyAlignment="1" applyProtection="1">
      <alignment horizontal="center"/>
      <protection hidden="1"/>
    </xf>
    <xf numFmtId="0" fontId="47" fillId="0" borderId="5" xfId="0" applyFont="1" applyBorder="1" applyAlignment="1" applyProtection="1">
      <alignment horizontal="center"/>
      <protection hidden="1"/>
    </xf>
    <xf numFmtId="0" fontId="47" fillId="0" borderId="6" xfId="0" applyFont="1" applyBorder="1" applyAlignment="1" applyProtection="1">
      <alignment horizontal="center"/>
      <protection hidden="1"/>
    </xf>
    <xf numFmtId="0" fontId="47" fillId="0" borderId="12" xfId="0" applyFont="1" applyBorder="1" applyAlignment="1" applyProtection="1">
      <alignment horizontal="center"/>
      <protection hidden="1"/>
    </xf>
    <xf numFmtId="0" fontId="30" fillId="9" borderId="0" xfId="0" applyFont="1" applyFill="1" applyBorder="1" applyAlignment="1" applyProtection="1">
      <alignment horizontal="center"/>
      <protection hidden="1"/>
    </xf>
    <xf numFmtId="0" fontId="30" fillId="9" borderId="1" xfId="0" applyFont="1" applyFill="1" applyBorder="1" applyAlignment="1" applyProtection="1">
      <alignment horizontal="center"/>
      <protection hidden="1"/>
    </xf>
    <xf numFmtId="164" fontId="30" fillId="0" borderId="52" xfId="0" applyNumberFormat="1" applyFont="1" applyBorder="1" applyAlignment="1" applyProtection="1">
      <protection hidden="1"/>
    </xf>
  </cellXfs>
  <cellStyles count="2">
    <cellStyle name="Normal" xfId="0" builtinId="0"/>
    <cellStyle name="Vírgula" xfId="1" builtinId="3"/>
  </cellStyles>
  <dxfs count="670"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9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42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4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4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42"/>
      </font>
    </dxf>
    <dxf>
      <font>
        <b/>
        <i val="0"/>
        <condense val="0"/>
        <extend val="0"/>
        <color indexed="42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42"/>
      </font>
    </dxf>
    <dxf>
      <font>
        <b/>
        <i val="0"/>
        <condense val="0"/>
        <extend val="0"/>
        <color indexed="10"/>
      </font>
      <fill>
        <patternFill>
          <bgColor indexed="34"/>
        </patternFill>
      </fill>
    </dxf>
    <dxf>
      <font>
        <b/>
        <i val="0"/>
        <condense val="0"/>
        <extend val="0"/>
        <color indexed="42"/>
      </font>
    </dxf>
    <dxf>
      <font>
        <b/>
        <i val="0"/>
        <condense val="0"/>
        <extend val="0"/>
        <color indexed="42"/>
      </font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34"/>
        </patternFill>
      </fill>
    </dxf>
    <dxf>
      <font>
        <b/>
        <i val="0"/>
        <condense val="0"/>
        <extend val="0"/>
        <color indexed="10"/>
      </font>
      <fill>
        <patternFill>
          <bgColor indexed="34"/>
        </patternFill>
      </fill>
    </dxf>
    <dxf>
      <font>
        <b/>
        <i val="0"/>
        <condense val="0"/>
        <extend val="0"/>
        <color indexed="41"/>
      </font>
    </dxf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43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strike val="0"/>
        <condense val="0"/>
        <extend val="0"/>
        <color indexed="12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3"/>
      </font>
    </dxf>
    <dxf>
      <font>
        <condense val="0"/>
        <extend val="0"/>
        <color indexed="42"/>
      </font>
      <fill>
        <patternFill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  <color indexed="34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 val="0"/>
        <i val="0"/>
        <condense val="0"/>
        <extend val="0"/>
        <color indexed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strike val="0"/>
        <condense val="0"/>
        <extend val="0"/>
        <color indexed="50"/>
      </font>
    </dxf>
    <dxf>
      <font>
        <b/>
        <i val="0"/>
        <strike val="0"/>
        <condense val="0"/>
        <extend val="0"/>
        <color indexed="63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/Relationships>
</file>

<file path=xl/ctrlProps/ctrlProp1.xml><?xml version="1.0" encoding="utf-8"?>
<formControlPr xmlns="http://schemas.microsoft.com/office/spreadsheetml/2009/9/main" objectType="Drop" dropStyle="simple" dx="22" sel="1" val="0" widthMin="4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15</xdr:col>
          <xdr:colOff>47625</xdr:colOff>
          <xdr:row>3</xdr:row>
          <xdr:rowOff>0</xdr:rowOff>
        </xdr:to>
        <xdr:sp macro="" textlink="">
          <xdr:nvSpPr>
            <xdr:cNvPr id="25743" name=" 143" hidden="1">
              <a:extLst>
                <a:ext uri="{63B3BB69-23CF-44E3-9099-C40C66FF867C}">
                  <a14:compatExt spid="_x0000_s25743"/>
                </a:ext>
                <a:ext uri="{FF2B5EF4-FFF2-40B4-BE49-F238E27FC236}">
                  <a16:creationId xmlns:a16="http://schemas.microsoft.com/office/drawing/2014/main" id="{C14401F9-9280-2148-B5A0-8F7026ADE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trlProp" Target="../ctrlProps/ctrlProp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4.v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 /><Relationship Id="rId2" Type="http://schemas.openxmlformats.org/officeDocument/2006/relationships/vmlDrawing" Target="../drawings/vmlDrawing5.v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 /><Relationship Id="rId2" Type="http://schemas.openxmlformats.org/officeDocument/2006/relationships/vmlDrawing" Target="../drawings/vmlDrawing6.v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 /><Relationship Id="rId2" Type="http://schemas.openxmlformats.org/officeDocument/2006/relationships/vmlDrawing" Target="../drawings/vmlDrawing7.v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 /><Relationship Id="rId2" Type="http://schemas.openxmlformats.org/officeDocument/2006/relationships/vmlDrawing" Target="../drawings/vmlDrawing8.v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 /><Relationship Id="rId2" Type="http://schemas.openxmlformats.org/officeDocument/2006/relationships/vmlDrawing" Target="../drawings/vmlDrawing9.v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 /><Relationship Id="rId2" Type="http://schemas.openxmlformats.org/officeDocument/2006/relationships/vmlDrawing" Target="../drawings/vmlDrawing10.v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 /><Relationship Id="rId2" Type="http://schemas.openxmlformats.org/officeDocument/2006/relationships/vmlDrawing" Target="../drawings/vmlDrawing11.v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 /><Relationship Id="rId2" Type="http://schemas.openxmlformats.org/officeDocument/2006/relationships/vmlDrawing" Target="../drawings/vmlDrawing12.vml" /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 /><Relationship Id="rId2" Type="http://schemas.openxmlformats.org/officeDocument/2006/relationships/vmlDrawing" Target="../drawings/vmlDrawing13.vml" /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 /><Relationship Id="rId2" Type="http://schemas.openxmlformats.org/officeDocument/2006/relationships/vmlDrawing" Target="../drawings/vmlDrawing14.vml" /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 /><Relationship Id="rId2" Type="http://schemas.openxmlformats.org/officeDocument/2006/relationships/vmlDrawing" Target="../drawings/vmlDrawing15.vml" /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 /><Relationship Id="rId2" Type="http://schemas.openxmlformats.org/officeDocument/2006/relationships/vmlDrawing" Target="../drawings/vmlDrawing16.vml" /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 /><Relationship Id="rId2" Type="http://schemas.openxmlformats.org/officeDocument/2006/relationships/vmlDrawing" Target="../drawings/vmlDrawing17.vml" /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 /><Relationship Id="rId2" Type="http://schemas.openxmlformats.org/officeDocument/2006/relationships/vmlDrawing" Target="../drawings/vmlDrawing18.vml" /><Relationship Id="rId1" Type="http://schemas.openxmlformats.org/officeDocument/2006/relationships/printerSettings" Target="../printerSettings/printerSettings2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375"/>
  <sheetViews>
    <sheetView showGridLines="0" tabSelected="1" zoomScaleNormal="75" workbookViewId="0" xr3:uid="{AEA406A1-0E4B-5B11-9CD5-51D6E497D94C}">
      <selection activeCell="E19" sqref="E19:K19"/>
    </sheetView>
  </sheetViews>
  <sheetFormatPr defaultColWidth="9.16796875" defaultRowHeight="13.5" zeroHeight="1" x14ac:dyDescent="0.15"/>
  <cols>
    <col min="1" max="1" width="2.6953125" style="456" customWidth="1"/>
    <col min="2" max="2" width="4.1796875" style="414" customWidth="1"/>
    <col min="3" max="3" width="42.07421875" style="456" customWidth="1"/>
    <col min="4" max="4" width="0.80859375" style="414" customWidth="1"/>
    <col min="5" max="5" width="8.76171875" style="414" bestFit="1" customWidth="1"/>
    <col min="6" max="6" width="16.046875" style="456" customWidth="1"/>
    <col min="7" max="7" width="9.9765625" style="456" customWidth="1"/>
    <col min="8" max="8" width="0.80859375" style="456" customWidth="1"/>
    <col min="9" max="9" width="3.7734375" style="456" customWidth="1"/>
    <col min="10" max="10" width="0.80859375" style="456" customWidth="1"/>
    <col min="11" max="11" width="15.640625" style="456" customWidth="1"/>
    <col min="12" max="12" width="0.80859375" style="456" customWidth="1"/>
    <col min="13" max="13" width="3.7734375" style="456" customWidth="1"/>
    <col min="14" max="14" width="8.359375" style="456" customWidth="1"/>
    <col min="15" max="15" width="4.1796875" style="456" customWidth="1"/>
    <col min="16" max="16" width="2.6953125" style="513" customWidth="1"/>
    <col min="17" max="18" width="8.359375" style="456" customWidth="1"/>
    <col min="19" max="23" width="9.70703125" style="456" customWidth="1"/>
    <col min="24" max="24" width="5.66015625" style="456" customWidth="1"/>
    <col min="25" max="25" width="5.796875" style="456" customWidth="1"/>
    <col min="26" max="26" width="5.66015625" style="456" customWidth="1"/>
    <col min="27" max="28" width="5.52734375" style="456" customWidth="1"/>
    <col min="29" max="30" width="5.66015625" style="456" customWidth="1"/>
    <col min="31" max="31" width="5.52734375" style="457" customWidth="1"/>
    <col min="32" max="33" width="5.93359375" style="457" customWidth="1"/>
    <col min="34" max="34" width="5.93359375" style="456" customWidth="1"/>
    <col min="35" max="36" width="5.796875" style="456" customWidth="1"/>
    <col min="37" max="37" width="5.93359375" style="456" customWidth="1"/>
    <col min="38" max="38" width="5.66015625" style="456" customWidth="1"/>
    <col min="39" max="39" width="5.93359375" style="456" customWidth="1"/>
    <col min="40" max="42" width="5.796875" style="456" customWidth="1"/>
    <col min="43" max="43" width="5.93359375" style="456" customWidth="1"/>
    <col min="44" max="44" width="5.796875" style="456" customWidth="1"/>
    <col min="45" max="45" width="5.93359375" style="456" customWidth="1"/>
    <col min="46" max="46" width="5.796875" style="456" customWidth="1"/>
    <col min="47" max="50" width="5.93359375" style="456" customWidth="1"/>
    <col min="51" max="54" width="5.66015625" style="456" customWidth="1"/>
    <col min="55" max="55" width="44.09375" style="456" customWidth="1"/>
    <col min="56" max="56" width="2.6953125" style="456" customWidth="1"/>
    <col min="57" max="66" width="9.16796875" style="456"/>
    <col min="67" max="67" width="39.375" style="456" customWidth="1"/>
    <col min="68" max="68" width="69.3125" style="456" customWidth="1"/>
    <col min="69" max="69" width="55.2890625" style="456" customWidth="1"/>
    <col min="70" max="70" width="69.71875" style="456" customWidth="1"/>
    <col min="71" max="71" width="60.546875" style="456" customWidth="1"/>
    <col min="72" max="72" width="55.2890625" style="456" customWidth="1"/>
    <col min="73" max="73" width="66.34765625" style="456" customWidth="1"/>
    <col min="74" max="74" width="55.2890625" style="456" customWidth="1"/>
    <col min="75" max="16384" width="9.16796875" style="456"/>
  </cols>
  <sheetData>
    <row r="1" spans="2:54" x14ac:dyDescent="0.15">
      <c r="B1" s="1390"/>
      <c r="C1" s="1391"/>
      <c r="D1" s="1390"/>
      <c r="E1" s="1390"/>
      <c r="F1" s="1391"/>
      <c r="G1" s="1391"/>
      <c r="H1" s="1391"/>
      <c r="I1" s="1391"/>
      <c r="J1" s="1391"/>
      <c r="K1" s="1570" t="s">
        <v>790</v>
      </c>
      <c r="L1" s="1570"/>
      <c r="M1" s="1570"/>
      <c r="N1" s="1570"/>
      <c r="O1" s="1391"/>
      <c r="P1" s="1167"/>
    </row>
    <row r="2" spans="2:54" ht="19.5" customHeight="1" x14ac:dyDescent="0.2">
      <c r="B2" s="1390"/>
      <c r="C2" s="1579" t="s">
        <v>793</v>
      </c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395"/>
    </row>
    <row r="3" spans="2:54" ht="9.9499999999999993" customHeight="1" thickBot="1" x14ac:dyDescent="0.2">
      <c r="B3" s="1392"/>
      <c r="C3" s="1393"/>
      <c r="D3" s="1393"/>
      <c r="E3" s="1394"/>
      <c r="F3" s="1394"/>
      <c r="G3" s="1394"/>
      <c r="H3" s="1394"/>
      <c r="I3" s="1394"/>
      <c r="J3" s="1394"/>
      <c r="K3" s="1394"/>
      <c r="L3" s="1394"/>
      <c r="M3" s="1394"/>
      <c r="N3" s="1394"/>
      <c r="O3" s="1387"/>
      <c r="Q3" s="1157"/>
    </row>
    <row r="4" spans="2:54" ht="12.75" customHeight="1" thickBot="1" x14ac:dyDescent="0.2">
      <c r="B4" s="1392">
        <v>1</v>
      </c>
      <c r="C4" s="791" t="s">
        <v>251</v>
      </c>
      <c r="D4" s="1391"/>
      <c r="E4" s="1580" t="s">
        <v>4</v>
      </c>
      <c r="F4" s="1581"/>
      <c r="G4" s="1581"/>
      <c r="H4" s="1581"/>
      <c r="I4" s="1581"/>
      <c r="J4" s="1581"/>
      <c r="K4" s="1581"/>
      <c r="L4" s="1581"/>
      <c r="M4" s="1581"/>
      <c r="N4" s="1582"/>
      <c r="O4" s="1387"/>
      <c r="Q4" s="1157"/>
    </row>
    <row r="5" spans="2:54" s="512" customFormat="1" ht="6" customHeight="1" thickBot="1" x14ac:dyDescent="0.2">
      <c r="B5" s="1397"/>
      <c r="C5" s="1398"/>
      <c r="D5" s="1399"/>
      <c r="E5" s="1400"/>
      <c r="F5" s="1400"/>
      <c r="G5" s="1400"/>
      <c r="H5" s="1400"/>
      <c r="I5" s="1400"/>
      <c r="J5" s="1400"/>
      <c r="K5" s="1400"/>
      <c r="L5" s="1400"/>
      <c r="M5" s="1400"/>
      <c r="N5" s="1400"/>
      <c r="O5" s="1396"/>
      <c r="Q5" s="1298"/>
      <c r="AE5" s="1299"/>
      <c r="AF5" s="1299"/>
      <c r="AG5" s="1299"/>
    </row>
    <row r="6" spans="2:54" ht="14.25" thickBot="1" x14ac:dyDescent="0.2">
      <c r="B6" s="1392">
        <v>2</v>
      </c>
      <c r="C6" s="791" t="s">
        <v>95</v>
      </c>
      <c r="D6" s="1401"/>
      <c r="E6" s="1580" t="s">
        <v>3</v>
      </c>
      <c r="F6" s="1581"/>
      <c r="G6" s="1581"/>
      <c r="H6" s="1581"/>
      <c r="I6" s="1581"/>
      <c r="J6" s="1581"/>
      <c r="K6" s="1581"/>
      <c r="L6" s="1581"/>
      <c r="M6" s="1581"/>
      <c r="N6" s="1582"/>
      <c r="O6" s="1387"/>
      <c r="P6" s="456"/>
      <c r="Q6" s="1157"/>
    </row>
    <row r="7" spans="2:54" ht="6" customHeight="1" x14ac:dyDescent="0.15">
      <c r="B7" s="1392"/>
      <c r="C7" s="1403"/>
      <c r="D7" s="1404"/>
      <c r="E7" s="1530">
        <v>0</v>
      </c>
      <c r="F7" s="1530"/>
      <c r="G7" s="1530"/>
      <c r="H7" s="1530"/>
      <c r="I7" s="1530"/>
      <c r="J7" s="1530"/>
      <c r="K7" s="1530"/>
      <c r="L7" s="1530"/>
      <c r="M7" s="1530"/>
      <c r="N7" s="1530"/>
      <c r="O7" s="1387"/>
      <c r="Q7" s="1157"/>
    </row>
    <row r="8" spans="2:54" x14ac:dyDescent="0.15">
      <c r="B8" s="1392">
        <v>3</v>
      </c>
      <c r="C8" s="791" t="s">
        <v>250</v>
      </c>
      <c r="D8" s="1401"/>
      <c r="E8" s="1540" t="str">
        <f>$E$42</f>
        <v>REVER FUNDAMENTAÇÃO E/OU MODALIDADE</v>
      </c>
      <c r="F8" s="1541"/>
      <c r="G8" s="1541"/>
      <c r="H8" s="1541"/>
      <c r="I8" s="1541"/>
      <c r="J8" s="1541"/>
      <c r="K8" s="1541"/>
      <c r="L8" s="1541"/>
      <c r="M8" s="1541"/>
      <c r="N8" s="1542"/>
      <c r="O8" s="1387"/>
    </row>
    <row r="9" spans="2:54" ht="6" customHeight="1" x14ac:dyDescent="0.15">
      <c r="B9" s="1392"/>
      <c r="C9" s="1402"/>
      <c r="D9" s="1401"/>
      <c r="E9" s="1389"/>
      <c r="F9" s="1389"/>
      <c r="G9" s="1389"/>
      <c r="H9" s="1389"/>
      <c r="I9" s="1389"/>
      <c r="J9" s="1389"/>
      <c r="K9" s="1389"/>
      <c r="L9" s="1389"/>
      <c r="M9" s="1389"/>
      <c r="N9" s="1389"/>
      <c r="O9" s="1387"/>
      <c r="BB9" s="477"/>
    </row>
    <row r="10" spans="2:54" x14ac:dyDescent="0.15">
      <c r="B10" s="1392">
        <v>4</v>
      </c>
      <c r="C10" s="791" t="s">
        <v>96</v>
      </c>
      <c r="D10" s="1401"/>
      <c r="E10" s="1549" t="s">
        <v>549</v>
      </c>
      <c r="F10" s="1550"/>
      <c r="G10" s="1550"/>
      <c r="H10" s="1550"/>
      <c r="I10" s="1550"/>
      <c r="J10" s="1550"/>
      <c r="K10" s="1550"/>
      <c r="L10" s="1550"/>
      <c r="M10" s="1550"/>
      <c r="N10" s="1551"/>
      <c r="O10" s="1387"/>
      <c r="P10" s="515"/>
      <c r="Q10" s="516"/>
      <c r="R10" s="414"/>
      <c r="S10" s="414"/>
      <c r="T10" s="414"/>
      <c r="U10" s="414"/>
      <c r="V10" s="414"/>
      <c r="BB10" s="477"/>
    </row>
    <row r="11" spans="2:54" x14ac:dyDescent="0.15">
      <c r="B11" s="1392">
        <v>5</v>
      </c>
      <c r="C11" s="791" t="s">
        <v>594</v>
      </c>
      <c r="D11" s="1401"/>
      <c r="E11" s="1549" t="s">
        <v>590</v>
      </c>
      <c r="F11" s="1550"/>
      <c r="G11" s="1550"/>
      <c r="H11" s="1550"/>
      <c r="I11" s="1550"/>
      <c r="J11" s="1550"/>
      <c r="K11" s="1550"/>
      <c r="L11" s="1550"/>
      <c r="M11" s="1550"/>
      <c r="N11" s="1551"/>
      <c r="O11" s="1387"/>
      <c r="P11" s="515"/>
      <c r="Q11" s="516"/>
      <c r="R11" s="414"/>
      <c r="S11" s="414"/>
      <c r="T11" s="414"/>
      <c r="U11" s="414"/>
      <c r="V11" s="414"/>
      <c r="BB11" s="477"/>
    </row>
    <row r="12" spans="2:54" x14ac:dyDescent="0.15">
      <c r="B12" s="1392">
        <v>6</v>
      </c>
      <c r="C12" s="791" t="s">
        <v>97</v>
      </c>
      <c r="D12" s="1401"/>
      <c r="E12" s="1549"/>
      <c r="F12" s="1550"/>
      <c r="G12" s="1550"/>
      <c r="H12" s="1550"/>
      <c r="I12" s="1550"/>
      <c r="J12" s="1550"/>
      <c r="K12" s="1550"/>
      <c r="L12" s="1550"/>
      <c r="M12" s="1550"/>
      <c r="N12" s="1551"/>
      <c r="O12" s="1387"/>
      <c r="P12" s="515"/>
      <c r="Q12" s="516"/>
      <c r="R12" s="414"/>
      <c r="S12" s="414"/>
      <c r="T12" s="414"/>
      <c r="U12" s="414"/>
      <c r="V12" s="414"/>
      <c r="BB12" s="477"/>
    </row>
    <row r="13" spans="2:54" ht="6" customHeight="1" x14ac:dyDescent="0.15">
      <c r="B13" s="1392"/>
      <c r="C13" s="1402"/>
      <c r="D13" s="1401"/>
      <c r="E13" s="1389"/>
      <c r="F13" s="1389"/>
      <c r="G13" s="1389"/>
      <c r="H13" s="1389"/>
      <c r="I13" s="1389"/>
      <c r="J13" s="1389"/>
      <c r="K13" s="1389"/>
      <c r="L13" s="1389"/>
      <c r="M13" s="1389"/>
      <c r="N13" s="1389"/>
      <c r="O13" s="1387"/>
      <c r="P13" s="515"/>
      <c r="Q13" s="516"/>
      <c r="R13" s="414"/>
      <c r="S13" s="414"/>
      <c r="T13" s="414"/>
      <c r="U13" s="414"/>
      <c r="V13" s="414"/>
      <c r="BB13" s="477"/>
    </row>
    <row r="14" spans="2:54" ht="18" x14ac:dyDescent="0.2">
      <c r="B14" s="1392"/>
      <c r="C14" s="1555" t="s">
        <v>98</v>
      </c>
      <c r="D14" s="1555"/>
      <c r="E14" s="1555"/>
      <c r="F14" s="1555"/>
      <c r="G14" s="1555"/>
      <c r="H14" s="1555"/>
      <c r="I14" s="1555"/>
      <c r="J14" s="1555"/>
      <c r="K14" s="1555"/>
      <c r="L14" s="1555"/>
      <c r="M14" s="1555"/>
      <c r="N14" s="1555"/>
      <c r="O14" s="1387"/>
      <c r="P14" s="515"/>
      <c r="Q14" s="516"/>
      <c r="R14" s="414"/>
      <c r="S14" s="414"/>
      <c r="T14" s="414"/>
      <c r="U14" s="414"/>
      <c r="V14" s="414"/>
      <c r="BB14" s="477"/>
    </row>
    <row r="15" spans="2:54" ht="6" customHeight="1" x14ac:dyDescent="0.15">
      <c r="B15" s="1392"/>
      <c r="C15" s="1402"/>
      <c r="D15" s="1401"/>
      <c r="E15" s="1389"/>
      <c r="F15" s="1389"/>
      <c r="G15" s="1389"/>
      <c r="H15" s="1389"/>
      <c r="I15" s="1389"/>
      <c r="J15" s="1389"/>
      <c r="K15" s="1389"/>
      <c r="L15" s="1389"/>
      <c r="M15" s="1389"/>
      <c r="N15" s="1389"/>
      <c r="O15" s="1387"/>
      <c r="P15" s="515"/>
      <c r="Q15" s="516"/>
      <c r="R15" s="414"/>
      <c r="S15" s="414"/>
      <c r="T15" s="414"/>
      <c r="U15" s="414"/>
      <c r="V15" s="414"/>
      <c r="BB15" s="477"/>
    </row>
    <row r="16" spans="2:54" x14ac:dyDescent="0.15">
      <c r="B16" s="1392">
        <v>7</v>
      </c>
      <c r="C16" s="791" t="s">
        <v>99</v>
      </c>
      <c r="D16" s="1401"/>
      <c r="E16" s="1552"/>
      <c r="F16" s="1553"/>
      <c r="G16" s="1553"/>
      <c r="H16" s="1553"/>
      <c r="I16" s="1553"/>
      <c r="J16" s="1553"/>
      <c r="K16" s="1553"/>
      <c r="L16" s="1553"/>
      <c r="M16" s="1553"/>
      <c r="N16" s="1554"/>
      <c r="O16" s="1387"/>
      <c r="P16" s="515"/>
      <c r="Q16" s="516"/>
      <c r="R16" s="414"/>
      <c r="S16" s="414"/>
      <c r="T16" s="414"/>
      <c r="U16" s="414"/>
      <c r="V16" s="414"/>
      <c r="BB16" s="477"/>
    </row>
    <row r="17" spans="2:74" x14ac:dyDescent="0.15">
      <c r="B17" s="1392">
        <v>8</v>
      </c>
      <c r="C17" s="791" t="s">
        <v>100</v>
      </c>
      <c r="D17" s="1401"/>
      <c r="E17" s="1583"/>
      <c r="F17" s="1584"/>
      <c r="G17" s="1584"/>
      <c r="H17" s="1584"/>
      <c r="I17" s="1585"/>
      <c r="J17" s="1389"/>
      <c r="K17" s="1389"/>
      <c r="L17" s="1389"/>
      <c r="M17" s="1568" t="s">
        <v>92</v>
      </c>
      <c r="N17" s="1568"/>
      <c r="O17" s="1387"/>
      <c r="P17" s="515"/>
      <c r="Q17" s="516"/>
      <c r="R17" s="414"/>
      <c r="S17" s="414"/>
      <c r="T17" s="414"/>
      <c r="U17" s="414"/>
      <c r="V17" s="414"/>
      <c r="BB17" s="477"/>
    </row>
    <row r="18" spans="2:74" x14ac:dyDescent="0.15">
      <c r="B18" s="1392">
        <v>9</v>
      </c>
      <c r="C18" s="791" t="s">
        <v>101</v>
      </c>
      <c r="D18" s="1401"/>
      <c r="E18" s="1588"/>
      <c r="F18" s="1589"/>
      <c r="G18" s="1589"/>
      <c r="H18" s="1589"/>
      <c r="I18" s="1589"/>
      <c r="J18" s="1589"/>
      <c r="K18" s="1590"/>
      <c r="L18" s="1389"/>
      <c r="M18" s="1586"/>
      <c r="N18" s="1587"/>
      <c r="O18" s="1387"/>
      <c r="P18" s="515"/>
      <c r="BB18" s="477"/>
    </row>
    <row r="19" spans="2:74" x14ac:dyDescent="0.15">
      <c r="B19" s="1392">
        <v>10</v>
      </c>
      <c r="C19" s="791" t="s">
        <v>91</v>
      </c>
      <c r="D19" s="1401"/>
      <c r="E19" s="1552"/>
      <c r="F19" s="1553"/>
      <c r="G19" s="1553"/>
      <c r="H19" s="1553"/>
      <c r="I19" s="1553"/>
      <c r="J19" s="1553"/>
      <c r="K19" s="1554"/>
      <c r="L19" s="1389"/>
      <c r="M19" s="1586"/>
      <c r="N19" s="1587"/>
      <c r="O19" s="1387"/>
      <c r="P19" s="365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421"/>
      <c r="AF19" s="421"/>
      <c r="AG19" s="421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422"/>
    </row>
    <row r="20" spans="2:74" ht="14.25" x14ac:dyDescent="0.15">
      <c r="B20" s="1392">
        <v>11</v>
      </c>
      <c r="C20" s="791" t="s">
        <v>102</v>
      </c>
      <c r="D20" s="1401"/>
      <c r="E20" s="1543"/>
      <c r="F20" s="1544"/>
      <c r="G20" s="1545"/>
      <c r="H20" s="1387"/>
      <c r="I20" s="1389"/>
      <c r="J20" s="1389"/>
      <c r="K20" s="1535"/>
      <c r="L20" s="1535"/>
      <c r="M20" s="1535"/>
      <c r="N20" s="1535"/>
      <c r="O20" s="1387"/>
      <c r="P20" s="515"/>
      <c r="AD20" s="473"/>
      <c r="AE20" s="474"/>
      <c r="AF20" s="474"/>
      <c r="AG20" s="474"/>
      <c r="AH20" s="473"/>
      <c r="AI20" s="473"/>
      <c r="AJ20" s="473"/>
      <c r="AK20" s="473"/>
      <c r="AL20" s="473"/>
      <c r="AM20" s="473"/>
      <c r="AN20" s="473"/>
      <c r="BB20" s="477"/>
      <c r="BO20" s="760"/>
      <c r="BP20" s="761"/>
      <c r="BQ20" s="762"/>
      <c r="BR20" s="761"/>
      <c r="BS20" s="762"/>
      <c r="BT20" s="762"/>
      <c r="BU20" s="762"/>
      <c r="BV20" s="760"/>
    </row>
    <row r="21" spans="2:74" ht="14.25" x14ac:dyDescent="0.15">
      <c r="B21" s="1392">
        <v>12</v>
      </c>
      <c r="C21" s="791" t="s">
        <v>103</v>
      </c>
      <c r="D21" s="1401"/>
      <c r="E21" s="1543"/>
      <c r="F21" s="1544"/>
      <c r="G21" s="1545"/>
      <c r="H21" s="1387"/>
      <c r="I21" s="1546" t="s">
        <v>501</v>
      </c>
      <c r="J21" s="1547"/>
      <c r="K21" s="1548"/>
      <c r="L21" s="1389"/>
      <c r="M21" s="1571">
        <f>CRÍTICA_IGP1!N11</f>
        <v>0</v>
      </c>
      <c r="N21" s="1572"/>
      <c r="O21" s="1387"/>
      <c r="P21" s="515"/>
      <c r="R21" s="414"/>
      <c r="S21" s="457"/>
      <c r="U21" s="457"/>
      <c r="AD21" s="473"/>
      <c r="AE21" s="474"/>
      <c r="AF21" s="474"/>
      <c r="AG21" s="474"/>
      <c r="AH21" s="473"/>
      <c r="AI21" s="473"/>
      <c r="AJ21" s="473"/>
      <c r="AK21" s="473"/>
      <c r="AL21" s="473"/>
      <c r="AM21" s="473"/>
      <c r="AN21" s="473"/>
      <c r="BB21" s="477"/>
      <c r="BP21" s="763"/>
      <c r="BQ21" s="763"/>
      <c r="BR21" s="763"/>
      <c r="BS21" s="763"/>
      <c r="BT21" s="760"/>
      <c r="BU21" s="773"/>
      <c r="BV21" s="763"/>
    </row>
    <row r="22" spans="2:74" ht="15.75" customHeight="1" x14ac:dyDescent="0.15">
      <c r="B22" s="1392">
        <v>13</v>
      </c>
      <c r="C22" s="791" t="s">
        <v>104</v>
      </c>
      <c r="D22" s="1401"/>
      <c r="E22" s="1556"/>
      <c r="F22" s="1557"/>
      <c r="G22" s="1558"/>
      <c r="H22" s="1387"/>
      <c r="I22" s="1577" t="str">
        <f>IF(M21&gt;=70,CRÍTICA_IGP1!R20,IF(M21&gt;=60,CONCATENATE("O SERVIDOR ATINGIRÁ A COMPULSÓRIA EM ",CRÍTICA_IGP1!Q20," DIAS, "," OU SEJA, EM "),""))</f>
        <v/>
      </c>
      <c r="J22" s="1577"/>
      <c r="K22" s="1577"/>
      <c r="L22" s="1388"/>
      <c r="M22" s="1389"/>
      <c r="N22" s="1389"/>
      <c r="O22" s="1387"/>
      <c r="P22" s="515"/>
      <c r="AD22" s="473"/>
      <c r="AE22" s="474"/>
      <c r="AF22" s="474"/>
      <c r="AG22" s="474"/>
      <c r="AH22" s="473"/>
      <c r="AI22" s="473"/>
      <c r="AJ22" s="473"/>
      <c r="AK22" s="473"/>
      <c r="AL22" s="473"/>
      <c r="AM22" s="473"/>
      <c r="AN22" s="473"/>
      <c r="BB22" s="477"/>
      <c r="BP22" s="763"/>
      <c r="BQ22" s="763"/>
      <c r="BR22" s="763"/>
      <c r="BS22" s="763"/>
      <c r="BT22" s="773"/>
      <c r="BU22" s="773"/>
      <c r="BV22" s="763"/>
    </row>
    <row r="23" spans="2:74" ht="14.25" x14ac:dyDescent="0.15">
      <c r="B23" s="1392">
        <v>14</v>
      </c>
      <c r="C23" s="794" t="s">
        <v>794</v>
      </c>
      <c r="D23" s="1410"/>
      <c r="E23" s="1543"/>
      <c r="F23" s="1544"/>
      <c r="G23" s="1545"/>
      <c r="H23" s="1387"/>
      <c r="I23" s="1578"/>
      <c r="J23" s="1578"/>
      <c r="K23" s="1578"/>
      <c r="L23" s="1388"/>
      <c r="M23" s="1576">
        <f>IF($M$21&gt;=70,CRÍTICA_IGP1!$R$22,IF($M$21&gt;=60,CRÍTICA_IGP1!$R$22,0))</f>
        <v>0</v>
      </c>
      <c r="N23" s="1576"/>
      <c r="O23" s="1387"/>
      <c r="P23" s="518"/>
      <c r="AD23" s="473"/>
      <c r="AE23" s="474"/>
      <c r="AF23" s="474"/>
      <c r="AG23" s="474"/>
      <c r="AH23" s="473"/>
      <c r="AI23" s="473"/>
      <c r="AJ23" s="473"/>
      <c r="AK23" s="473"/>
      <c r="AL23" s="473"/>
      <c r="AM23" s="473"/>
      <c r="AN23" s="473"/>
      <c r="BB23" s="477"/>
      <c r="BP23" s="763"/>
      <c r="BQ23" s="773"/>
      <c r="BR23" s="763"/>
      <c r="BS23" s="773"/>
      <c r="BT23" s="773"/>
      <c r="BU23" s="773"/>
      <c r="BV23" s="763"/>
    </row>
    <row r="24" spans="2:74" ht="6" customHeight="1" x14ac:dyDescent="0.15">
      <c r="B24" s="1392"/>
      <c r="C24" s="1402"/>
      <c r="D24" s="1401"/>
      <c r="E24" s="1389"/>
      <c r="F24" s="1389"/>
      <c r="G24" s="1389"/>
      <c r="H24" s="1389"/>
      <c r="I24" s="1389"/>
      <c r="J24" s="1389"/>
      <c r="K24" s="1389"/>
      <c r="L24" s="1389"/>
      <c r="M24" s="1389"/>
      <c r="N24" s="1389"/>
      <c r="O24" s="1387"/>
      <c r="P24" s="518"/>
      <c r="AD24" s="473"/>
      <c r="AE24" s="474"/>
      <c r="AF24" s="474"/>
      <c r="AG24" s="474"/>
      <c r="AH24" s="473"/>
      <c r="AI24" s="473"/>
      <c r="AJ24" s="473"/>
      <c r="AK24" s="473"/>
      <c r="AL24" s="473"/>
      <c r="AM24" s="473"/>
      <c r="AN24" s="473"/>
      <c r="BB24" s="477"/>
      <c r="BP24" s="763"/>
      <c r="BQ24" s="773"/>
      <c r="BR24" s="763"/>
      <c r="BS24" s="773"/>
      <c r="BT24" s="773"/>
      <c r="BU24" s="773"/>
      <c r="BV24" s="763"/>
    </row>
    <row r="25" spans="2:74" ht="14.25" x14ac:dyDescent="0.15">
      <c r="B25" s="1392">
        <v>15</v>
      </c>
      <c r="C25" s="791" t="s">
        <v>105</v>
      </c>
      <c r="D25" s="1401"/>
      <c r="E25" s="1568" t="s">
        <v>439</v>
      </c>
      <c r="F25" s="1568"/>
      <c r="G25" s="1568"/>
      <c r="H25" s="1389"/>
      <c r="I25" s="796"/>
      <c r="J25" s="1389"/>
      <c r="K25" s="792" t="s">
        <v>440</v>
      </c>
      <c r="L25" s="1389"/>
      <c r="M25" s="796"/>
      <c r="N25" s="1389"/>
      <c r="O25" s="1387"/>
      <c r="P25" s="518"/>
      <c r="AD25" s="473"/>
      <c r="AE25" s="474"/>
      <c r="AF25" s="474"/>
      <c r="AG25" s="474"/>
      <c r="AH25" s="473"/>
      <c r="AI25" s="473"/>
      <c r="AJ25" s="473"/>
      <c r="AK25" s="473"/>
      <c r="AL25" s="473"/>
      <c r="AM25" s="473"/>
      <c r="AN25" s="473"/>
      <c r="BB25" s="477"/>
      <c r="BP25" s="763"/>
      <c r="BQ25" s="773"/>
      <c r="BR25" s="763"/>
      <c r="BS25" s="773"/>
      <c r="BT25" s="773"/>
      <c r="BU25" s="773"/>
      <c r="BV25" s="763"/>
    </row>
    <row r="26" spans="2:74" ht="6" customHeight="1" x14ac:dyDescent="0.15">
      <c r="B26" s="1392"/>
      <c r="C26" s="1402"/>
      <c r="D26" s="1401"/>
      <c r="E26" s="1389"/>
      <c r="F26" s="1389"/>
      <c r="G26" s="1389"/>
      <c r="H26" s="1389"/>
      <c r="I26" s="1389"/>
      <c r="J26" s="1389"/>
      <c r="K26" s="1389"/>
      <c r="L26" s="1389"/>
      <c r="M26" s="1389"/>
      <c r="N26" s="1389"/>
      <c r="O26" s="1387"/>
      <c r="P26" s="518"/>
      <c r="AD26" s="473"/>
      <c r="AE26" s="474"/>
      <c r="AF26" s="474"/>
      <c r="AG26" s="474"/>
      <c r="AH26" s="473"/>
      <c r="AI26" s="473"/>
      <c r="AJ26" s="473"/>
      <c r="AK26" s="473"/>
      <c r="AL26" s="473"/>
      <c r="AM26" s="473"/>
      <c r="AN26" s="473"/>
      <c r="BB26" s="477"/>
      <c r="BP26" s="763"/>
      <c r="BQ26" s="773"/>
      <c r="BR26" s="763"/>
      <c r="BS26" s="773"/>
      <c r="BT26" s="773"/>
      <c r="BU26" s="773"/>
      <c r="BV26" s="763"/>
    </row>
    <row r="27" spans="2:74" ht="30.75" customHeight="1" x14ac:dyDescent="0.15">
      <c r="B27" s="1392">
        <v>16</v>
      </c>
      <c r="C27" s="795" t="s">
        <v>93</v>
      </c>
      <c r="D27" s="1408"/>
      <c r="E27" s="1560" t="s">
        <v>446</v>
      </c>
      <c r="F27" s="1561"/>
      <c r="G27" s="1562"/>
      <c r="H27" s="1405"/>
      <c r="I27" s="816"/>
      <c r="J27" s="1405"/>
      <c r="K27" s="971" t="s">
        <v>447</v>
      </c>
      <c r="L27" s="1405"/>
      <c r="M27" s="816"/>
      <c r="N27" s="1405"/>
      <c r="O27" s="1387"/>
      <c r="P27" s="518"/>
      <c r="AD27" s="473"/>
      <c r="AE27" s="474"/>
      <c r="AF27" s="474"/>
      <c r="AG27" s="474"/>
      <c r="AH27" s="473"/>
      <c r="AI27" s="473"/>
      <c r="AJ27" s="473"/>
      <c r="AK27" s="473"/>
      <c r="AL27" s="473"/>
      <c r="AM27" s="473"/>
      <c r="AN27" s="473"/>
      <c r="BB27" s="477"/>
      <c r="BP27" s="763"/>
      <c r="BQ27" s="773"/>
      <c r="BR27" s="763"/>
      <c r="BS27" s="773"/>
      <c r="BT27" s="773"/>
      <c r="BU27" s="773"/>
      <c r="BV27" s="763"/>
    </row>
    <row r="28" spans="2:74" ht="6" customHeight="1" x14ac:dyDescent="0.15">
      <c r="B28" s="1392"/>
      <c r="C28" s="1407"/>
      <c r="D28" s="1408"/>
      <c r="E28" s="1405"/>
      <c r="F28" s="1405"/>
      <c r="G28" s="1405"/>
      <c r="H28" s="1405"/>
      <c r="I28" s="1405"/>
      <c r="J28" s="1405"/>
      <c r="K28" s="1405"/>
      <c r="L28" s="1405"/>
      <c r="M28" s="1405"/>
      <c r="N28" s="1405"/>
      <c r="O28" s="1387"/>
      <c r="P28" s="518"/>
      <c r="AD28" s="473"/>
      <c r="AE28" s="474"/>
      <c r="AF28" s="474"/>
      <c r="AG28" s="474"/>
      <c r="AH28" s="473"/>
      <c r="AI28" s="473"/>
      <c r="AJ28" s="473"/>
      <c r="AK28" s="473"/>
      <c r="AL28" s="473"/>
      <c r="AM28" s="473"/>
      <c r="AN28" s="473"/>
      <c r="BB28" s="477"/>
      <c r="BP28" s="763"/>
      <c r="BQ28" s="773"/>
      <c r="BR28" s="763"/>
      <c r="BS28" s="773"/>
      <c r="BT28" s="773"/>
      <c r="BU28" s="773"/>
      <c r="BV28" s="763"/>
    </row>
    <row r="29" spans="2:74" ht="14.25" x14ac:dyDescent="0.15">
      <c r="B29" s="1392">
        <v>17</v>
      </c>
      <c r="C29" s="791" t="s">
        <v>106</v>
      </c>
      <c r="D29" s="1408"/>
      <c r="E29" s="1568" t="s">
        <v>107</v>
      </c>
      <c r="F29" s="1568"/>
      <c r="G29" s="1568"/>
      <c r="H29" s="1405"/>
      <c r="I29" s="796"/>
      <c r="J29" s="1405"/>
      <c r="K29" s="792" t="s">
        <v>94</v>
      </c>
      <c r="L29" s="1405"/>
      <c r="M29" s="796" t="s">
        <v>284</v>
      </c>
      <c r="N29" s="1405"/>
      <c r="O29" s="1387"/>
      <c r="P29" s="425"/>
      <c r="AD29" s="473"/>
      <c r="AE29" s="474"/>
      <c r="AF29" s="474"/>
      <c r="AG29" s="474"/>
      <c r="AH29" s="473"/>
      <c r="AI29" s="473"/>
      <c r="AJ29" s="473"/>
      <c r="AK29" s="473"/>
      <c r="AL29" s="473"/>
      <c r="AM29" s="473"/>
      <c r="AN29" s="473"/>
      <c r="BB29" s="477"/>
      <c r="BP29" s="763"/>
      <c r="BQ29" s="773"/>
      <c r="BR29" s="763"/>
      <c r="BS29" s="773"/>
      <c r="BT29" s="773"/>
      <c r="BU29" s="773"/>
      <c r="BV29" s="763"/>
    </row>
    <row r="30" spans="2:74" ht="6" customHeight="1" x14ac:dyDescent="0.15">
      <c r="B30" s="1392"/>
      <c r="C30" s="1409"/>
      <c r="D30" s="1408"/>
      <c r="E30" s="1405"/>
      <c r="F30" s="1405"/>
      <c r="G30" s="1405"/>
      <c r="H30" s="1405"/>
      <c r="I30" s="1405"/>
      <c r="J30" s="1405"/>
      <c r="K30" s="1405"/>
      <c r="L30" s="1405"/>
      <c r="M30" s="1405"/>
      <c r="N30" s="1405"/>
      <c r="O30" s="1387"/>
      <c r="P30" s="425"/>
      <c r="Q30" s="457"/>
      <c r="R30" s="472"/>
      <c r="S30" s="520"/>
      <c r="AD30" s="473"/>
      <c r="AE30" s="474"/>
      <c r="AF30" s="474"/>
      <c r="AG30" s="474"/>
      <c r="AH30" s="473"/>
      <c r="AI30" s="473"/>
      <c r="AJ30" s="473"/>
      <c r="AK30" s="473"/>
      <c r="AL30" s="473"/>
      <c r="AM30" s="473"/>
      <c r="AN30" s="473"/>
      <c r="BB30" s="477"/>
      <c r="BP30" s="763"/>
      <c r="BQ30" s="773"/>
      <c r="BR30" s="763"/>
      <c r="BS30" s="773"/>
      <c r="BT30" s="773"/>
      <c r="BU30" s="773"/>
      <c r="BV30" s="763"/>
    </row>
    <row r="31" spans="2:74" ht="14.25" x14ac:dyDescent="0.15">
      <c r="B31" s="1392"/>
      <c r="C31" s="1409"/>
      <c r="D31" s="1408"/>
      <c r="E31" s="792" t="s">
        <v>349</v>
      </c>
      <c r="F31" s="1405"/>
      <c r="G31" s="792" t="s">
        <v>333</v>
      </c>
      <c r="H31" s="1405"/>
      <c r="I31" s="1568" t="s">
        <v>108</v>
      </c>
      <c r="J31" s="1568"/>
      <c r="K31" s="1568"/>
      <c r="L31" s="1568"/>
      <c r="M31" s="1568"/>
      <c r="N31" s="1568"/>
      <c r="O31" s="1387"/>
      <c r="P31" s="515"/>
      <c r="Q31" s="457"/>
      <c r="R31" s="472"/>
      <c r="S31" s="520"/>
      <c r="AD31" s="473"/>
      <c r="AE31" s="474"/>
      <c r="AF31" s="474"/>
      <c r="AG31" s="474"/>
      <c r="AH31" s="473"/>
      <c r="AI31" s="473"/>
      <c r="AJ31" s="473"/>
      <c r="AK31" s="473"/>
      <c r="AL31" s="473"/>
      <c r="AM31" s="473"/>
      <c r="AN31" s="473"/>
      <c r="BB31" s="477"/>
      <c r="BP31" s="763"/>
      <c r="BQ31" s="773"/>
      <c r="BR31" s="763"/>
      <c r="BS31" s="773"/>
      <c r="BT31" s="773"/>
      <c r="BU31" s="773"/>
      <c r="BV31" s="763"/>
    </row>
    <row r="32" spans="2:74" ht="14.25" x14ac:dyDescent="0.15">
      <c r="B32" s="1392">
        <v>18</v>
      </c>
      <c r="C32" s="791" t="s">
        <v>538</v>
      </c>
      <c r="D32" s="1408"/>
      <c r="E32" s="793">
        <f>CRÍTICA_IGP1!M13</f>
        <v>0</v>
      </c>
      <c r="F32" s="1405"/>
      <c r="G32" s="793">
        <f>CRÍTICA_IGP1!N13</f>
        <v>0</v>
      </c>
      <c r="H32" s="1405"/>
      <c r="I32" s="1566" t="str">
        <f>CRÍTICA_IGP1!N68</f>
        <v>NÃO CABE</v>
      </c>
      <c r="J32" s="1566"/>
      <c r="K32" s="1566"/>
      <c r="L32" s="1566"/>
      <c r="M32" s="1566"/>
      <c r="N32" s="1566"/>
      <c r="O32" s="1387"/>
      <c r="P32" s="518"/>
      <c r="Q32" s="457"/>
      <c r="R32" s="472"/>
      <c r="S32" s="520"/>
      <c r="AD32" s="473"/>
      <c r="AE32" s="474"/>
      <c r="AF32" s="474"/>
      <c r="AG32" s="474"/>
      <c r="AH32" s="473"/>
      <c r="AI32" s="473"/>
      <c r="AJ32" s="473"/>
      <c r="AK32" s="473"/>
      <c r="AL32" s="473"/>
      <c r="AM32" s="473"/>
      <c r="AN32" s="473"/>
      <c r="BB32" s="477"/>
      <c r="BO32" s="457"/>
      <c r="BP32" s="763"/>
      <c r="BQ32" s="773"/>
      <c r="BR32" s="763"/>
      <c r="BS32" s="773"/>
      <c r="BT32" s="773"/>
      <c r="BU32" s="773"/>
      <c r="BV32" s="763"/>
    </row>
    <row r="33" spans="2:74" ht="14.25" x14ac:dyDescent="0.15">
      <c r="B33" s="1392">
        <v>19</v>
      </c>
      <c r="C33" s="791" t="s">
        <v>539</v>
      </c>
      <c r="D33" s="1408"/>
      <c r="E33" s="793">
        <f>CRÍTICA_IGP1!M14</f>
        <v>0</v>
      </c>
      <c r="F33" s="1405"/>
      <c r="G33" s="793">
        <f>CRÍTICA_IGP1!N14</f>
        <v>0</v>
      </c>
      <c r="H33" s="1405"/>
      <c r="I33" s="1566" t="str">
        <f>CRÍTICA_IGP1!N69</f>
        <v>NÃO CABE</v>
      </c>
      <c r="J33" s="1566"/>
      <c r="K33" s="1566"/>
      <c r="L33" s="1566"/>
      <c r="M33" s="1566"/>
      <c r="N33" s="1566"/>
      <c r="O33" s="1387"/>
      <c r="P33" s="518"/>
      <c r="Q33" s="457"/>
      <c r="R33" s="472"/>
      <c r="S33" s="520"/>
      <c r="AD33" s="473"/>
      <c r="AE33" s="474"/>
      <c r="AF33" s="474"/>
      <c r="AG33" s="474"/>
      <c r="AH33" s="473"/>
      <c r="AI33" s="473"/>
      <c r="AJ33" s="473"/>
      <c r="AK33" s="473"/>
      <c r="AL33" s="473"/>
      <c r="AM33" s="473"/>
      <c r="AN33" s="473"/>
      <c r="BB33" s="477"/>
      <c r="BO33" s="457"/>
      <c r="BP33" s="763"/>
      <c r="BQ33" s="773"/>
      <c r="BR33" s="763"/>
      <c r="BS33" s="773"/>
      <c r="BT33" s="773"/>
      <c r="BU33" s="773"/>
      <c r="BV33" s="763"/>
    </row>
    <row r="34" spans="2:74" ht="14.25" x14ac:dyDescent="0.15">
      <c r="B34" s="1406">
        <v>20</v>
      </c>
      <c r="C34" s="1403" t="s">
        <v>109</v>
      </c>
      <c r="D34" s="1404"/>
      <c r="E34" s="1411">
        <f>CRÍTICA_IGP1!M15</f>
        <v>0</v>
      </c>
      <c r="F34" s="1412"/>
      <c r="G34" s="1411">
        <f>CRÍTICA_IGP1!N15</f>
        <v>0</v>
      </c>
      <c r="H34" s="1386"/>
      <c r="I34" s="1575"/>
      <c r="J34" s="1575"/>
      <c r="K34" s="1575"/>
      <c r="L34" s="1575"/>
      <c r="M34" s="1575"/>
      <c r="N34" s="1575"/>
      <c r="O34" s="1387"/>
      <c r="P34" s="518"/>
      <c r="Q34" s="457"/>
      <c r="R34" s="472"/>
      <c r="S34" s="472"/>
      <c r="AD34" s="473"/>
      <c r="AE34" s="474"/>
      <c r="AF34" s="474"/>
      <c r="AG34" s="474"/>
      <c r="AH34" s="473"/>
      <c r="AI34" s="473"/>
      <c r="AJ34" s="473"/>
      <c r="AK34" s="473"/>
      <c r="AL34" s="473"/>
      <c r="AM34" s="473"/>
      <c r="AN34" s="473"/>
      <c r="BB34" s="477"/>
      <c r="BO34" s="457"/>
      <c r="BP34" s="773"/>
      <c r="BQ34" s="773"/>
      <c r="BR34" s="773"/>
      <c r="BS34" s="763"/>
      <c r="BT34" s="773"/>
      <c r="BU34" s="773"/>
      <c r="BV34" s="763"/>
    </row>
    <row r="35" spans="2:74" ht="6" customHeight="1" x14ac:dyDescent="0.15">
      <c r="B35" s="1392"/>
      <c r="C35" s="1402"/>
      <c r="D35" s="1408"/>
      <c r="E35" s="1389"/>
      <c r="F35" s="1389"/>
      <c r="G35" s="1389"/>
      <c r="H35" s="1389"/>
      <c r="I35" s="1395"/>
      <c r="J35" s="1395"/>
      <c r="K35" s="1395"/>
      <c r="L35" s="1395"/>
      <c r="M35" s="1395"/>
      <c r="N35" s="1395"/>
      <c r="O35" s="1387"/>
      <c r="P35" s="518"/>
      <c r="Q35" s="457"/>
      <c r="R35" s="472"/>
      <c r="S35" s="472"/>
      <c r="AD35" s="473"/>
      <c r="AE35" s="474"/>
      <c r="AF35" s="474"/>
      <c r="AG35" s="474"/>
      <c r="AH35" s="473"/>
      <c r="AI35" s="473"/>
      <c r="AJ35" s="473"/>
      <c r="AK35" s="473"/>
      <c r="AL35" s="473"/>
      <c r="AM35" s="473"/>
      <c r="AN35" s="473"/>
      <c r="BB35" s="477"/>
      <c r="BO35" s="457"/>
      <c r="BP35" s="773"/>
      <c r="BQ35" s="773"/>
      <c r="BR35" s="773"/>
      <c r="BS35" s="773"/>
      <c r="BT35" s="773"/>
      <c r="BU35" s="763"/>
      <c r="BV35" s="773"/>
    </row>
    <row r="36" spans="2:74" ht="14.25" x14ac:dyDescent="0.15">
      <c r="B36" s="1392">
        <v>20</v>
      </c>
      <c r="C36" s="791" t="s">
        <v>727</v>
      </c>
      <c r="D36" s="1408"/>
      <c r="E36" s="1567" t="str">
        <f>CRÍTICA_IGP1!N10</f>
        <v>-</v>
      </c>
      <c r="F36" s="1568"/>
      <c r="G36" s="1568"/>
      <c r="H36" s="1405"/>
      <c r="I36" s="1389"/>
      <c r="J36" s="1389"/>
      <c r="K36" s="1389"/>
      <c r="L36" s="1389"/>
      <c r="M36" s="1389"/>
      <c r="N36" s="1389"/>
      <c r="O36" s="1387"/>
      <c r="P36" s="518"/>
      <c r="Q36" s="457"/>
      <c r="R36" s="472"/>
      <c r="S36" s="472"/>
      <c r="AD36" s="473"/>
      <c r="AE36" s="474"/>
      <c r="AF36" s="474"/>
      <c r="AG36" s="474"/>
      <c r="AH36" s="473"/>
      <c r="AI36" s="473"/>
      <c r="AJ36" s="473"/>
      <c r="AK36" s="473"/>
      <c r="AL36" s="473"/>
      <c r="AM36" s="473"/>
      <c r="AN36" s="473"/>
      <c r="BB36" s="477"/>
      <c r="BO36" s="457"/>
      <c r="BP36" s="773"/>
      <c r="BQ36" s="773"/>
      <c r="BR36" s="773"/>
      <c r="BS36" s="773"/>
      <c r="BT36" s="773"/>
      <c r="BU36" s="763"/>
      <c r="BV36" s="773"/>
    </row>
    <row r="37" spans="2:74" ht="6" customHeight="1" thickBot="1" x14ac:dyDescent="0.2">
      <c r="B37" s="1392"/>
      <c r="C37" s="1393"/>
      <c r="D37" s="1393"/>
      <c r="E37" s="1393"/>
      <c r="F37" s="1393"/>
      <c r="G37" s="1393"/>
      <c r="H37" s="1393"/>
      <c r="I37" s="1393"/>
      <c r="J37" s="1393"/>
      <c r="K37" s="1393"/>
      <c r="L37" s="1393"/>
      <c r="M37" s="1393"/>
      <c r="N37" s="1393"/>
      <c r="O37" s="1387"/>
      <c r="P37" s="518"/>
      <c r="Q37" s="457"/>
      <c r="R37" s="472"/>
      <c r="S37" s="472"/>
      <c r="AD37" s="473"/>
      <c r="AE37" s="474"/>
      <c r="AF37" s="474"/>
      <c r="AG37" s="474"/>
      <c r="AH37" s="473"/>
      <c r="AI37" s="473"/>
      <c r="AJ37" s="473"/>
      <c r="AK37" s="473"/>
      <c r="AL37" s="473"/>
      <c r="AM37" s="473"/>
      <c r="AN37" s="473"/>
      <c r="BB37" s="477"/>
      <c r="BO37" s="457"/>
      <c r="BP37" s="773"/>
      <c r="BQ37" s="773"/>
      <c r="BR37" s="773"/>
      <c r="BS37" s="773"/>
      <c r="BT37" s="773"/>
      <c r="BU37" s="763"/>
      <c r="BV37" s="773"/>
    </row>
    <row r="38" spans="2:74" ht="18.75" thickTop="1" x14ac:dyDescent="0.2">
      <c r="B38" s="1392">
        <v>21</v>
      </c>
      <c r="C38" s="1563" t="s">
        <v>110</v>
      </c>
      <c r="D38" s="1564"/>
      <c r="E38" s="1564"/>
      <c r="F38" s="1564"/>
      <c r="G38" s="1564"/>
      <c r="H38" s="1564"/>
      <c r="I38" s="1564"/>
      <c r="J38" s="1564"/>
      <c r="K38" s="1564"/>
      <c r="L38" s="1564"/>
      <c r="M38" s="1564"/>
      <c r="N38" s="1565"/>
      <c r="O38" s="1387"/>
      <c r="P38" s="518"/>
      <c r="Q38" s="457"/>
      <c r="R38" s="472"/>
      <c r="S38" s="472"/>
      <c r="AD38" s="473"/>
      <c r="AE38" s="474"/>
      <c r="AF38" s="474"/>
      <c r="AG38" s="474"/>
      <c r="AH38" s="473"/>
      <c r="AI38" s="473"/>
      <c r="AJ38" s="473"/>
      <c r="AK38" s="473"/>
      <c r="AL38" s="473"/>
      <c r="AM38" s="473"/>
      <c r="AN38" s="473"/>
      <c r="BB38" s="477"/>
      <c r="BO38" s="457"/>
      <c r="BP38" s="773"/>
      <c r="BQ38" s="773"/>
      <c r="BR38" s="773"/>
      <c r="BS38" s="773"/>
      <c r="BT38" s="773"/>
      <c r="BU38" s="763"/>
      <c r="BV38" s="773"/>
    </row>
    <row r="39" spans="2:74" ht="14.25" x14ac:dyDescent="0.15">
      <c r="B39" s="1392"/>
      <c r="C39" s="977" t="str">
        <f>CRÍTICA_IGP1!B68</f>
        <v>ADMISSÃO :</v>
      </c>
      <c r="D39" s="935"/>
      <c r="E39" s="1042" t="str">
        <f>CRÍTICA_IGP1!C68</f>
        <v>FALTA DATA</v>
      </c>
      <c r="F39" s="935"/>
      <c r="G39" s="935"/>
      <c r="H39" s="935"/>
      <c r="I39" s="935"/>
      <c r="J39" s="935"/>
      <c r="K39" s="935"/>
      <c r="L39" s="935"/>
      <c r="M39" s="935"/>
      <c r="N39" s="978"/>
      <c r="O39" s="1387"/>
      <c r="P39" s="518"/>
      <c r="Q39" s="457"/>
      <c r="R39" s="472"/>
      <c r="S39" s="472"/>
      <c r="AD39" s="473"/>
      <c r="AE39" s="474"/>
      <c r="AF39" s="474"/>
      <c r="AG39" s="474"/>
      <c r="AH39" s="473"/>
      <c r="AI39" s="473"/>
      <c r="AJ39" s="473"/>
      <c r="AK39" s="473"/>
      <c r="AL39" s="473"/>
      <c r="AM39" s="473"/>
      <c r="AN39" s="473"/>
      <c r="BB39" s="477"/>
      <c r="BO39" s="457"/>
      <c r="BP39" s="773"/>
      <c r="BQ39" s="773"/>
      <c r="BR39" s="773"/>
      <c r="BS39" s="773"/>
      <c r="BT39" s="773"/>
      <c r="BU39" s="763"/>
      <c r="BV39" s="773"/>
    </row>
    <row r="40" spans="2:74" x14ac:dyDescent="0.15">
      <c r="B40" s="1392"/>
      <c r="C40" s="979"/>
      <c r="D40" s="936"/>
      <c r="E40" s="937">
        <f>CRÍTICA_IGP1!C69</f>
        <v>0</v>
      </c>
      <c r="F40" s="936"/>
      <c r="G40" s="936"/>
      <c r="H40" s="936"/>
      <c r="I40" s="936"/>
      <c r="J40" s="936"/>
      <c r="K40" s="936"/>
      <c r="L40" s="936"/>
      <c r="M40" s="936"/>
      <c r="N40" s="980"/>
      <c r="O40" s="1387"/>
      <c r="P40" s="515"/>
      <c r="AD40" s="473"/>
      <c r="AE40" s="474"/>
      <c r="AF40" s="474"/>
      <c r="AG40" s="474"/>
      <c r="AH40" s="473"/>
      <c r="AI40" s="473"/>
      <c r="AJ40" s="473"/>
      <c r="AK40" s="473"/>
      <c r="AL40" s="473"/>
      <c r="AM40" s="473"/>
      <c r="AN40" s="473"/>
      <c r="BB40" s="477"/>
    </row>
    <row r="41" spans="2:74" x14ac:dyDescent="0.15">
      <c r="B41" s="1392"/>
      <c r="C41" s="979" t="str">
        <f>CRÍTICA_IGP1!B70</f>
        <v>IDADE :</v>
      </c>
      <c r="D41" s="936"/>
      <c r="E41" s="976" t="b">
        <f>CRÍTICA_IGP1!E70</f>
        <v>0</v>
      </c>
      <c r="F41" s="936"/>
      <c r="G41" s="936"/>
      <c r="H41" s="936"/>
      <c r="I41" s="936"/>
      <c r="J41" s="936"/>
      <c r="K41" s="936"/>
      <c r="L41" s="936"/>
      <c r="M41" s="936"/>
      <c r="N41" s="980"/>
      <c r="O41" s="1387"/>
      <c r="P41" s="515"/>
      <c r="AD41" s="473"/>
      <c r="AE41" s="474"/>
      <c r="AF41" s="474"/>
      <c r="AG41" s="474"/>
      <c r="AH41" s="473"/>
      <c r="AI41" s="473"/>
      <c r="AJ41" s="473"/>
      <c r="AK41" s="473"/>
      <c r="AL41" s="473"/>
      <c r="AM41" s="473"/>
      <c r="AN41" s="473"/>
      <c r="BB41" s="477"/>
    </row>
    <row r="42" spans="2:74" x14ac:dyDescent="0.15">
      <c r="B42" s="1392"/>
      <c r="C42" s="979" t="s">
        <v>745</v>
      </c>
      <c r="D42" s="936"/>
      <c r="E42" s="976" t="str">
        <f>IF(AND($E$6=$M$48,$E$20&lt;=$K$51,OR($E$4=$F$52,$E$4=$F$53)),CRÍTICA_IGP1!$BO$17,CRÍTICA_IGP1!$D$73)</f>
        <v>REVER FUNDAMENTAÇÃO E/OU MODALIDADE</v>
      </c>
      <c r="F42" s="936"/>
      <c r="G42" s="936"/>
      <c r="H42" s="936"/>
      <c r="I42" s="936"/>
      <c r="J42" s="936"/>
      <c r="K42" s="936"/>
      <c r="L42" s="936"/>
      <c r="M42" s="936"/>
      <c r="N42" s="980"/>
      <c r="O42" s="1387"/>
      <c r="P42" s="515"/>
      <c r="AD42" s="473"/>
      <c r="AE42" s="474"/>
      <c r="AF42" s="474"/>
      <c r="AG42" s="474"/>
      <c r="AH42" s="473"/>
      <c r="AI42" s="473"/>
      <c r="AJ42" s="473"/>
      <c r="AK42" s="473"/>
      <c r="AL42" s="473"/>
      <c r="AM42" s="473"/>
      <c r="AN42" s="473"/>
      <c r="BB42" s="477"/>
    </row>
    <row r="43" spans="2:74" ht="14.25" thickBot="1" x14ac:dyDescent="0.2">
      <c r="B43" s="1392"/>
      <c r="C43" s="1573" t="s">
        <v>257</v>
      </c>
      <c r="D43" s="1574"/>
      <c r="E43" s="1574"/>
      <c r="F43" s="1574"/>
      <c r="G43" s="1574"/>
      <c r="H43" s="1574"/>
      <c r="I43" s="1574"/>
      <c r="J43" s="981"/>
      <c r="K43" s="1243" t="e">
        <f>IF(OR($E$6=$M$50,$E$6=$M$51,$E$6=$M$52,AND($E$6=$M$48,$M$29="X")),CRÍTICA_IGP1!$AB$97,IF(AND($E$6=$M$47,CRÍTICA_IGP1!$AB$97&lt;CRÍTICA_IGP1!$Q$11),CRÍTICA_IGP1!AB97,IF(AND($E$6=$M$49,CRÍTICA_IGP1!$AB$97&lt;CRÍTICA_IGP1!$Q$13),CRÍTICA_IGP1!$AB$97,IF(AND($E$6=$M$48,$I$29="X",CRÍTICA_IGP1!$AB$97&lt;CRÍTICA_IGP1!$Q$12),CRÍTICA_IGP1!$AB$97,"REVER"))))</f>
        <v>#VALUE!</v>
      </c>
      <c r="L43" s="981"/>
      <c r="M43" s="981"/>
      <c r="N43" s="982"/>
      <c r="O43" s="1387"/>
      <c r="P43" s="515"/>
      <c r="AD43" s="473"/>
      <c r="AE43" s="474"/>
      <c r="AF43" s="474"/>
      <c r="AG43" s="474"/>
      <c r="AH43" s="473"/>
      <c r="AI43" s="473"/>
      <c r="AJ43" s="473"/>
      <c r="AK43" s="473"/>
      <c r="AL43" s="473"/>
      <c r="AM43" s="473"/>
      <c r="AN43" s="473"/>
      <c r="BB43" s="477"/>
    </row>
    <row r="44" spans="2:74" ht="18.75" thickTop="1" x14ac:dyDescent="0.2">
      <c r="B44" s="1392"/>
      <c r="C44" s="1569" t="s">
        <v>23</v>
      </c>
      <c r="D44" s="1569"/>
      <c r="E44" s="1569"/>
      <c r="F44" s="1569"/>
      <c r="G44" s="1569"/>
      <c r="H44" s="1569"/>
      <c r="I44" s="1569"/>
      <c r="J44" s="1569"/>
      <c r="K44" s="1569"/>
      <c r="L44" s="1569"/>
      <c r="M44" s="1569"/>
      <c r="N44" s="1569"/>
      <c r="O44" s="1387"/>
      <c r="P44" s="515"/>
      <c r="AD44" s="473"/>
      <c r="AE44" s="474"/>
      <c r="AF44" s="474"/>
      <c r="AG44" s="474"/>
      <c r="AH44" s="473"/>
      <c r="AI44" s="473"/>
      <c r="AJ44" s="473"/>
      <c r="AK44" s="473"/>
      <c r="AL44" s="473"/>
      <c r="AM44" s="473"/>
      <c r="AN44" s="473"/>
      <c r="BB44" s="477"/>
    </row>
    <row r="45" spans="2:74" ht="14.25" x14ac:dyDescent="0.15">
      <c r="B45" s="40"/>
      <c r="C45" s="1559" t="s">
        <v>32</v>
      </c>
      <c r="D45" s="1559"/>
      <c r="E45" s="395"/>
      <c r="F45" s="967" t="s">
        <v>33</v>
      </c>
      <c r="G45" s="966"/>
      <c r="H45" s="150"/>
      <c r="I45" s="150"/>
      <c r="J45" s="150"/>
      <c r="K45" s="5"/>
      <c r="L45" s="150"/>
      <c r="M45" s="150"/>
      <c r="N45" s="234"/>
      <c r="O45" s="260"/>
      <c r="P45" s="545"/>
      <c r="Q45" s="516"/>
      <c r="R45" s="516"/>
      <c r="S45" s="516"/>
      <c r="T45" s="516"/>
      <c r="U45" s="516"/>
      <c r="V45" s="516"/>
      <c r="W45" s="516"/>
      <c r="X45" s="516"/>
      <c r="Y45" s="516"/>
      <c r="Z45" s="516"/>
      <c r="AA45" s="516"/>
      <c r="AB45" s="516"/>
      <c r="AC45" s="516"/>
      <c r="AD45" s="516"/>
      <c r="AE45" s="516"/>
      <c r="AF45" s="516"/>
      <c r="AG45" s="516"/>
      <c r="AH45" s="516"/>
      <c r="AI45" s="516"/>
      <c r="AJ45" s="516"/>
      <c r="AK45" s="516"/>
      <c r="AL45" s="516"/>
      <c r="AM45" s="516"/>
      <c r="AN45" s="516"/>
      <c r="AO45" s="516"/>
      <c r="AP45" s="516"/>
      <c r="AQ45" s="516"/>
      <c r="AR45" s="516"/>
      <c r="AS45" s="516"/>
      <c r="AT45" s="516"/>
      <c r="AU45" s="516"/>
      <c r="AV45" s="516"/>
      <c r="AW45" s="516"/>
      <c r="AX45" s="516"/>
      <c r="AY45" s="516"/>
      <c r="AZ45" s="516"/>
      <c r="BB45" s="477"/>
    </row>
    <row r="46" spans="2:74" ht="15" hidden="1" thickBot="1" x14ac:dyDescent="0.2">
      <c r="B46" s="40"/>
      <c r="C46" s="248" t="s">
        <v>720</v>
      </c>
      <c r="D46" s="54"/>
      <c r="E46" s="423"/>
      <c r="F46" s="1538" t="s">
        <v>449</v>
      </c>
      <c r="G46" s="1539"/>
      <c r="H46" s="1536" t="s">
        <v>546</v>
      </c>
      <c r="I46" s="1536"/>
      <c r="J46" s="1537"/>
      <c r="K46" s="248" t="s">
        <v>89</v>
      </c>
      <c r="L46" s="774"/>
      <c r="M46" s="248" t="s">
        <v>88</v>
      </c>
      <c r="O46" s="424"/>
      <c r="P46" s="515"/>
      <c r="Q46" s="521"/>
      <c r="AD46" s="473"/>
      <c r="AE46" s="474"/>
      <c r="AF46" s="474"/>
      <c r="AG46" s="474"/>
      <c r="AH46" s="473"/>
      <c r="AI46" s="473"/>
      <c r="AJ46" s="473"/>
      <c r="AK46" s="473"/>
      <c r="AL46" s="473"/>
      <c r="AM46" s="473"/>
      <c r="AN46" s="473"/>
      <c r="AY46" s="473"/>
      <c r="AZ46" s="473"/>
      <c r="BA46" s="473"/>
      <c r="BB46" s="522"/>
    </row>
    <row r="47" spans="2:74" ht="14.25" hidden="1" x14ac:dyDescent="0.15">
      <c r="B47" s="40">
        <v>1</v>
      </c>
      <c r="C47" s="51" t="s">
        <v>550</v>
      </c>
      <c r="D47" s="54"/>
      <c r="E47" s="431"/>
      <c r="F47" s="91" t="s">
        <v>450</v>
      </c>
      <c r="G47" s="90"/>
      <c r="H47" s="90"/>
      <c r="I47" s="775"/>
      <c r="J47" s="776"/>
      <c r="K47" s="72" t="s">
        <v>590</v>
      </c>
      <c r="M47" s="768" t="s">
        <v>463</v>
      </c>
      <c r="O47" s="484"/>
      <c r="P47" s="518"/>
      <c r="Q47" s="523"/>
      <c r="AD47" s="473"/>
      <c r="AE47" s="474"/>
      <c r="AF47" s="474"/>
      <c r="AG47" s="474"/>
      <c r="AH47" s="474"/>
      <c r="AI47" s="474"/>
      <c r="AJ47" s="474"/>
      <c r="AK47" s="474"/>
      <c r="AL47" s="474"/>
      <c r="AM47" s="474"/>
      <c r="AN47" s="474"/>
      <c r="AO47" s="474"/>
      <c r="AP47" s="474"/>
      <c r="AQ47" s="474"/>
      <c r="AR47" s="474"/>
      <c r="AS47" s="474"/>
      <c r="AT47" s="474"/>
      <c r="AU47" s="474"/>
      <c r="AV47" s="474"/>
      <c r="AW47" s="474"/>
      <c r="AX47" s="474"/>
      <c r="AY47" s="474"/>
      <c r="AZ47" s="474"/>
      <c r="BB47" s="477"/>
    </row>
    <row r="48" spans="2:74" ht="14.25" hidden="1" x14ac:dyDescent="0.15">
      <c r="B48" s="40" t="s">
        <v>721</v>
      </c>
      <c r="C48" s="51" t="s">
        <v>615</v>
      </c>
      <c r="D48" s="247"/>
      <c r="E48" s="431"/>
      <c r="F48" s="91" t="s">
        <v>455</v>
      </c>
      <c r="G48" s="90"/>
      <c r="H48" s="90"/>
      <c r="I48" s="775"/>
      <c r="J48" s="776"/>
      <c r="K48" s="777" t="s">
        <v>591</v>
      </c>
      <c r="M48" s="768" t="s">
        <v>485</v>
      </c>
      <c r="O48" s="424"/>
      <c r="P48" s="515"/>
      <c r="Q48" s="521"/>
      <c r="R48" s="524"/>
      <c r="S48" s="524"/>
      <c r="T48" s="524"/>
      <c r="U48" s="524"/>
      <c r="V48" s="524"/>
      <c r="W48" s="524"/>
      <c r="X48" s="524"/>
      <c r="Y48" s="524"/>
      <c r="Z48" s="524"/>
      <c r="AA48" s="524"/>
      <c r="AB48" s="524"/>
      <c r="AC48" s="524"/>
      <c r="AD48" s="524"/>
      <c r="AE48" s="524"/>
      <c r="AF48" s="524"/>
      <c r="AG48" s="524"/>
      <c r="AH48" s="524"/>
      <c r="AI48" s="524"/>
      <c r="AJ48" s="524"/>
      <c r="AK48" s="524"/>
      <c r="AL48" s="524"/>
      <c r="AM48" s="524"/>
      <c r="AN48" s="524"/>
      <c r="AO48" s="524"/>
      <c r="AP48" s="524"/>
      <c r="AQ48" s="524"/>
      <c r="AR48" s="524"/>
      <c r="AS48" s="524"/>
      <c r="AT48" s="524"/>
      <c r="AU48" s="524"/>
      <c r="AV48" s="524"/>
      <c r="AW48" s="524"/>
      <c r="AX48" s="524"/>
      <c r="AY48" s="524"/>
      <c r="AZ48" s="524"/>
      <c r="BB48" s="477"/>
    </row>
    <row r="49" spans="2:54" ht="14.25" hidden="1" x14ac:dyDescent="0.15">
      <c r="B49" s="40">
        <v>2</v>
      </c>
      <c r="C49" s="338" t="s">
        <v>617</v>
      </c>
      <c r="D49" s="109"/>
      <c r="E49" s="431"/>
      <c r="F49" s="91" t="s">
        <v>467</v>
      </c>
      <c r="G49" s="90"/>
      <c r="H49" s="90"/>
      <c r="I49" s="775"/>
      <c r="J49" s="776"/>
      <c r="K49" s="777" t="s">
        <v>592</v>
      </c>
      <c r="M49" s="768" t="s">
        <v>476</v>
      </c>
      <c r="O49" s="424"/>
      <c r="P49" s="515"/>
      <c r="Q49" s="521"/>
      <c r="R49" s="524"/>
      <c r="S49" s="524"/>
      <c r="T49" s="524"/>
      <c r="U49" s="524"/>
      <c r="V49" s="524"/>
      <c r="W49" s="524"/>
      <c r="X49" s="524"/>
      <c r="Y49" s="524"/>
      <c r="Z49" s="524"/>
      <c r="AA49" s="524"/>
      <c r="AB49" s="524"/>
      <c r="AC49" s="524"/>
      <c r="AD49" s="524"/>
      <c r="AE49" s="524"/>
      <c r="AF49" s="524"/>
      <c r="AG49" s="524"/>
      <c r="AH49" s="524"/>
      <c r="AI49" s="524"/>
      <c r="AJ49" s="524"/>
      <c r="AK49" s="524"/>
      <c r="AL49" s="524"/>
      <c r="AM49" s="524"/>
      <c r="AN49" s="524"/>
      <c r="AO49" s="524"/>
      <c r="AP49" s="524"/>
      <c r="AQ49" s="524"/>
      <c r="AR49" s="524"/>
      <c r="AS49" s="524"/>
      <c r="AT49" s="524"/>
      <c r="AU49" s="524"/>
      <c r="AV49" s="524"/>
      <c r="AW49" s="524"/>
      <c r="AX49" s="524"/>
      <c r="AY49" s="524"/>
      <c r="AZ49" s="524"/>
      <c r="BB49" s="477"/>
    </row>
    <row r="50" spans="2:54" ht="14.25" hidden="1" x14ac:dyDescent="0.15">
      <c r="B50" s="40">
        <v>3</v>
      </c>
      <c r="C50" s="345" t="s">
        <v>645</v>
      </c>
      <c r="D50" s="104"/>
      <c r="E50" s="431"/>
      <c r="F50" s="91" t="s">
        <v>468</v>
      </c>
      <c r="G50" s="90"/>
      <c r="H50" s="90"/>
      <c r="I50" s="775"/>
      <c r="J50" s="776"/>
      <c r="K50" s="777"/>
      <c r="M50" s="767" t="s">
        <v>464</v>
      </c>
      <c r="O50" s="484"/>
      <c r="P50" s="515"/>
      <c r="Q50" s="521"/>
      <c r="AE50" s="456"/>
      <c r="AF50" s="456"/>
      <c r="AG50" s="456"/>
      <c r="BB50" s="477"/>
    </row>
    <row r="51" spans="2:54" ht="14.25" hidden="1" x14ac:dyDescent="0.15">
      <c r="B51" s="40">
        <v>4</v>
      </c>
      <c r="C51" s="338" t="s">
        <v>618</v>
      </c>
      <c r="D51" s="104"/>
      <c r="E51" s="431"/>
      <c r="F51" s="91" t="s">
        <v>470</v>
      </c>
      <c r="G51" s="90"/>
      <c r="H51" s="90"/>
      <c r="I51" s="775"/>
      <c r="J51" s="776"/>
      <c r="K51" s="1037">
        <v>37986</v>
      </c>
      <c r="M51" s="767" t="s">
        <v>465</v>
      </c>
      <c r="O51" s="424"/>
      <c r="P51" s="515"/>
      <c r="Q51" s="521"/>
      <c r="R51" s="525"/>
      <c r="S51" s="524"/>
      <c r="T51" s="525"/>
      <c r="U51" s="524"/>
      <c r="V51" s="525"/>
      <c r="W51" s="524"/>
      <c r="X51" s="525"/>
      <c r="Y51" s="524"/>
      <c r="Z51" s="525"/>
      <c r="AA51" s="524"/>
      <c r="AB51" s="525"/>
      <c r="AC51" s="524"/>
      <c r="AD51" s="525"/>
      <c r="AE51" s="524"/>
      <c r="AF51" s="525"/>
      <c r="AG51" s="524"/>
      <c r="AH51" s="525"/>
      <c r="AI51" s="524"/>
      <c r="AJ51" s="525"/>
      <c r="AK51" s="524"/>
      <c r="AL51" s="525"/>
      <c r="AM51" s="524"/>
      <c r="AN51" s="525"/>
      <c r="AO51" s="524"/>
      <c r="AP51" s="525"/>
      <c r="AQ51" s="524"/>
      <c r="AR51" s="525"/>
      <c r="AS51" s="524"/>
      <c r="AT51" s="525"/>
      <c r="AU51" s="524"/>
      <c r="BB51" s="477"/>
    </row>
    <row r="52" spans="2:54" ht="14.25" hidden="1" x14ac:dyDescent="0.15">
      <c r="B52" s="40">
        <v>5</v>
      </c>
      <c r="C52" s="345" t="s">
        <v>646</v>
      </c>
      <c r="D52" s="104"/>
      <c r="E52" s="431"/>
      <c r="F52" s="91" t="s">
        <v>471</v>
      </c>
      <c r="G52" s="90"/>
      <c r="H52" s="90"/>
      <c r="I52" s="769"/>
      <c r="J52" s="771"/>
      <c r="K52" s="517"/>
      <c r="M52" s="767" t="s">
        <v>466</v>
      </c>
      <c r="O52" s="424"/>
      <c r="P52" s="515"/>
      <c r="AE52" s="456"/>
      <c r="AF52" s="456"/>
      <c r="AG52" s="456"/>
      <c r="AY52" s="474"/>
      <c r="BB52" s="477"/>
    </row>
    <row r="53" spans="2:54" ht="15" hidden="1" thickBot="1" x14ac:dyDescent="0.2">
      <c r="B53" s="40">
        <v>6</v>
      </c>
      <c r="C53" s="345" t="s">
        <v>647</v>
      </c>
      <c r="D53" s="104"/>
      <c r="E53" s="431"/>
      <c r="F53" s="93" t="s">
        <v>472</v>
      </c>
      <c r="G53" s="90"/>
      <c r="H53" s="90"/>
      <c r="I53" s="770"/>
      <c r="J53" s="772"/>
      <c r="K53" s="527"/>
      <c r="L53" s="515"/>
      <c r="M53" s="528" t="s">
        <v>3</v>
      </c>
      <c r="N53" s="515"/>
      <c r="O53" s="515"/>
      <c r="P53" s="515"/>
      <c r="Q53" s="521"/>
      <c r="AD53" s="473"/>
      <c r="AE53" s="474"/>
      <c r="AF53" s="474"/>
      <c r="AG53" s="474"/>
      <c r="AV53" s="524"/>
      <c r="AW53" s="524"/>
      <c r="AX53" s="524"/>
      <c r="AY53" s="524"/>
      <c r="BB53" s="477"/>
    </row>
    <row r="54" spans="2:54" ht="14.25" hidden="1" x14ac:dyDescent="0.15">
      <c r="B54" s="40">
        <v>7</v>
      </c>
      <c r="C54" s="51" t="s">
        <v>551</v>
      </c>
      <c r="D54" s="104"/>
      <c r="E54" s="478"/>
      <c r="F54" s="93" t="s">
        <v>487</v>
      </c>
      <c r="G54" s="90"/>
      <c r="H54" s="90"/>
      <c r="I54" s="769"/>
      <c r="J54" s="771"/>
      <c r="K54" s="1531" t="s">
        <v>471</v>
      </c>
      <c r="L54" s="515"/>
      <c r="M54" s="1035" t="str">
        <f>IF($E$8="REVER FUNDAMENTAÇÃO E/OU MODALIDADE","REVER",IF(AND($E$20&lt;$K$51,$E$6=$M$47,$E$4=$F$52),"SIM",IF(AND($E$20&lt;$K$51,$E$6=$M$48,$E$4=$F$52),IF(OR($I$29="X",$M$29="X"),"SIM","NÃO"),"NÃO")))</f>
        <v>REVER</v>
      </c>
      <c r="N54" s="1533" t="s">
        <v>260</v>
      </c>
      <c r="O54" s="1534"/>
      <c r="P54" s="459">
        <v>1</v>
      </c>
      <c r="Q54" s="521"/>
      <c r="R54" s="524"/>
      <c r="S54" s="524"/>
      <c r="T54" s="524"/>
      <c r="U54" s="524"/>
      <c r="V54" s="524"/>
      <c r="W54" s="524"/>
      <c r="X54" s="524"/>
      <c r="Y54" s="524"/>
      <c r="Z54" s="524"/>
      <c r="AA54" s="524"/>
      <c r="AB54" s="524"/>
      <c r="AC54" s="524"/>
      <c r="AD54" s="524"/>
      <c r="AE54" s="524"/>
      <c r="AF54" s="524"/>
      <c r="AG54" s="524"/>
      <c r="AH54" s="473"/>
      <c r="BB54" s="477"/>
    </row>
    <row r="55" spans="2:54" ht="15" hidden="1" thickBot="1" x14ac:dyDescent="0.2">
      <c r="B55" s="40">
        <v>8</v>
      </c>
      <c r="C55" s="51" t="s">
        <v>552</v>
      </c>
      <c r="D55" s="46"/>
      <c r="E55" s="426"/>
      <c r="F55" s="94" t="s">
        <v>484</v>
      </c>
      <c r="G55" s="95"/>
      <c r="H55" s="95"/>
      <c r="I55" s="778"/>
      <c r="J55" s="779"/>
      <c r="K55" s="1532"/>
      <c r="L55" s="424"/>
      <c r="M55" s="1036" t="str">
        <f>IF($E$8="REVER FUNDAMENTAÇÃO E/OU MODALIDADE","REVER",IF($E$20&gt;=$K$51,IF(AND($E$6=$M$48,$M$29="X",$E$4=$F$52),"SIM","NÃO"),"NÃO"))</f>
        <v>REVER</v>
      </c>
      <c r="N55" s="458" t="s">
        <v>610</v>
      </c>
      <c r="O55" s="515"/>
      <c r="P55" s="414">
        <v>2</v>
      </c>
      <c r="AE55" s="456"/>
      <c r="AF55" s="456"/>
      <c r="AG55" s="456"/>
      <c r="AH55" s="473"/>
      <c r="BB55" s="477"/>
    </row>
    <row r="56" spans="2:54" ht="14.25" hidden="1" x14ac:dyDescent="0.15">
      <c r="B56" s="40">
        <v>9</v>
      </c>
      <c r="C56" s="51" t="s">
        <v>553</v>
      </c>
      <c r="D56" s="247"/>
      <c r="E56" s="484"/>
      <c r="F56" s="515" t="s">
        <v>4</v>
      </c>
      <c r="I56" s="424"/>
      <c r="J56" s="424"/>
      <c r="K56" s="1531" t="s">
        <v>472</v>
      </c>
      <c r="L56" s="424"/>
      <c r="M56" s="1035" t="str">
        <f>IF($E$8="REVER FUNDAMENTAÇÃO E/OU MODALIDADE","REVER",IF(AND($E$20&lt;$K$51,$E$6=$M$47,$E$4=$F$53),"SIM",IF(AND($E$20&lt;$K$51,$E$6=$M$48,$E$4=$F$53),IF(OR($I$29="X",$M$29="X"),"SIM","NÃO"),"NÃO")))</f>
        <v>REVER</v>
      </c>
      <c r="N56" s="458" t="s">
        <v>260</v>
      </c>
      <c r="O56" s="428"/>
      <c r="P56" s="414">
        <v>3</v>
      </c>
      <c r="Q56" s="521"/>
      <c r="AE56" s="456"/>
      <c r="AF56" s="456"/>
      <c r="AG56" s="456"/>
      <c r="BB56" s="477"/>
    </row>
    <row r="57" spans="2:54" ht="15" hidden="1" thickBot="1" x14ac:dyDescent="0.2">
      <c r="B57" s="40" t="s">
        <v>722</v>
      </c>
      <c r="C57" s="51" t="s">
        <v>616</v>
      </c>
      <c r="D57" s="109"/>
      <c r="E57" s="479"/>
      <c r="F57" s="1529"/>
      <c r="G57" s="1529"/>
      <c r="H57" s="1529"/>
      <c r="I57" s="1529"/>
      <c r="J57" s="424"/>
      <c r="K57" s="1532"/>
      <c r="L57" s="424"/>
      <c r="M57" s="1036" t="str">
        <f>IF($E$8="REVER FUNDAMENTAÇÃO E/OU MODALIDADE","REVER",IF($E$20&gt;=$K$51,IF(AND($E$6=$M$48,$M$29="X",$E$4=$F$53),"SIM","NÃO"),"NÃO"))</f>
        <v>REVER</v>
      </c>
      <c r="N57" s="458" t="s">
        <v>610</v>
      </c>
      <c r="O57" s="424"/>
      <c r="P57" s="414">
        <v>4</v>
      </c>
      <c r="Q57" s="521"/>
      <c r="R57" s="524"/>
      <c r="S57" s="524"/>
      <c r="T57" s="524"/>
      <c r="U57" s="524"/>
      <c r="V57" s="524"/>
      <c r="W57" s="524"/>
      <c r="X57" s="524"/>
      <c r="Y57" s="524"/>
      <c r="Z57" s="524"/>
      <c r="AA57" s="524"/>
      <c r="AB57" s="524"/>
      <c r="AC57" s="524"/>
      <c r="AD57" s="524"/>
      <c r="AE57" s="524"/>
      <c r="AF57" s="524"/>
      <c r="AG57" s="524"/>
      <c r="AH57" s="524"/>
      <c r="AI57" s="524"/>
      <c r="AJ57" s="524"/>
      <c r="AK57" s="524"/>
      <c r="AL57" s="524"/>
      <c r="AM57" s="524"/>
      <c r="AN57" s="524"/>
      <c r="AO57" s="524"/>
      <c r="AP57" s="524"/>
      <c r="AQ57" s="524"/>
      <c r="AR57" s="524"/>
      <c r="AS57" s="524"/>
      <c r="AT57" s="524"/>
      <c r="AU57" s="524"/>
      <c r="AV57" s="524"/>
      <c r="AW57" s="524"/>
      <c r="AX57" s="524"/>
      <c r="AY57" s="524"/>
      <c r="AZ57" s="524"/>
      <c r="BB57" s="477"/>
    </row>
    <row r="58" spans="2:54" ht="14.25" hidden="1" x14ac:dyDescent="0.15">
      <c r="B58" s="40">
        <v>10</v>
      </c>
      <c r="C58" s="338" t="s">
        <v>619</v>
      </c>
      <c r="D58" s="104"/>
      <c r="E58" s="431"/>
      <c r="F58" s="1168"/>
      <c r="G58" s="519"/>
      <c r="H58" s="424"/>
      <c r="I58" s="529"/>
      <c r="J58" s="424"/>
      <c r="K58" s="424"/>
      <c r="L58" s="546"/>
      <c r="M58" s="517"/>
      <c r="N58" s="546"/>
      <c r="O58" s="517"/>
      <c r="P58" s="515"/>
      <c r="AE58" s="456"/>
      <c r="AF58" s="456"/>
      <c r="AG58" s="456"/>
      <c r="BB58" s="477"/>
    </row>
    <row r="59" spans="2:54" ht="14.25" hidden="1" x14ac:dyDescent="0.15">
      <c r="B59" s="40">
        <v>11</v>
      </c>
      <c r="C59" s="345" t="s">
        <v>648</v>
      </c>
      <c r="D59" s="104"/>
      <c r="E59" s="481"/>
      <c r="F59" s="1168"/>
      <c r="G59" s="424"/>
      <c r="H59" s="424"/>
      <c r="I59" s="424"/>
      <c r="J59" s="424"/>
      <c r="L59" s="424"/>
      <c r="M59" s="424"/>
      <c r="N59" s="780"/>
      <c r="O59" s="424"/>
      <c r="P59" s="515"/>
      <c r="Q59" s="521"/>
      <c r="R59" s="516"/>
      <c r="AE59" s="456"/>
      <c r="AF59" s="456"/>
      <c r="AG59" s="456"/>
      <c r="BB59" s="477"/>
    </row>
    <row r="60" spans="2:54" hidden="1" x14ac:dyDescent="0.15">
      <c r="B60" s="40">
        <v>12</v>
      </c>
      <c r="C60" s="345" t="s">
        <v>649</v>
      </c>
      <c r="D60" s="104"/>
      <c r="E60" s="429"/>
      <c r="F60" s="1168"/>
      <c r="G60" s="458"/>
      <c r="H60" s="458"/>
      <c r="I60" s="458"/>
      <c r="J60" s="460"/>
      <c r="P60" s="515"/>
      <c r="Q60" s="523"/>
      <c r="AE60" s="456"/>
      <c r="AF60" s="456"/>
      <c r="AG60" s="456"/>
      <c r="AH60" s="524"/>
      <c r="BB60" s="477"/>
    </row>
    <row r="61" spans="2:54" ht="14.25" hidden="1" x14ac:dyDescent="0.15">
      <c r="B61" s="40">
        <v>13</v>
      </c>
      <c r="C61" s="338" t="s">
        <v>620</v>
      </c>
      <c r="D61" s="104"/>
      <c r="E61" s="430"/>
      <c r="F61" s="1168"/>
      <c r="G61" s="430"/>
      <c r="H61" s="430"/>
      <c r="I61" s="430"/>
      <c r="J61" s="430"/>
      <c r="L61" s="430"/>
      <c r="M61" s="430"/>
      <c r="N61" s="430"/>
      <c r="O61" s="430"/>
      <c r="P61" s="515"/>
      <c r="Q61" s="521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473"/>
      <c r="AE61" s="474"/>
      <c r="AF61" s="474"/>
      <c r="AG61" s="456"/>
      <c r="BB61" s="477"/>
    </row>
    <row r="62" spans="2:54" ht="14.25" hidden="1" x14ac:dyDescent="0.15">
      <c r="B62" s="40">
        <v>14</v>
      </c>
      <c r="C62" s="345" t="s">
        <v>650</v>
      </c>
      <c r="D62" s="104"/>
      <c r="E62" s="530"/>
      <c r="F62" s="1169"/>
      <c r="G62" s="519"/>
      <c r="H62" s="424"/>
      <c r="I62" s="424"/>
      <c r="J62" s="484"/>
      <c r="K62" s="484"/>
      <c r="L62" s="484"/>
      <c r="M62" s="484"/>
      <c r="N62" s="484"/>
      <c r="O62" s="484"/>
      <c r="P62" s="515"/>
      <c r="AE62" s="456"/>
      <c r="AF62" s="456"/>
      <c r="AG62" s="456"/>
      <c r="BB62" s="477"/>
    </row>
    <row r="63" spans="2:54" ht="14.25" hidden="1" x14ac:dyDescent="0.15">
      <c r="B63" s="40">
        <v>15</v>
      </c>
      <c r="C63" s="345" t="s">
        <v>651</v>
      </c>
      <c r="D63" s="104"/>
      <c r="E63" s="430"/>
      <c r="F63" s="531"/>
      <c r="G63" s="423"/>
      <c r="H63" s="424"/>
      <c r="I63" s="532"/>
      <c r="J63" s="424"/>
      <c r="K63" s="519"/>
      <c r="L63" s="519"/>
      <c r="M63" s="424"/>
      <c r="N63" s="533"/>
      <c r="O63" s="424"/>
      <c r="P63" s="515"/>
      <c r="Q63" s="521"/>
      <c r="AE63" s="456"/>
      <c r="AF63" s="456"/>
      <c r="AG63" s="456"/>
      <c r="BB63" s="477"/>
    </row>
    <row r="64" spans="2:54" ht="14.25" hidden="1" x14ac:dyDescent="0.15">
      <c r="B64" s="40">
        <v>16</v>
      </c>
      <c r="C64" s="339" t="s">
        <v>621</v>
      </c>
      <c r="D64" s="104"/>
      <c r="E64" s="430"/>
      <c r="F64" s="1170"/>
      <c r="G64" s="423"/>
      <c r="H64" s="424"/>
      <c r="I64" s="519"/>
      <c r="J64" s="424"/>
      <c r="K64" s="519"/>
      <c r="L64" s="424"/>
      <c r="M64" s="424"/>
      <c r="N64" s="519"/>
      <c r="O64" s="424"/>
      <c r="P64" s="528"/>
      <c r="Q64" s="521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524"/>
      <c r="BB64" s="477"/>
    </row>
    <row r="65" spans="2:54" ht="14.25" hidden="1" x14ac:dyDescent="0.15">
      <c r="B65" s="40">
        <v>17</v>
      </c>
      <c r="C65" s="345" t="s">
        <v>652</v>
      </c>
      <c r="D65" s="104"/>
      <c r="E65" s="430"/>
      <c r="F65" s="1170"/>
      <c r="G65" s="426"/>
      <c r="H65" s="424"/>
      <c r="I65" s="519"/>
      <c r="J65" s="424"/>
      <c r="K65" s="519"/>
      <c r="L65" s="424"/>
      <c r="M65" s="424"/>
      <c r="N65" s="519"/>
      <c r="O65" s="424"/>
      <c r="P65" s="528"/>
      <c r="AE65" s="456"/>
      <c r="AF65" s="456"/>
      <c r="AG65" s="456"/>
      <c r="BB65" s="477"/>
    </row>
    <row r="66" spans="2:54" ht="14.25" hidden="1" x14ac:dyDescent="0.15">
      <c r="B66" s="40">
        <v>18</v>
      </c>
      <c r="C66" s="345" t="s">
        <v>653</v>
      </c>
      <c r="D66" s="104"/>
      <c r="E66" s="432"/>
      <c r="F66" s="1171"/>
      <c r="G66" s="519"/>
      <c r="H66" s="424"/>
      <c r="I66" s="424"/>
      <c r="J66" s="424"/>
      <c r="K66" s="424"/>
      <c r="L66" s="424"/>
      <c r="M66" s="424"/>
      <c r="N66" s="533"/>
      <c r="O66" s="424"/>
      <c r="P66" s="515"/>
      <c r="Q66" s="521"/>
      <c r="AD66" s="473"/>
      <c r="AE66" s="474"/>
      <c r="AF66" s="474"/>
      <c r="AG66" s="474"/>
      <c r="AH66" s="473"/>
      <c r="BB66" s="477"/>
    </row>
    <row r="67" spans="2:54" ht="14.25" hidden="1" x14ac:dyDescent="0.15">
      <c r="B67" s="40">
        <v>19</v>
      </c>
      <c r="C67" s="340" t="s">
        <v>622</v>
      </c>
      <c r="D67" s="104"/>
      <c r="E67" s="432"/>
      <c r="F67" s="526"/>
      <c r="G67" s="534"/>
      <c r="H67" s="482"/>
      <c r="I67" s="483"/>
      <c r="J67" s="535"/>
      <c r="K67" s="535"/>
      <c r="L67" s="535"/>
      <c r="M67" s="535"/>
      <c r="N67" s="536"/>
      <c r="O67" s="535"/>
      <c r="P67" s="515"/>
      <c r="Q67" s="521"/>
      <c r="R67" s="524"/>
      <c r="S67" s="524"/>
      <c r="T67" s="524"/>
      <c r="U67" s="524"/>
      <c r="V67" s="524"/>
      <c r="W67" s="524"/>
      <c r="X67" s="524"/>
      <c r="Y67" s="524"/>
      <c r="Z67" s="524"/>
      <c r="AA67" s="524"/>
      <c r="AB67" s="524"/>
      <c r="AC67" s="524"/>
      <c r="AD67" s="473"/>
      <c r="AE67" s="474"/>
      <c r="AF67" s="474"/>
      <c r="AG67" s="474"/>
      <c r="AH67" s="473"/>
      <c r="BB67" s="477"/>
    </row>
    <row r="68" spans="2:54" ht="14.25" hidden="1" x14ac:dyDescent="0.15">
      <c r="B68" s="40">
        <v>20</v>
      </c>
      <c r="C68" s="345" t="s">
        <v>654</v>
      </c>
      <c r="D68" s="104"/>
      <c r="E68" s="431"/>
      <c r="F68" s="431"/>
      <c r="G68" s="519"/>
      <c r="H68" s="424"/>
      <c r="K68" s="72"/>
      <c r="L68" s="424"/>
      <c r="M68" s="424"/>
      <c r="O68" s="484"/>
      <c r="P68" s="515"/>
      <c r="Q68" s="521"/>
      <c r="R68" s="524"/>
      <c r="S68" s="524"/>
      <c r="T68" s="524"/>
      <c r="U68" s="524"/>
      <c r="V68" s="524"/>
      <c r="W68" s="524"/>
      <c r="X68" s="524"/>
      <c r="Y68" s="524"/>
      <c r="Z68" s="524"/>
      <c r="AA68" s="524"/>
      <c r="AB68" s="524"/>
      <c r="AD68" s="473"/>
      <c r="AE68" s="474"/>
      <c r="AF68" s="474"/>
      <c r="AG68" s="474"/>
      <c r="AH68" s="473"/>
      <c r="BB68" s="477"/>
    </row>
    <row r="69" spans="2:54" ht="14.25" hidden="1" x14ac:dyDescent="0.15">
      <c r="B69" s="40">
        <v>21</v>
      </c>
      <c r="C69" s="340" t="s">
        <v>623</v>
      </c>
      <c r="D69" s="104"/>
      <c r="E69" s="431"/>
      <c r="F69" s="529"/>
      <c r="G69" s="519"/>
      <c r="H69" s="424"/>
      <c r="K69" s="519"/>
      <c r="L69" s="424"/>
      <c r="M69" s="424"/>
      <c r="N69" s="533"/>
      <c r="O69" s="424"/>
      <c r="P69" s="515"/>
      <c r="Q69" s="521"/>
      <c r="AE69" s="456"/>
      <c r="AF69" s="456"/>
      <c r="AG69" s="456"/>
      <c r="BB69" s="477"/>
    </row>
    <row r="70" spans="2:54" ht="14.25" hidden="1" x14ac:dyDescent="0.15">
      <c r="B70" s="40">
        <v>22</v>
      </c>
      <c r="C70" s="345" t="s">
        <v>655</v>
      </c>
      <c r="D70" s="104"/>
      <c r="E70" s="431"/>
      <c r="F70" s="529"/>
      <c r="G70" s="519"/>
      <c r="H70" s="424"/>
      <c r="K70" s="519"/>
      <c r="L70" s="424"/>
      <c r="M70" s="424"/>
      <c r="N70" s="533"/>
      <c r="O70" s="424"/>
      <c r="P70" s="515"/>
      <c r="Q70" s="521"/>
      <c r="R70" s="524"/>
      <c r="S70" s="524"/>
      <c r="T70" s="524"/>
      <c r="U70" s="524"/>
      <c r="V70" s="524"/>
      <c r="W70" s="524"/>
      <c r="X70" s="524"/>
      <c r="Y70" s="524"/>
      <c r="Z70" s="524"/>
      <c r="AA70" s="524"/>
      <c r="AB70" s="524"/>
      <c r="AC70" s="524"/>
      <c r="AD70" s="524"/>
      <c r="AE70" s="524"/>
      <c r="AF70" s="524"/>
      <c r="AG70" s="524"/>
      <c r="AH70" s="524"/>
      <c r="AI70" s="524"/>
      <c r="AJ70" s="524"/>
      <c r="AK70" s="524"/>
      <c r="BB70" s="477"/>
    </row>
    <row r="71" spans="2:54" ht="14.25" hidden="1" x14ac:dyDescent="0.15">
      <c r="B71" s="40">
        <v>23</v>
      </c>
      <c r="C71" s="340" t="s">
        <v>624</v>
      </c>
      <c r="D71" s="104"/>
      <c r="E71" s="431"/>
      <c r="F71" s="526"/>
      <c r="G71" s="519"/>
      <c r="H71" s="424"/>
      <c r="K71" s="517"/>
      <c r="L71" s="424"/>
      <c r="M71" s="424"/>
      <c r="N71" s="533"/>
      <c r="O71" s="424"/>
      <c r="P71" s="515"/>
      <c r="Q71" s="521"/>
      <c r="R71" s="524"/>
      <c r="S71" s="524"/>
      <c r="T71" s="524"/>
      <c r="U71" s="524"/>
      <c r="V71" s="524"/>
      <c r="W71" s="524"/>
      <c r="X71" s="524"/>
      <c r="Y71" s="524"/>
      <c r="Z71" s="524"/>
      <c r="AA71" s="524"/>
      <c r="AB71" s="524"/>
      <c r="AD71" s="473"/>
      <c r="AE71" s="474"/>
      <c r="AF71" s="474"/>
      <c r="AG71" s="474"/>
      <c r="AH71" s="473"/>
      <c r="BB71" s="477"/>
    </row>
    <row r="72" spans="2:54" ht="14.25" hidden="1" x14ac:dyDescent="0.15">
      <c r="B72" s="40">
        <v>24</v>
      </c>
      <c r="C72" s="340" t="s">
        <v>625</v>
      </c>
      <c r="D72" s="104"/>
      <c r="E72" s="515"/>
      <c r="F72" s="425"/>
      <c r="G72" s="515"/>
      <c r="H72" s="515"/>
      <c r="I72" s="518"/>
      <c r="J72" s="515"/>
      <c r="K72" s="518"/>
      <c r="L72" s="515"/>
      <c r="M72" s="515"/>
      <c r="N72" s="515"/>
      <c r="O72" s="515"/>
      <c r="P72" s="515"/>
      <c r="Q72" s="521"/>
      <c r="AE72" s="456"/>
      <c r="AF72" s="456"/>
      <c r="AG72" s="456"/>
      <c r="BB72" s="477"/>
    </row>
    <row r="73" spans="2:54" ht="14.25" hidden="1" x14ac:dyDescent="0.15">
      <c r="B73" s="40">
        <v>25</v>
      </c>
      <c r="C73" s="340" t="s">
        <v>626</v>
      </c>
      <c r="D73" s="104"/>
      <c r="E73" s="433"/>
      <c r="F73" s="433"/>
      <c r="G73" s="519"/>
      <c r="H73" s="424"/>
      <c r="I73" s="537"/>
      <c r="J73" s="517"/>
      <c r="K73" s="434"/>
      <c r="L73" s="517"/>
      <c r="M73" s="424"/>
      <c r="N73" s="424"/>
      <c r="O73" s="424"/>
      <c r="P73" s="515"/>
      <c r="Q73" s="521"/>
      <c r="R73" s="524"/>
      <c r="S73" s="524"/>
      <c r="T73" s="524"/>
      <c r="U73" s="524"/>
      <c r="V73" s="524"/>
      <c r="W73" s="524"/>
      <c r="X73" s="524"/>
      <c r="Y73" s="524"/>
      <c r="Z73" s="524"/>
      <c r="AA73" s="524"/>
      <c r="AB73" s="524"/>
      <c r="AC73" s="524"/>
      <c r="AE73" s="456"/>
      <c r="AF73" s="456"/>
      <c r="AG73" s="456"/>
      <c r="BB73" s="477"/>
    </row>
    <row r="74" spans="2:54" ht="14.25" hidden="1" x14ac:dyDescent="0.15">
      <c r="B74" s="40">
        <v>26</v>
      </c>
      <c r="C74" s="51" t="s">
        <v>556</v>
      </c>
      <c r="D74" s="104"/>
      <c r="E74" s="433"/>
      <c r="F74" s="433"/>
      <c r="G74" s="519"/>
      <c r="H74" s="424"/>
      <c r="I74" s="537"/>
      <c r="J74" s="517"/>
      <c r="K74" s="434"/>
      <c r="L74" s="517"/>
      <c r="M74" s="424"/>
      <c r="N74" s="424"/>
      <c r="O74" s="424"/>
      <c r="P74" s="515"/>
      <c r="Q74" s="521"/>
      <c r="R74" s="524"/>
      <c r="S74" s="524"/>
      <c r="T74" s="524"/>
      <c r="U74" s="524"/>
      <c r="V74" s="524"/>
      <c r="W74" s="524"/>
      <c r="X74" s="524"/>
      <c r="Y74" s="524"/>
      <c r="Z74" s="524"/>
      <c r="AA74" s="524"/>
      <c r="AB74" s="524"/>
      <c r="AC74" s="524"/>
      <c r="AE74" s="456"/>
      <c r="AF74" s="456"/>
      <c r="AG74" s="456"/>
      <c r="BB74" s="477"/>
    </row>
    <row r="75" spans="2:54" ht="14.25" hidden="1" x14ac:dyDescent="0.15">
      <c r="B75" s="40">
        <v>27</v>
      </c>
      <c r="C75" s="107" t="s">
        <v>549</v>
      </c>
      <c r="D75" s="104"/>
      <c r="E75" s="431"/>
      <c r="F75" s="431"/>
      <c r="G75" s="519"/>
      <c r="H75" s="424"/>
      <c r="K75" s="72"/>
      <c r="L75" s="424"/>
      <c r="M75" s="424"/>
      <c r="O75" s="484"/>
      <c r="P75" s="515"/>
      <c r="Q75" s="521"/>
      <c r="AE75" s="456"/>
      <c r="AF75" s="456"/>
      <c r="AG75" s="456"/>
      <c r="BB75" s="477"/>
    </row>
    <row r="76" spans="2:54" ht="14.25" hidden="1" x14ac:dyDescent="0.15">
      <c r="B76" s="40">
        <v>28</v>
      </c>
      <c r="C76" s="340" t="s">
        <v>627</v>
      </c>
      <c r="D76" s="359"/>
      <c r="E76" s="431"/>
      <c r="F76" s="529"/>
      <c r="G76" s="519"/>
      <c r="H76" s="424"/>
      <c r="K76" s="519"/>
      <c r="L76" s="424"/>
      <c r="M76" s="424"/>
      <c r="N76" s="533"/>
      <c r="O76" s="424"/>
      <c r="P76" s="515"/>
      <c r="Q76" s="521"/>
      <c r="R76" s="524"/>
      <c r="S76" s="524"/>
      <c r="T76" s="524"/>
      <c r="U76" s="524"/>
      <c r="V76" s="524"/>
      <c r="W76" s="524"/>
      <c r="X76" s="524"/>
      <c r="Y76" s="524"/>
      <c r="Z76" s="524"/>
      <c r="AA76" s="524"/>
      <c r="AB76" s="524"/>
      <c r="AC76" s="524"/>
      <c r="AD76" s="524"/>
      <c r="AE76" s="524"/>
      <c r="AF76" s="524"/>
      <c r="AG76" s="524"/>
      <c r="AH76" s="524"/>
      <c r="AI76" s="524"/>
      <c r="AJ76" s="524"/>
      <c r="AK76" s="524"/>
      <c r="AL76" s="524"/>
      <c r="AM76" s="524"/>
      <c r="AN76" s="524"/>
      <c r="AO76" s="524"/>
      <c r="AP76" s="524"/>
      <c r="AQ76" s="524"/>
      <c r="AR76" s="524"/>
      <c r="AS76" s="524"/>
      <c r="BB76" s="477"/>
    </row>
    <row r="77" spans="2:54" ht="14.25" hidden="1" x14ac:dyDescent="0.15">
      <c r="B77" s="40">
        <v>29</v>
      </c>
      <c r="C77" s="345" t="s">
        <v>663</v>
      </c>
      <c r="D77" s="247"/>
      <c r="E77" s="431"/>
      <c r="F77" s="529"/>
      <c r="G77" s="519"/>
      <c r="H77" s="424"/>
      <c r="K77" s="519"/>
      <c r="L77" s="424"/>
      <c r="M77" s="424"/>
      <c r="N77" s="533"/>
      <c r="O77" s="424"/>
      <c r="P77" s="515"/>
      <c r="Q77" s="521"/>
      <c r="R77" s="524"/>
      <c r="S77" s="524"/>
      <c r="T77" s="524"/>
      <c r="U77" s="524"/>
      <c r="V77" s="524"/>
      <c r="W77" s="524"/>
      <c r="X77" s="524"/>
      <c r="Y77" s="524"/>
      <c r="Z77" s="524"/>
      <c r="AA77" s="524"/>
      <c r="AB77" s="524"/>
      <c r="AC77" s="524"/>
      <c r="AE77" s="456"/>
      <c r="AF77" s="456"/>
      <c r="AG77" s="456"/>
      <c r="BB77" s="477"/>
    </row>
    <row r="78" spans="2:54" ht="14.25" hidden="1" x14ac:dyDescent="0.15">
      <c r="B78" s="40">
        <v>30</v>
      </c>
      <c r="C78" s="340" t="s">
        <v>628</v>
      </c>
      <c r="D78" s="109"/>
      <c r="E78" s="431"/>
      <c r="F78" s="529"/>
      <c r="G78" s="519"/>
      <c r="H78" s="424"/>
      <c r="K78" s="517"/>
      <c r="L78" s="424"/>
      <c r="M78" s="424"/>
      <c r="N78" s="533"/>
      <c r="O78" s="424"/>
      <c r="P78" s="515"/>
      <c r="Q78" s="521"/>
      <c r="AC78" s="524"/>
      <c r="AE78" s="456"/>
      <c r="AF78" s="456"/>
      <c r="AG78" s="456"/>
      <c r="BB78" s="477"/>
    </row>
    <row r="79" spans="2:54" ht="14.25" hidden="1" x14ac:dyDescent="0.15">
      <c r="B79" s="40">
        <v>31</v>
      </c>
      <c r="C79" s="51" t="s">
        <v>557</v>
      </c>
      <c r="D79" s="104"/>
      <c r="E79" s="429"/>
      <c r="F79" s="425"/>
      <c r="G79" s="538"/>
      <c r="H79" s="539"/>
      <c r="I79" s="539"/>
      <c r="J79" s="460"/>
      <c r="L79" s="540"/>
      <c r="M79" s="516"/>
      <c r="N79" s="541"/>
      <c r="O79" s="516"/>
      <c r="P79" s="515"/>
      <c r="Q79" s="521"/>
      <c r="R79" s="524"/>
      <c r="S79" s="524"/>
      <c r="T79" s="524"/>
      <c r="U79" s="524"/>
      <c r="V79" s="524"/>
      <c r="W79" s="524"/>
      <c r="X79" s="524"/>
      <c r="Y79" s="524"/>
      <c r="Z79" s="524"/>
      <c r="AA79" s="524"/>
      <c r="AB79" s="524"/>
      <c r="AC79" s="435"/>
      <c r="AD79" s="473"/>
      <c r="AE79" s="474"/>
      <c r="AF79" s="474"/>
      <c r="AG79" s="474"/>
      <c r="AH79" s="473"/>
      <c r="BB79" s="477"/>
    </row>
    <row r="80" spans="2:54" ht="14.25" hidden="1" x14ac:dyDescent="0.15">
      <c r="B80" s="40" t="s">
        <v>723</v>
      </c>
      <c r="C80" s="51" t="s">
        <v>614</v>
      </c>
      <c r="D80" s="104"/>
      <c r="E80" s="432"/>
      <c r="F80" s="480"/>
      <c r="G80" s="519"/>
      <c r="H80" s="424"/>
      <c r="I80" s="424"/>
      <c r="J80" s="424"/>
      <c r="K80" s="424"/>
      <c r="L80" s="424"/>
      <c r="M80" s="424"/>
      <c r="N80" s="533"/>
      <c r="O80" s="424"/>
      <c r="P80" s="518"/>
      <c r="AE80" s="456"/>
      <c r="AF80" s="456"/>
      <c r="AG80" s="456"/>
      <c r="BB80" s="477"/>
    </row>
    <row r="81" spans="2:54" hidden="1" x14ac:dyDescent="0.15">
      <c r="B81" s="40">
        <v>32</v>
      </c>
      <c r="C81" s="345" t="s">
        <v>664</v>
      </c>
      <c r="D81" s="104"/>
      <c r="E81" s="436"/>
      <c r="F81" s="543"/>
      <c r="G81" s="513"/>
      <c r="H81" s="542"/>
      <c r="I81" s="544"/>
      <c r="J81" s="513"/>
      <c r="K81" s="545"/>
      <c r="L81" s="513"/>
      <c r="M81" s="513"/>
      <c r="N81" s="513"/>
      <c r="O81" s="513"/>
      <c r="P81" s="515"/>
      <c r="Q81" s="521"/>
      <c r="AE81" s="456"/>
      <c r="AF81" s="456"/>
      <c r="AG81" s="456"/>
      <c r="AL81" s="524"/>
      <c r="AM81" s="524"/>
      <c r="AN81" s="524"/>
      <c r="AO81" s="524"/>
      <c r="BB81" s="477"/>
    </row>
    <row r="82" spans="2:54" ht="14.25" hidden="1" x14ac:dyDescent="0.15">
      <c r="B82" s="40">
        <v>33</v>
      </c>
      <c r="C82" s="340" t="s">
        <v>629</v>
      </c>
      <c r="D82" s="104"/>
      <c r="E82" s="514"/>
      <c r="F82" s="514"/>
      <c r="G82" s="519"/>
      <c r="H82" s="424"/>
      <c r="I82" s="517"/>
      <c r="J82" s="517"/>
      <c r="K82" s="546"/>
      <c r="L82" s="517"/>
      <c r="M82" s="424"/>
      <c r="N82" s="424"/>
      <c r="O82" s="424"/>
      <c r="P82" s="515"/>
      <c r="Q82" s="521"/>
      <c r="R82" s="524"/>
      <c r="S82" s="524"/>
      <c r="T82" s="524"/>
      <c r="U82" s="524"/>
      <c r="V82" s="524"/>
      <c r="W82" s="524"/>
      <c r="X82" s="524"/>
      <c r="Y82" s="524"/>
      <c r="Z82" s="524"/>
      <c r="AA82" s="524"/>
      <c r="AB82" s="524"/>
      <c r="AC82" s="524"/>
      <c r="AD82" s="524"/>
      <c r="AE82" s="474"/>
      <c r="AF82" s="474"/>
      <c r="AG82" s="474"/>
      <c r="AH82" s="473"/>
      <c r="BB82" s="477"/>
    </row>
    <row r="83" spans="2:54" hidden="1" x14ac:dyDescent="0.15">
      <c r="B83" s="40">
        <v>34</v>
      </c>
      <c r="C83" s="345" t="s">
        <v>665</v>
      </c>
      <c r="D83" s="104"/>
      <c r="E83" s="437"/>
      <c r="G83" s="460"/>
      <c r="H83" s="458"/>
      <c r="I83" s="458"/>
      <c r="J83" s="460"/>
      <c r="L83" s="547"/>
      <c r="N83" s="548"/>
      <c r="P83" s="515"/>
      <c r="AE83" s="474"/>
      <c r="AF83" s="474"/>
      <c r="AG83" s="474"/>
      <c r="AH83" s="473"/>
      <c r="BB83" s="477"/>
    </row>
    <row r="84" spans="2:54" ht="14.25" hidden="1" x14ac:dyDescent="0.15">
      <c r="B84" s="40">
        <v>35</v>
      </c>
      <c r="C84" s="51" t="s">
        <v>559</v>
      </c>
      <c r="D84" s="104"/>
      <c r="E84" s="423"/>
      <c r="F84" s="424"/>
      <c r="G84" s="519"/>
      <c r="H84" s="424"/>
      <c r="I84" s="517"/>
      <c r="J84" s="519"/>
      <c r="K84" s="517"/>
      <c r="L84" s="424"/>
      <c r="M84" s="424"/>
      <c r="N84" s="533"/>
      <c r="O84" s="424"/>
      <c r="P84" s="515"/>
      <c r="Q84" s="523"/>
      <c r="AE84" s="474"/>
      <c r="AF84" s="474"/>
      <c r="AG84" s="474"/>
      <c r="AH84" s="473"/>
      <c r="BB84" s="477"/>
    </row>
    <row r="85" spans="2:54" ht="14.25" hidden="1" x14ac:dyDescent="0.15">
      <c r="B85" s="40">
        <v>36</v>
      </c>
      <c r="C85" s="51" t="s">
        <v>560</v>
      </c>
      <c r="D85" s="104"/>
      <c r="E85" s="423"/>
      <c r="F85" s="424"/>
      <c r="G85" s="517"/>
      <c r="H85" s="423"/>
      <c r="I85" s="519"/>
      <c r="J85" s="424"/>
      <c r="K85" s="533"/>
      <c r="L85" s="424"/>
      <c r="M85" s="424"/>
      <c r="N85" s="424"/>
      <c r="O85" s="424"/>
      <c r="P85" s="427"/>
      <c r="Q85" s="521"/>
      <c r="R85" s="524"/>
      <c r="S85" s="524"/>
      <c r="T85" s="524"/>
      <c r="U85" s="524"/>
      <c r="V85" s="524"/>
      <c r="W85" s="524"/>
      <c r="X85" s="524"/>
      <c r="Y85" s="524"/>
      <c r="Z85" s="524"/>
      <c r="AA85" s="524"/>
      <c r="AB85" s="524"/>
      <c r="AD85" s="473"/>
      <c r="AE85" s="474"/>
      <c r="AF85" s="474"/>
      <c r="AG85" s="474"/>
      <c r="AH85" s="473"/>
      <c r="BB85" s="477"/>
    </row>
    <row r="86" spans="2:54" ht="14.25" hidden="1" x14ac:dyDescent="0.15">
      <c r="B86" s="40">
        <v>37</v>
      </c>
      <c r="C86" s="345" t="s">
        <v>689</v>
      </c>
      <c r="D86" s="104"/>
      <c r="E86" s="423"/>
      <c r="F86" s="424"/>
      <c r="G86" s="519"/>
      <c r="H86" s="423"/>
      <c r="I86" s="519"/>
      <c r="J86" s="424"/>
      <c r="K86" s="519"/>
      <c r="L86" s="424"/>
      <c r="M86" s="424"/>
      <c r="N86" s="519"/>
      <c r="O86" s="424"/>
      <c r="P86" s="427"/>
      <c r="AD86" s="473"/>
      <c r="AE86" s="456"/>
      <c r="AF86" s="456"/>
      <c r="AG86" s="456"/>
      <c r="BB86" s="477"/>
    </row>
    <row r="87" spans="2:54" hidden="1" x14ac:dyDescent="0.15">
      <c r="B87" s="40">
        <v>38</v>
      </c>
      <c r="C87" s="345" t="s">
        <v>666</v>
      </c>
      <c r="D87" s="104"/>
      <c r="E87" s="437"/>
      <c r="G87" s="458"/>
      <c r="H87" s="458"/>
      <c r="I87" s="458"/>
      <c r="J87" s="458"/>
      <c r="O87" s="528"/>
      <c r="P87" s="365"/>
      <c r="Q87" s="523"/>
      <c r="AE87" s="456"/>
      <c r="AF87" s="456"/>
      <c r="AG87" s="456"/>
      <c r="BB87" s="477"/>
    </row>
    <row r="88" spans="2:54" ht="14.25" hidden="1" x14ac:dyDescent="0.15">
      <c r="B88" s="40">
        <v>39</v>
      </c>
      <c r="C88" s="340" t="s">
        <v>630</v>
      </c>
      <c r="D88" s="104"/>
      <c r="E88" s="439"/>
      <c r="F88" s="549"/>
      <c r="G88" s="486"/>
      <c r="H88" s="442"/>
      <c r="I88" s="424"/>
      <c r="J88" s="444"/>
      <c r="K88" s="487"/>
      <c r="L88" s="486"/>
      <c r="M88" s="550"/>
      <c r="N88" s="550"/>
      <c r="O88" s="551"/>
      <c r="P88" s="438"/>
      <c r="Q88" s="521"/>
      <c r="R88" s="524"/>
      <c r="S88" s="524"/>
      <c r="T88" s="524"/>
      <c r="U88" s="524"/>
      <c r="V88" s="524"/>
      <c r="W88" s="524"/>
      <c r="X88" s="524"/>
      <c r="Y88" s="524"/>
      <c r="Z88" s="524"/>
      <c r="AA88" s="524"/>
      <c r="AB88" s="524"/>
      <c r="AC88" s="524"/>
      <c r="AD88" s="524"/>
      <c r="AE88" s="474"/>
      <c r="AF88" s="474"/>
      <c r="AG88" s="474"/>
      <c r="AH88" s="473"/>
      <c r="BB88" s="477"/>
    </row>
    <row r="89" spans="2:54" ht="14.25" hidden="1" x14ac:dyDescent="0.15">
      <c r="B89" s="40">
        <v>40</v>
      </c>
      <c r="C89" s="340" t="s">
        <v>631</v>
      </c>
      <c r="D89" s="9"/>
      <c r="E89" s="441"/>
      <c r="F89" s="444"/>
      <c r="G89" s="72"/>
      <c r="H89" s="442"/>
      <c r="I89" s="517"/>
      <c r="J89" s="517"/>
      <c r="L89" s="517"/>
      <c r="O89" s="491"/>
      <c r="P89" s="515"/>
      <c r="AD89" s="473"/>
      <c r="AE89" s="474"/>
      <c r="AF89" s="474"/>
      <c r="AG89" s="474"/>
      <c r="AH89" s="473"/>
      <c r="BB89" s="477"/>
    </row>
    <row r="90" spans="2:54" ht="14.25" hidden="1" x14ac:dyDescent="0.15">
      <c r="B90" s="40">
        <v>41</v>
      </c>
      <c r="C90" s="51" t="s">
        <v>561</v>
      </c>
      <c r="D90" s="46"/>
      <c r="E90" s="441"/>
      <c r="F90" s="444"/>
      <c r="G90" s="72"/>
      <c r="H90" s="442"/>
      <c r="I90" s="517"/>
      <c r="J90" s="517"/>
      <c r="L90" s="517"/>
      <c r="O90" s="491"/>
      <c r="P90" s="438"/>
      <c r="Q90" s="521"/>
      <c r="AE90" s="474"/>
      <c r="AF90" s="474"/>
      <c r="AG90" s="474"/>
      <c r="AH90" s="473"/>
      <c r="BB90" s="477"/>
    </row>
    <row r="91" spans="2:54" ht="14.25" hidden="1" x14ac:dyDescent="0.15">
      <c r="B91" s="40">
        <v>42</v>
      </c>
      <c r="C91" s="345" t="s">
        <v>667</v>
      </c>
      <c r="D91" s="46"/>
      <c r="E91" s="441"/>
      <c r="F91" s="549"/>
      <c r="G91" s="424"/>
      <c r="H91" s="442"/>
      <c r="I91" s="424"/>
      <c r="J91" s="443"/>
      <c r="K91" s="535"/>
      <c r="L91" s="517"/>
      <c r="O91" s="558"/>
      <c r="P91" s="440"/>
      <c r="Q91" s="521"/>
      <c r="R91" s="525"/>
      <c r="S91" s="525"/>
      <c r="T91" s="525"/>
      <c r="U91" s="525"/>
      <c r="V91" s="525"/>
      <c r="W91" s="525"/>
      <c r="X91" s="525"/>
      <c r="Y91" s="525"/>
      <c r="Z91" s="525"/>
      <c r="AA91" s="525"/>
      <c r="AB91" s="525"/>
      <c r="AC91" s="525"/>
      <c r="AD91" s="525"/>
      <c r="AE91" s="474"/>
      <c r="AF91" s="474"/>
      <c r="AG91" s="474"/>
      <c r="AH91" s="473"/>
      <c r="BA91" s="457"/>
      <c r="BB91" s="556"/>
    </row>
    <row r="92" spans="2:54" ht="14.25" hidden="1" x14ac:dyDescent="0.15">
      <c r="B92" s="40">
        <v>43</v>
      </c>
      <c r="C92" s="51" t="s">
        <v>562</v>
      </c>
      <c r="D92" s="46"/>
      <c r="E92" s="441"/>
      <c r="F92" s="444"/>
      <c r="G92" s="72"/>
      <c r="H92" s="442"/>
      <c r="I92" s="517"/>
      <c r="J92" s="517"/>
      <c r="K92" s="517"/>
      <c r="AD92" s="473"/>
      <c r="AE92" s="474"/>
      <c r="AF92" s="474"/>
      <c r="AG92" s="474"/>
      <c r="AH92" s="473"/>
      <c r="BA92" s="457"/>
      <c r="BB92" s="556"/>
    </row>
    <row r="93" spans="2:54" ht="14.25" hidden="1" x14ac:dyDescent="0.15">
      <c r="B93" s="40">
        <v>44</v>
      </c>
      <c r="C93" s="51" t="s">
        <v>563</v>
      </c>
      <c r="D93" s="46"/>
      <c r="E93" s="423"/>
      <c r="F93" s="552"/>
      <c r="G93" s="424"/>
      <c r="H93" s="424"/>
      <c r="I93" s="424"/>
      <c r="J93" s="553"/>
      <c r="K93" s="554"/>
      <c r="L93" s="424"/>
      <c r="M93" s="424"/>
      <c r="Q93" s="521"/>
      <c r="AB93" s="524"/>
      <c r="AD93" s="473"/>
      <c r="AE93" s="456"/>
      <c r="AF93" s="456"/>
      <c r="AG93" s="456"/>
      <c r="AY93" s="457"/>
      <c r="AZ93" s="457"/>
      <c r="BA93" s="457"/>
      <c r="BB93" s="556"/>
    </row>
    <row r="94" spans="2:54" ht="14.25" hidden="1" x14ac:dyDescent="0.15">
      <c r="B94" s="40">
        <v>45</v>
      </c>
      <c r="C94" s="51" t="s">
        <v>686</v>
      </c>
      <c r="D94" s="46"/>
      <c r="E94" s="549"/>
      <c r="G94" s="457"/>
      <c r="L94" s="424"/>
      <c r="M94" s="424"/>
      <c r="N94" s="491"/>
      <c r="O94" s="519"/>
      <c r="Q94" s="523"/>
      <c r="AD94" s="473"/>
      <c r="AE94" s="456"/>
      <c r="AF94" s="456"/>
      <c r="AG94" s="456"/>
      <c r="BA94" s="457"/>
      <c r="BB94" s="556"/>
    </row>
    <row r="95" spans="2:54" ht="14.25" hidden="1" x14ac:dyDescent="0.15">
      <c r="B95" s="40">
        <v>46</v>
      </c>
      <c r="C95" s="345" t="s">
        <v>668</v>
      </c>
      <c r="D95" s="46"/>
      <c r="E95" s="484"/>
      <c r="F95" s="484"/>
      <c r="G95" s="484"/>
      <c r="H95" s="484"/>
      <c r="I95" s="484"/>
      <c r="J95" s="484"/>
      <c r="K95" s="484"/>
      <c r="L95" s="424"/>
      <c r="M95" s="517"/>
      <c r="N95" s="424"/>
      <c r="O95" s="488"/>
      <c r="Q95" s="521"/>
      <c r="R95" s="524"/>
      <c r="S95" s="524"/>
      <c r="T95" s="524"/>
      <c r="U95" s="524"/>
      <c r="V95" s="524"/>
      <c r="W95" s="524"/>
      <c r="X95" s="524"/>
      <c r="Y95" s="524"/>
      <c r="Z95" s="524"/>
      <c r="AA95" s="524"/>
      <c r="AB95" s="524"/>
      <c r="AC95" s="524"/>
      <c r="AD95" s="473"/>
      <c r="AE95" s="456"/>
      <c r="AF95" s="456"/>
      <c r="AG95" s="456"/>
      <c r="AT95" s="524"/>
      <c r="AU95" s="524"/>
      <c r="AV95" s="524"/>
      <c r="AW95" s="524"/>
      <c r="AX95" s="524"/>
      <c r="AY95" s="524"/>
      <c r="AZ95" s="524"/>
      <c r="BA95" s="457"/>
      <c r="BB95" s="457"/>
    </row>
    <row r="96" spans="2:54" ht="14.25" hidden="1" x14ac:dyDescent="0.15">
      <c r="B96" s="40">
        <v>47</v>
      </c>
      <c r="C96" s="345" t="s">
        <v>669</v>
      </c>
      <c r="D96" s="46"/>
      <c r="E96" s="439"/>
      <c r="F96" s="439"/>
      <c r="G96" s="764"/>
      <c r="H96" s="764"/>
      <c r="I96" s="765"/>
      <c r="J96" s="765"/>
      <c r="K96" s="765"/>
      <c r="L96" s="517"/>
      <c r="M96" s="424"/>
      <c r="N96" s="424"/>
      <c r="O96" s="555"/>
      <c r="P96" s="545"/>
      <c r="Q96" s="445"/>
      <c r="R96" s="437"/>
      <c r="T96" s="446"/>
      <c r="U96" s="445"/>
      <c r="V96" s="446"/>
      <c r="W96" s="445"/>
      <c r="X96" s="446"/>
      <c r="Y96" s="435"/>
      <c r="Z96" s="557"/>
      <c r="AA96" s="512"/>
      <c r="AB96" s="435"/>
      <c r="AC96" s="435"/>
      <c r="AD96" s="473"/>
      <c r="AE96" s="474"/>
      <c r="AF96" s="474"/>
      <c r="AG96" s="474"/>
      <c r="AH96" s="473"/>
      <c r="AY96" s="457"/>
      <c r="AZ96" s="457"/>
      <c r="BA96" s="457"/>
      <c r="BB96" s="457"/>
    </row>
    <row r="97" spans="2:54" ht="14.25" hidden="1" x14ac:dyDescent="0.15">
      <c r="B97" s="40" t="s">
        <v>724</v>
      </c>
      <c r="C97" s="345" t="s">
        <v>701</v>
      </c>
      <c r="D97" s="9"/>
      <c r="E97" s="759"/>
      <c r="F97" s="759"/>
      <c r="G97" s="459"/>
      <c r="H97" s="459"/>
      <c r="I97" s="766"/>
      <c r="J97" s="414"/>
      <c r="K97" s="414"/>
      <c r="L97" s="424"/>
      <c r="M97" s="517"/>
      <c r="N97" s="424"/>
      <c r="O97" s="489"/>
      <c r="P97" s="515"/>
      <c r="AD97" s="473"/>
      <c r="AE97" s="474"/>
      <c r="AF97" s="474"/>
      <c r="AG97" s="474"/>
      <c r="AH97" s="473"/>
      <c r="AY97" s="457"/>
      <c r="AZ97" s="457"/>
      <c r="BA97" s="457"/>
      <c r="BB97" s="457"/>
    </row>
    <row r="98" spans="2:54" ht="14.25" hidden="1" x14ac:dyDescent="0.15">
      <c r="B98" s="40">
        <v>48</v>
      </c>
      <c r="C98" s="51" t="s">
        <v>564</v>
      </c>
      <c r="D98" s="9"/>
      <c r="E98" s="759"/>
      <c r="F98" s="759"/>
      <c r="G98" s="459"/>
      <c r="H98" s="459"/>
      <c r="I98" s="766"/>
      <c r="J98" s="414"/>
      <c r="K98" s="414"/>
      <c r="L98" s="517"/>
      <c r="M98" s="424"/>
      <c r="N98" s="424"/>
      <c r="O98" s="555"/>
      <c r="P98" s="545"/>
      <c r="Q98" s="521"/>
      <c r="AD98" s="473"/>
      <c r="AE98" s="474"/>
      <c r="AF98" s="474"/>
      <c r="AG98" s="474"/>
      <c r="AH98" s="473"/>
      <c r="AY98" s="457"/>
      <c r="AZ98" s="457"/>
      <c r="BA98" s="457"/>
      <c r="BB98" s="457"/>
    </row>
    <row r="99" spans="2:54" hidden="1" x14ac:dyDescent="0.15">
      <c r="B99" s="40">
        <v>49</v>
      </c>
      <c r="C99" s="345" t="s">
        <v>670</v>
      </c>
      <c r="D99" s="9"/>
      <c r="E99" s="759"/>
      <c r="F99" s="759"/>
      <c r="G99" s="459"/>
      <c r="H99" s="459"/>
      <c r="I99" s="766"/>
      <c r="J99" s="414"/>
      <c r="K99" s="414"/>
      <c r="P99" s="545"/>
      <c r="Q99" s="521"/>
      <c r="R99" s="524"/>
      <c r="S99" s="524"/>
      <c r="T99" s="524"/>
      <c r="U99" s="524"/>
      <c r="V99" s="524"/>
      <c r="W99" s="524"/>
      <c r="X99" s="524"/>
      <c r="Y99" s="524"/>
      <c r="Z99" s="524"/>
      <c r="AA99" s="524"/>
      <c r="AB99" s="524"/>
      <c r="AC99" s="524"/>
      <c r="AD99" s="473"/>
      <c r="AE99" s="474"/>
      <c r="AF99" s="474"/>
      <c r="AG99" s="474"/>
      <c r="AH99" s="473"/>
      <c r="AY99" s="457"/>
      <c r="AZ99" s="457"/>
      <c r="BA99" s="457"/>
      <c r="BB99" s="457"/>
    </row>
    <row r="100" spans="2:54" hidden="1" x14ac:dyDescent="0.15">
      <c r="B100" s="40">
        <v>50</v>
      </c>
      <c r="C100" s="340" t="s">
        <v>632</v>
      </c>
      <c r="D100" s="9"/>
      <c r="E100" s="759"/>
      <c r="F100" s="759"/>
      <c r="G100" s="459"/>
      <c r="H100" s="459"/>
      <c r="I100" s="766"/>
      <c r="J100" s="414"/>
      <c r="K100" s="414"/>
      <c r="P100" s="545"/>
      <c r="AD100" s="473"/>
      <c r="AE100" s="474"/>
      <c r="AF100" s="474"/>
      <c r="AG100" s="474"/>
      <c r="AH100" s="473"/>
      <c r="AY100" s="457"/>
      <c r="AZ100" s="457"/>
      <c r="BA100" s="457"/>
      <c r="BB100" s="457"/>
    </row>
    <row r="101" spans="2:54" hidden="1" x14ac:dyDescent="0.15">
      <c r="B101" s="40">
        <v>51</v>
      </c>
      <c r="C101" s="51" t="s">
        <v>565</v>
      </c>
      <c r="D101" s="9"/>
      <c r="E101" s="759"/>
      <c r="F101" s="759"/>
      <c r="G101" s="459"/>
      <c r="H101" s="459"/>
      <c r="I101" s="766"/>
      <c r="J101" s="414"/>
      <c r="K101" s="414"/>
      <c r="P101" s="545"/>
      <c r="Q101" s="521"/>
      <c r="AD101" s="473"/>
      <c r="AE101" s="474"/>
      <c r="AF101" s="474"/>
      <c r="AG101" s="474"/>
      <c r="AH101" s="473"/>
      <c r="AY101" s="457"/>
      <c r="AZ101" s="457"/>
      <c r="BA101" s="457"/>
      <c r="BB101" s="457"/>
    </row>
    <row r="102" spans="2:54" ht="14.25" hidden="1" x14ac:dyDescent="0.15">
      <c r="B102" s="40">
        <v>52</v>
      </c>
      <c r="C102" s="51" t="s">
        <v>566</v>
      </c>
      <c r="D102" s="9"/>
      <c r="E102" s="759"/>
      <c r="F102" s="759"/>
      <c r="G102" s="459"/>
      <c r="H102" s="459"/>
      <c r="I102" s="766"/>
      <c r="J102" s="414"/>
      <c r="K102" s="414"/>
      <c r="L102" s="424"/>
      <c r="M102" s="517"/>
      <c r="N102" s="517"/>
      <c r="O102" s="490"/>
      <c r="P102" s="545"/>
      <c r="Q102" s="521"/>
      <c r="R102" s="524"/>
      <c r="S102" s="524"/>
      <c r="T102" s="524"/>
      <c r="U102" s="524"/>
      <c r="V102" s="524"/>
      <c r="W102" s="524"/>
      <c r="X102" s="524"/>
      <c r="Y102" s="524"/>
      <c r="Z102" s="524"/>
      <c r="AA102" s="524"/>
      <c r="AB102" s="524"/>
      <c r="AC102" s="524"/>
      <c r="AD102" s="473"/>
      <c r="AE102" s="474"/>
      <c r="AF102" s="474"/>
      <c r="AG102" s="474"/>
      <c r="AH102" s="473"/>
      <c r="AY102" s="457"/>
      <c r="AZ102" s="457"/>
      <c r="BA102" s="457"/>
      <c r="BB102" s="457"/>
    </row>
    <row r="103" spans="2:54" ht="14.25" hidden="1" x14ac:dyDescent="0.15">
      <c r="B103" s="40">
        <v>53</v>
      </c>
      <c r="C103" s="51" t="s">
        <v>567</v>
      </c>
      <c r="D103" s="9"/>
      <c r="E103" s="759"/>
      <c r="F103" s="759"/>
      <c r="G103" s="459"/>
      <c r="H103" s="459"/>
      <c r="I103" s="766"/>
      <c r="J103" s="414"/>
      <c r="K103" s="414"/>
      <c r="L103" s="424"/>
      <c r="M103" s="424"/>
      <c r="N103" s="491"/>
      <c r="O103" s="519"/>
      <c r="P103" s="545"/>
      <c r="Q103" s="445"/>
      <c r="R103" s="437"/>
      <c r="T103" s="446"/>
      <c r="U103" s="445"/>
      <c r="V103" s="446"/>
      <c r="W103" s="445"/>
      <c r="X103" s="446"/>
      <c r="Y103" s="435"/>
      <c r="Z103" s="557"/>
      <c r="AA103" s="512"/>
      <c r="AB103" s="435"/>
      <c r="AC103" s="435"/>
      <c r="AD103" s="473"/>
      <c r="AE103" s="474"/>
      <c r="AF103" s="474"/>
      <c r="AG103" s="474"/>
      <c r="AH103" s="473"/>
      <c r="AY103" s="457"/>
      <c r="AZ103" s="457"/>
      <c r="BA103" s="457"/>
      <c r="BB103" s="457"/>
    </row>
    <row r="104" spans="2:54" ht="14.25" hidden="1" x14ac:dyDescent="0.15">
      <c r="B104" s="40">
        <v>54</v>
      </c>
      <c r="C104" s="51" t="s">
        <v>568</v>
      </c>
      <c r="D104" s="9"/>
      <c r="E104" s="759"/>
      <c r="F104" s="759"/>
      <c r="G104" s="459"/>
      <c r="H104" s="459"/>
      <c r="I104" s="766"/>
      <c r="J104" s="414"/>
      <c r="K104" s="414"/>
      <c r="L104" s="424"/>
      <c r="M104" s="424"/>
      <c r="N104" s="491"/>
      <c r="O104" s="519"/>
      <c r="P104" s="545"/>
      <c r="Q104" s="445"/>
      <c r="R104" s="437"/>
      <c r="T104" s="446"/>
      <c r="U104" s="445"/>
      <c r="V104" s="446"/>
      <c r="W104" s="445"/>
      <c r="X104" s="446"/>
      <c r="Y104" s="435"/>
      <c r="Z104" s="557"/>
      <c r="AA104" s="512"/>
      <c r="AB104" s="435"/>
      <c r="AC104" s="435"/>
      <c r="AD104" s="473"/>
      <c r="AE104" s="474"/>
      <c r="AF104" s="474"/>
      <c r="AG104" s="474"/>
      <c r="AH104" s="473"/>
      <c r="AY104" s="457"/>
      <c r="AZ104" s="457"/>
      <c r="BA104" s="457"/>
      <c r="BB104" s="457"/>
    </row>
    <row r="105" spans="2:54" ht="14.25" hidden="1" x14ac:dyDescent="0.15">
      <c r="B105" s="40">
        <v>55</v>
      </c>
      <c r="C105" s="51" t="s">
        <v>569</v>
      </c>
      <c r="D105" s="9"/>
      <c r="E105" s="759"/>
      <c r="F105" s="759"/>
      <c r="G105" s="459"/>
      <c r="H105" s="459"/>
      <c r="I105" s="766"/>
      <c r="J105" s="414"/>
      <c r="K105" s="414"/>
      <c r="L105" s="424"/>
      <c r="M105" s="424"/>
      <c r="N105" s="491"/>
      <c r="O105" s="519"/>
      <c r="P105" s="545"/>
      <c r="Q105" s="445"/>
      <c r="R105" s="437"/>
      <c r="T105" s="446"/>
      <c r="U105" s="445"/>
      <c r="V105" s="446"/>
      <c r="W105" s="445"/>
      <c r="X105" s="446"/>
      <c r="Y105" s="435"/>
      <c r="Z105" s="557"/>
      <c r="AA105" s="512"/>
      <c r="AB105" s="435"/>
      <c r="AC105" s="435"/>
      <c r="AD105" s="473"/>
      <c r="AE105" s="474"/>
      <c r="AF105" s="474"/>
      <c r="AG105" s="474"/>
      <c r="AH105" s="473"/>
      <c r="AY105" s="457"/>
      <c r="AZ105" s="457"/>
      <c r="BA105" s="457"/>
      <c r="BB105" s="457"/>
    </row>
    <row r="106" spans="2:54" ht="14.25" hidden="1" x14ac:dyDescent="0.15">
      <c r="B106" s="40">
        <v>56</v>
      </c>
      <c r="C106" s="340" t="s">
        <v>633</v>
      </c>
      <c r="D106" s="9"/>
      <c r="E106" s="759"/>
      <c r="F106" s="759"/>
      <c r="G106" s="459"/>
      <c r="H106" s="459"/>
      <c r="I106" s="766"/>
      <c r="J106" s="414"/>
      <c r="K106" s="414"/>
      <c r="L106" s="424"/>
      <c r="M106" s="424"/>
      <c r="N106" s="491"/>
      <c r="O106" s="519"/>
      <c r="P106" s="545"/>
      <c r="Q106" s="445"/>
      <c r="R106" s="437"/>
      <c r="T106" s="446"/>
      <c r="U106" s="445"/>
      <c r="V106" s="446"/>
      <c r="W106" s="445"/>
      <c r="X106" s="446"/>
      <c r="Y106" s="435"/>
      <c r="Z106" s="557"/>
      <c r="AA106" s="512"/>
      <c r="AB106" s="435"/>
      <c r="AC106" s="435"/>
      <c r="AD106" s="473"/>
      <c r="AE106" s="474"/>
      <c r="AF106" s="474"/>
      <c r="AG106" s="474"/>
      <c r="AH106" s="473"/>
      <c r="AY106" s="457"/>
      <c r="AZ106" s="457"/>
      <c r="BA106" s="457"/>
      <c r="BB106" s="457"/>
    </row>
    <row r="107" spans="2:54" ht="14.25" hidden="1" x14ac:dyDescent="0.15">
      <c r="B107" s="40">
        <v>57</v>
      </c>
      <c r="C107" s="51" t="s">
        <v>570</v>
      </c>
      <c r="D107" s="9"/>
      <c r="E107" s="759"/>
      <c r="F107" s="759"/>
      <c r="G107" s="459"/>
      <c r="H107" s="459"/>
      <c r="I107" s="766"/>
      <c r="J107" s="414"/>
      <c r="K107" s="414"/>
      <c r="L107" s="424"/>
      <c r="M107" s="424"/>
      <c r="N107" s="491"/>
      <c r="O107" s="519"/>
      <c r="P107" s="545"/>
      <c r="Q107" s="445"/>
      <c r="R107" s="437"/>
      <c r="T107" s="446"/>
      <c r="U107" s="445"/>
      <c r="V107" s="446"/>
      <c r="W107" s="445"/>
      <c r="X107" s="446"/>
      <c r="Y107" s="435"/>
      <c r="Z107" s="557"/>
      <c r="AA107" s="512"/>
      <c r="AB107" s="435"/>
      <c r="AC107" s="435"/>
      <c r="AD107" s="473"/>
      <c r="AE107" s="474"/>
      <c r="AF107" s="474"/>
      <c r="AG107" s="474"/>
      <c r="AH107" s="473"/>
      <c r="AY107" s="457"/>
      <c r="AZ107" s="457"/>
      <c r="BA107" s="457"/>
      <c r="BB107" s="457"/>
    </row>
    <row r="108" spans="2:54" ht="14.25" hidden="1" x14ac:dyDescent="0.15">
      <c r="B108" s="40">
        <v>58</v>
      </c>
      <c r="C108" s="51" t="s">
        <v>571</v>
      </c>
      <c r="D108" s="9"/>
      <c r="E108" s="759"/>
      <c r="F108" s="759"/>
      <c r="G108" s="459"/>
      <c r="H108" s="459"/>
      <c r="I108" s="766"/>
      <c r="J108" s="414"/>
      <c r="K108" s="414"/>
      <c r="L108" s="424"/>
      <c r="M108" s="424"/>
      <c r="N108" s="491"/>
      <c r="O108" s="519"/>
      <c r="P108" s="545"/>
      <c r="Q108" s="445"/>
      <c r="R108" s="437"/>
      <c r="T108" s="446"/>
      <c r="U108" s="445"/>
      <c r="V108" s="446"/>
      <c r="W108" s="445"/>
      <c r="X108" s="446"/>
      <c r="Y108" s="435"/>
      <c r="Z108" s="557"/>
      <c r="AA108" s="512"/>
      <c r="AB108" s="435"/>
      <c r="AC108" s="435"/>
      <c r="AD108" s="473"/>
      <c r="AE108" s="474"/>
      <c r="AF108" s="474"/>
      <c r="AG108" s="474"/>
      <c r="AH108" s="473"/>
      <c r="AY108" s="457"/>
      <c r="AZ108" s="457"/>
      <c r="BA108" s="457"/>
      <c r="BB108" s="457"/>
    </row>
    <row r="109" spans="2:54" ht="14.25" hidden="1" x14ac:dyDescent="0.15">
      <c r="B109" s="40">
        <v>59</v>
      </c>
      <c r="C109" s="345" t="s">
        <v>671</v>
      </c>
      <c r="D109" s="9"/>
      <c r="E109" s="759"/>
      <c r="F109" s="759"/>
      <c r="G109" s="459"/>
      <c r="H109" s="459"/>
      <c r="I109" s="766"/>
      <c r="J109" s="414"/>
      <c r="K109" s="414"/>
      <c r="L109" s="424"/>
      <c r="M109" s="424"/>
      <c r="N109" s="491"/>
      <c r="O109" s="519"/>
      <c r="P109" s="545"/>
      <c r="Q109" s="445"/>
      <c r="R109" s="437"/>
      <c r="T109" s="446"/>
      <c r="U109" s="445"/>
      <c r="V109" s="446"/>
      <c r="W109" s="445"/>
      <c r="X109" s="446"/>
      <c r="Y109" s="435"/>
      <c r="Z109" s="557"/>
      <c r="AA109" s="512"/>
      <c r="AB109" s="435"/>
      <c r="AC109" s="435"/>
      <c r="AD109" s="473"/>
      <c r="AE109" s="474"/>
      <c r="AF109" s="474"/>
      <c r="AG109" s="474"/>
      <c r="AH109" s="473"/>
      <c r="AY109" s="457"/>
      <c r="AZ109" s="457"/>
      <c r="BA109" s="457"/>
      <c r="BB109" s="457"/>
    </row>
    <row r="110" spans="2:54" ht="14.25" hidden="1" x14ac:dyDescent="0.15">
      <c r="B110" s="40">
        <v>60</v>
      </c>
      <c r="C110" s="51" t="s">
        <v>572</v>
      </c>
      <c r="D110" s="9"/>
      <c r="E110" s="759"/>
      <c r="F110" s="759"/>
      <c r="G110" s="459"/>
      <c r="H110" s="459"/>
      <c r="I110" s="766"/>
      <c r="J110" s="414"/>
      <c r="K110" s="414"/>
      <c r="L110" s="424"/>
      <c r="M110" s="424"/>
      <c r="N110" s="491"/>
      <c r="O110" s="519"/>
      <c r="P110" s="545"/>
      <c r="Q110" s="445"/>
      <c r="R110" s="437"/>
      <c r="T110" s="446"/>
      <c r="U110" s="445"/>
      <c r="V110" s="446"/>
      <c r="W110" s="445"/>
      <c r="X110" s="446"/>
      <c r="Y110" s="435"/>
      <c r="Z110" s="557"/>
      <c r="AA110" s="512"/>
      <c r="AB110" s="435"/>
      <c r="AC110" s="435"/>
      <c r="AD110" s="473"/>
      <c r="AE110" s="474"/>
      <c r="AF110" s="474"/>
      <c r="AG110" s="474"/>
      <c r="AH110" s="473"/>
      <c r="AY110" s="457"/>
      <c r="AZ110" s="457"/>
      <c r="BA110" s="457"/>
      <c r="BB110" s="457"/>
    </row>
    <row r="111" spans="2:54" ht="14.25" hidden="1" x14ac:dyDescent="0.15">
      <c r="B111" s="40">
        <v>61</v>
      </c>
      <c r="C111" s="51" t="s">
        <v>573</v>
      </c>
      <c r="D111" s="9"/>
      <c r="E111" s="759"/>
      <c r="F111" s="759"/>
      <c r="G111" s="459"/>
      <c r="H111" s="459"/>
      <c r="I111" s="766"/>
      <c r="J111" s="414"/>
      <c r="K111" s="414"/>
      <c r="L111" s="424"/>
      <c r="M111" s="424"/>
      <c r="N111" s="491"/>
      <c r="O111" s="519"/>
      <c r="P111" s="545"/>
      <c r="Q111" s="445"/>
      <c r="R111" s="437"/>
      <c r="T111" s="446"/>
      <c r="U111" s="445"/>
      <c r="V111" s="446"/>
      <c r="W111" s="445"/>
      <c r="X111" s="446"/>
      <c r="Y111" s="435"/>
      <c r="Z111" s="557"/>
      <c r="AA111" s="512"/>
      <c r="AB111" s="435"/>
      <c r="AC111" s="435"/>
      <c r="AD111" s="473"/>
      <c r="AE111" s="474"/>
      <c r="AF111" s="474"/>
      <c r="AG111" s="474"/>
      <c r="AH111" s="473"/>
      <c r="AY111" s="457"/>
      <c r="AZ111" s="457"/>
      <c r="BA111" s="457"/>
      <c r="BB111" s="457"/>
    </row>
    <row r="112" spans="2:54" ht="14.25" hidden="1" x14ac:dyDescent="0.15">
      <c r="B112" s="40">
        <v>62</v>
      </c>
      <c r="C112" s="51" t="s">
        <v>574</v>
      </c>
      <c r="D112" s="9"/>
      <c r="E112" s="759"/>
      <c r="F112" s="759"/>
      <c r="G112" s="459"/>
      <c r="H112" s="459"/>
      <c r="I112" s="766"/>
      <c r="J112" s="414"/>
      <c r="K112" s="414"/>
      <c r="L112" s="424"/>
      <c r="M112" s="424"/>
      <c r="N112" s="491"/>
      <c r="O112" s="519"/>
      <c r="P112" s="545"/>
      <c r="Q112" s="445"/>
      <c r="R112" s="437"/>
      <c r="T112" s="446"/>
      <c r="U112" s="445"/>
      <c r="V112" s="446"/>
      <c r="W112" s="445"/>
      <c r="X112" s="446"/>
      <c r="Y112" s="435"/>
      <c r="Z112" s="557"/>
      <c r="AA112" s="512"/>
      <c r="AB112" s="435"/>
      <c r="AC112" s="435"/>
      <c r="AD112" s="473"/>
      <c r="AE112" s="474"/>
      <c r="AF112" s="474"/>
      <c r="AG112" s="474"/>
      <c r="AH112" s="473"/>
      <c r="AY112" s="457"/>
      <c r="AZ112" s="457"/>
      <c r="BA112" s="457"/>
      <c r="BB112" s="457"/>
    </row>
    <row r="113" spans="2:54" ht="14.25" hidden="1" x14ac:dyDescent="0.15">
      <c r="B113" s="40">
        <v>63</v>
      </c>
      <c r="C113" s="345" t="s">
        <v>672</v>
      </c>
      <c r="D113" s="9"/>
      <c r="E113" s="493"/>
      <c r="F113" s="424"/>
      <c r="G113" s="424"/>
      <c r="H113" s="424"/>
      <c r="I113" s="424"/>
      <c r="J113" s="424"/>
      <c r="L113" s="424"/>
      <c r="M113" s="424"/>
      <c r="N113" s="491"/>
      <c r="O113" s="519"/>
      <c r="P113" s="545"/>
      <c r="Q113" s="445"/>
      <c r="R113" s="437"/>
      <c r="T113" s="446"/>
      <c r="U113" s="445"/>
      <c r="V113" s="446"/>
      <c r="W113" s="445"/>
      <c r="X113" s="446"/>
      <c r="Y113" s="435"/>
      <c r="Z113" s="557"/>
      <c r="AA113" s="512"/>
      <c r="AB113" s="435"/>
      <c r="AC113" s="435"/>
      <c r="AD113" s="473"/>
      <c r="AE113" s="474"/>
      <c r="AF113" s="474"/>
      <c r="AG113" s="474"/>
      <c r="AH113" s="473"/>
      <c r="AY113" s="457"/>
      <c r="AZ113" s="457"/>
      <c r="BA113" s="457"/>
      <c r="BB113" s="457"/>
    </row>
    <row r="114" spans="2:54" ht="14.25" hidden="1" x14ac:dyDescent="0.15">
      <c r="B114" s="40">
        <v>64</v>
      </c>
      <c r="C114" s="51" t="s">
        <v>580</v>
      </c>
      <c r="D114" s="9"/>
      <c r="E114" s="493"/>
      <c r="F114" s="424"/>
      <c r="G114" s="424"/>
      <c r="H114" s="424"/>
      <c r="I114" s="424"/>
      <c r="J114" s="424"/>
      <c r="L114" s="424"/>
      <c r="M114" s="424"/>
      <c r="N114" s="491"/>
      <c r="O114" s="519"/>
      <c r="P114" s="545"/>
      <c r="Q114" s="445"/>
      <c r="R114" s="437"/>
      <c r="T114" s="446"/>
      <c r="U114" s="445"/>
      <c r="V114" s="446"/>
      <c r="W114" s="445"/>
      <c r="X114" s="446"/>
      <c r="Y114" s="435"/>
      <c r="Z114" s="557"/>
      <c r="AA114" s="512"/>
      <c r="AB114" s="435"/>
      <c r="AC114" s="435"/>
      <c r="AD114" s="473"/>
      <c r="AE114" s="474"/>
      <c r="AF114" s="474"/>
      <c r="AG114" s="474"/>
      <c r="AH114" s="473"/>
      <c r="AY114" s="457"/>
      <c r="AZ114" s="457"/>
      <c r="BA114" s="457"/>
      <c r="BB114" s="457"/>
    </row>
    <row r="115" spans="2:54" hidden="1" x14ac:dyDescent="0.15">
      <c r="B115" s="40">
        <v>65</v>
      </c>
      <c r="C115" s="51" t="s">
        <v>583</v>
      </c>
      <c r="D115" s="40"/>
      <c r="E115" s="516"/>
      <c r="F115" s="35"/>
      <c r="G115" s="413"/>
      <c r="H115" s="516"/>
      <c r="I115" s="35"/>
      <c r="J115" s="413"/>
      <c r="K115" s="516"/>
      <c r="L115" s="558"/>
      <c r="M115" s="413"/>
      <c r="N115" s="516"/>
      <c r="O115" s="413"/>
      <c r="P115" s="515"/>
      <c r="U115" s="445"/>
      <c r="V115" s="446"/>
      <c r="W115" s="445"/>
      <c r="X115" s="446"/>
      <c r="Y115" s="435"/>
      <c r="Z115" s="557"/>
      <c r="AA115" s="512"/>
      <c r="AB115" s="435"/>
      <c r="AC115" s="435"/>
      <c r="AD115" s="473"/>
      <c r="AE115" s="474"/>
      <c r="AF115" s="474"/>
      <c r="AG115" s="474"/>
      <c r="AH115" s="473"/>
      <c r="AY115" s="457"/>
      <c r="AZ115" s="457"/>
      <c r="BA115" s="457"/>
      <c r="BB115" s="457"/>
    </row>
    <row r="116" spans="2:54" hidden="1" x14ac:dyDescent="0.15">
      <c r="B116" s="40">
        <v>66</v>
      </c>
      <c r="C116" s="340" t="s">
        <v>634</v>
      </c>
      <c r="D116" s="40"/>
      <c r="E116" s="415"/>
      <c r="F116" s="414"/>
      <c r="G116" s="416"/>
      <c r="H116" s="414"/>
      <c r="I116" s="414"/>
      <c r="J116" s="414"/>
      <c r="K116" s="414"/>
      <c r="L116" s="414"/>
      <c r="M116" s="414"/>
      <c r="O116" s="457"/>
      <c r="P116" s="515"/>
      <c r="Q116" s="558"/>
      <c r="U116" s="445"/>
      <c r="V116" s="446"/>
      <c r="W116" s="445"/>
      <c r="X116" s="446"/>
      <c r="Y116" s="435"/>
      <c r="Z116" s="557"/>
      <c r="AA116" s="512"/>
      <c r="AB116" s="435"/>
      <c r="AC116" s="435"/>
      <c r="AD116" s="473"/>
      <c r="AE116" s="474"/>
      <c r="AF116" s="474"/>
      <c r="AG116" s="474"/>
      <c r="AH116" s="473"/>
      <c r="AY116" s="457"/>
      <c r="AZ116" s="457"/>
      <c r="BA116" s="457"/>
      <c r="BB116" s="457"/>
    </row>
    <row r="117" spans="2:54" hidden="1" x14ac:dyDescent="0.15">
      <c r="B117" s="40">
        <v>67</v>
      </c>
      <c r="C117" s="51" t="s">
        <v>581</v>
      </c>
      <c r="D117" s="40"/>
      <c r="E117" s="415"/>
      <c r="F117" s="414"/>
      <c r="G117" s="416"/>
      <c r="H117" s="414"/>
      <c r="I117" s="414"/>
      <c r="J117" s="414"/>
      <c r="K117" s="414"/>
      <c r="L117" s="414"/>
      <c r="M117" s="414"/>
      <c r="O117" s="457"/>
      <c r="P117" s="515"/>
      <c r="Q117" s="558"/>
      <c r="U117" s="445"/>
      <c r="V117" s="446"/>
      <c r="W117" s="445"/>
      <c r="X117" s="446"/>
      <c r="Y117" s="435"/>
      <c r="Z117" s="557"/>
      <c r="AA117" s="512"/>
      <c r="AB117" s="435"/>
      <c r="AC117" s="435"/>
      <c r="AD117" s="473"/>
      <c r="AE117" s="474"/>
      <c r="AF117" s="474"/>
      <c r="AG117" s="474"/>
      <c r="AH117" s="473"/>
      <c r="AY117" s="457"/>
      <c r="AZ117" s="457"/>
      <c r="BA117" s="457"/>
      <c r="BB117" s="457"/>
    </row>
    <row r="118" spans="2:54" hidden="1" x14ac:dyDescent="0.15">
      <c r="B118" s="40" t="s">
        <v>725</v>
      </c>
      <c r="C118" s="51" t="s">
        <v>684</v>
      </c>
      <c r="D118" s="40"/>
      <c r="E118" s="415"/>
      <c r="F118" s="414"/>
      <c r="G118" s="416"/>
      <c r="H118" s="414"/>
      <c r="I118" s="414"/>
      <c r="J118" s="414"/>
      <c r="K118" s="414"/>
      <c r="L118" s="414"/>
      <c r="M118" s="414"/>
      <c r="O118" s="457"/>
      <c r="P118" s="515"/>
      <c r="Q118" s="558"/>
      <c r="U118" s="445"/>
      <c r="V118" s="446"/>
      <c r="W118" s="445"/>
      <c r="X118" s="446"/>
      <c r="Y118" s="435"/>
      <c r="Z118" s="557"/>
      <c r="AA118" s="512"/>
      <c r="AB118" s="435"/>
      <c r="AC118" s="435"/>
      <c r="AD118" s="473"/>
      <c r="AE118" s="474"/>
      <c r="AF118" s="474"/>
      <c r="AG118" s="474"/>
      <c r="AH118" s="473"/>
      <c r="AY118" s="457"/>
      <c r="AZ118" s="457"/>
      <c r="BA118" s="457"/>
      <c r="BB118" s="457"/>
    </row>
    <row r="119" spans="2:54" hidden="1" x14ac:dyDescent="0.15">
      <c r="B119" s="40">
        <v>68</v>
      </c>
      <c r="C119" s="108" t="s">
        <v>673</v>
      </c>
      <c r="D119" s="40"/>
      <c r="E119" s="415"/>
      <c r="F119" s="414"/>
      <c r="G119" s="416"/>
      <c r="H119" s="414"/>
      <c r="I119" s="414"/>
      <c r="J119" s="414"/>
      <c r="K119" s="414"/>
      <c r="L119" s="414"/>
      <c r="M119" s="414"/>
      <c r="O119" s="457"/>
      <c r="P119" s="515"/>
      <c r="Q119" s="558"/>
      <c r="U119" s="445"/>
      <c r="V119" s="446"/>
      <c r="W119" s="445"/>
      <c r="X119" s="446"/>
      <c r="Y119" s="435"/>
      <c r="Z119" s="557"/>
      <c r="AA119" s="512"/>
      <c r="AB119" s="435"/>
      <c r="AC119" s="435"/>
      <c r="AD119" s="473"/>
      <c r="AE119" s="474"/>
      <c r="AF119" s="474"/>
      <c r="AG119" s="474"/>
      <c r="AH119" s="473"/>
      <c r="AY119" s="457"/>
      <c r="AZ119" s="457"/>
      <c r="BA119" s="457"/>
      <c r="BB119" s="457"/>
    </row>
    <row r="120" spans="2:54" hidden="1" x14ac:dyDescent="0.15">
      <c r="B120" s="40">
        <v>69</v>
      </c>
      <c r="C120" s="340" t="s">
        <v>635</v>
      </c>
      <c r="D120" s="40"/>
      <c r="E120" s="415"/>
      <c r="F120" s="414"/>
      <c r="G120" s="416"/>
      <c r="H120" s="414"/>
      <c r="I120" s="414"/>
      <c r="J120" s="414"/>
      <c r="K120" s="414"/>
      <c r="L120" s="414"/>
      <c r="M120" s="414"/>
      <c r="O120" s="457"/>
      <c r="P120" s="515"/>
      <c r="Q120" s="558"/>
      <c r="R120" s="524"/>
      <c r="S120" s="524"/>
      <c r="T120" s="524"/>
      <c r="U120" s="445"/>
      <c r="V120" s="446"/>
      <c r="W120" s="445"/>
      <c r="X120" s="446"/>
      <c r="Y120" s="435"/>
      <c r="Z120" s="557"/>
      <c r="AA120" s="512"/>
      <c r="AB120" s="435"/>
      <c r="AC120" s="435"/>
      <c r="AD120" s="473"/>
      <c r="AE120" s="474"/>
      <c r="AF120" s="474"/>
      <c r="AG120" s="474"/>
      <c r="AH120" s="473"/>
      <c r="AY120" s="457"/>
      <c r="AZ120" s="457"/>
      <c r="BA120" s="457"/>
      <c r="BB120" s="457"/>
    </row>
    <row r="121" spans="2:54" hidden="1" x14ac:dyDescent="0.15">
      <c r="B121" s="40">
        <v>70</v>
      </c>
      <c r="C121" s="108" t="s">
        <v>674</v>
      </c>
      <c r="D121" s="40"/>
      <c r="E121" s="415"/>
      <c r="F121" s="414"/>
      <c r="G121" s="416"/>
      <c r="H121" s="414"/>
      <c r="I121" s="414"/>
      <c r="J121" s="414"/>
      <c r="K121" s="414"/>
      <c r="L121" s="414"/>
      <c r="M121" s="414"/>
      <c r="O121" s="457"/>
      <c r="P121" s="515"/>
      <c r="Q121" s="558"/>
      <c r="R121" s="524"/>
      <c r="S121" s="524"/>
      <c r="T121" s="524"/>
      <c r="U121" s="445"/>
      <c r="V121" s="446"/>
      <c r="W121" s="445"/>
      <c r="X121" s="446"/>
      <c r="Y121" s="435"/>
      <c r="Z121" s="557"/>
      <c r="AA121" s="512"/>
      <c r="AB121" s="435"/>
      <c r="AC121" s="435"/>
      <c r="AD121" s="473"/>
      <c r="AE121" s="474"/>
      <c r="AF121" s="474"/>
      <c r="AG121" s="474"/>
      <c r="AH121" s="473"/>
      <c r="AY121" s="457"/>
      <c r="AZ121" s="457"/>
      <c r="BA121" s="457"/>
      <c r="BB121" s="457"/>
    </row>
    <row r="122" spans="2:54" hidden="1" x14ac:dyDescent="0.15">
      <c r="B122" s="40">
        <v>71</v>
      </c>
      <c r="C122" s="108" t="s">
        <v>675</v>
      </c>
      <c r="D122" s="40"/>
      <c r="E122" s="415"/>
      <c r="F122" s="414"/>
      <c r="G122" s="416"/>
      <c r="H122" s="414"/>
      <c r="I122" s="414"/>
      <c r="J122" s="414"/>
      <c r="K122" s="414"/>
      <c r="L122" s="414"/>
      <c r="M122" s="414"/>
      <c r="O122" s="457"/>
      <c r="P122" s="515"/>
      <c r="Q122" s="558"/>
      <c r="R122" s="524"/>
      <c r="S122" s="524"/>
      <c r="T122" s="524"/>
      <c r="U122" s="445"/>
      <c r="V122" s="446"/>
      <c r="W122" s="445"/>
      <c r="X122" s="446"/>
      <c r="Y122" s="435"/>
      <c r="Z122" s="557"/>
      <c r="AA122" s="512"/>
      <c r="AB122" s="435"/>
      <c r="AC122" s="435"/>
      <c r="AD122" s="473"/>
      <c r="AE122" s="474"/>
      <c r="AF122" s="474"/>
      <c r="AG122" s="474"/>
      <c r="AH122" s="473"/>
      <c r="AY122" s="457"/>
      <c r="AZ122" s="457"/>
      <c r="BA122" s="457"/>
      <c r="BB122" s="457"/>
    </row>
    <row r="123" spans="2:54" hidden="1" x14ac:dyDescent="0.15">
      <c r="B123" s="40">
        <v>72</v>
      </c>
      <c r="C123" s="108" t="s">
        <v>677</v>
      </c>
      <c r="D123" s="40"/>
      <c r="E123" s="415"/>
      <c r="F123" s="414"/>
      <c r="G123" s="416"/>
      <c r="H123" s="414"/>
      <c r="I123" s="414"/>
      <c r="J123" s="414"/>
      <c r="K123" s="414"/>
      <c r="L123" s="414"/>
      <c r="M123" s="414"/>
      <c r="O123" s="457"/>
      <c r="P123" s="515"/>
      <c r="Q123" s="558"/>
      <c r="R123" s="524"/>
      <c r="S123" s="524"/>
      <c r="T123" s="524"/>
      <c r="U123" s="445"/>
      <c r="V123" s="446"/>
      <c r="W123" s="445"/>
      <c r="X123" s="446"/>
      <c r="Y123" s="435"/>
      <c r="Z123" s="557"/>
      <c r="AA123" s="512"/>
      <c r="AB123" s="435"/>
      <c r="AC123" s="435"/>
      <c r="AD123" s="473"/>
      <c r="AE123" s="474"/>
      <c r="AF123" s="474"/>
      <c r="AG123" s="474"/>
      <c r="AH123" s="473"/>
      <c r="AY123" s="457"/>
      <c r="AZ123" s="457"/>
      <c r="BA123" s="457"/>
      <c r="BB123" s="457"/>
    </row>
    <row r="124" spans="2:54" ht="14.25" hidden="1" x14ac:dyDescent="0.15">
      <c r="B124" s="40">
        <v>73</v>
      </c>
      <c r="C124" s="340" t="s">
        <v>636</v>
      </c>
      <c r="D124" s="40"/>
      <c r="E124" s="424"/>
      <c r="F124" s="414"/>
      <c r="G124" s="416"/>
      <c r="H124" s="414"/>
      <c r="I124" s="414"/>
      <c r="J124" s="414"/>
      <c r="K124" s="414"/>
      <c r="L124" s="414"/>
      <c r="M124" s="414"/>
      <c r="O124" s="457"/>
      <c r="P124" s="515"/>
      <c r="Q124" s="558"/>
      <c r="R124" s="524"/>
      <c r="S124" s="524"/>
      <c r="T124" s="524"/>
      <c r="U124" s="445"/>
      <c r="V124" s="446"/>
      <c r="W124" s="445"/>
      <c r="X124" s="446"/>
      <c r="Y124" s="435"/>
      <c r="Z124" s="557"/>
      <c r="AA124" s="512"/>
      <c r="AB124" s="435"/>
      <c r="AC124" s="435"/>
      <c r="AD124" s="473"/>
      <c r="AE124" s="474"/>
      <c r="AF124" s="474"/>
      <c r="AG124" s="474"/>
      <c r="AH124" s="473"/>
      <c r="AY124" s="457"/>
      <c r="AZ124" s="457"/>
      <c r="BA124" s="457"/>
      <c r="BB124" s="457"/>
    </row>
    <row r="125" spans="2:54" ht="14.25" hidden="1" x14ac:dyDescent="0.15">
      <c r="B125" s="40">
        <v>74</v>
      </c>
      <c r="C125" s="108" t="s">
        <v>678</v>
      </c>
      <c r="D125" s="40"/>
      <c r="E125" s="424"/>
      <c r="F125" s="414"/>
      <c r="G125" s="416"/>
      <c r="H125" s="414"/>
      <c r="I125" s="414"/>
      <c r="J125" s="414"/>
      <c r="K125" s="414"/>
      <c r="L125" s="414"/>
      <c r="M125" s="414"/>
      <c r="O125" s="457"/>
      <c r="P125" s="515"/>
      <c r="Q125" s="558"/>
      <c r="R125" s="524"/>
      <c r="S125" s="524"/>
      <c r="T125" s="524"/>
      <c r="U125" s="445"/>
      <c r="V125" s="446"/>
      <c r="W125" s="445"/>
      <c r="X125" s="446"/>
      <c r="Y125" s="435"/>
      <c r="Z125" s="557"/>
      <c r="AA125" s="512"/>
      <c r="AB125" s="435"/>
      <c r="AC125" s="435"/>
      <c r="AD125" s="473"/>
      <c r="AE125" s="474"/>
      <c r="AF125" s="474"/>
      <c r="AG125" s="474"/>
      <c r="AH125" s="473"/>
      <c r="AY125" s="457"/>
      <c r="AZ125" s="457"/>
      <c r="BA125" s="457"/>
      <c r="BB125" s="457"/>
    </row>
    <row r="126" spans="2:54" hidden="1" x14ac:dyDescent="0.15">
      <c r="B126" s="40">
        <v>75</v>
      </c>
      <c r="C126" s="340" t="s">
        <v>637</v>
      </c>
      <c r="D126" s="40"/>
      <c r="E126" s="415"/>
      <c r="F126" s="414"/>
      <c r="G126" s="416"/>
      <c r="H126" s="416"/>
      <c r="I126" s="414"/>
      <c r="J126" s="414"/>
      <c r="K126" s="414"/>
      <c r="L126" s="414"/>
      <c r="M126" s="414"/>
      <c r="O126" s="457"/>
      <c r="P126" s="515"/>
      <c r="Q126" s="558"/>
      <c r="R126" s="524"/>
      <c r="S126" s="524"/>
      <c r="T126" s="524"/>
      <c r="U126" s="445"/>
      <c r="V126" s="446"/>
      <c r="W126" s="445"/>
      <c r="X126" s="446"/>
      <c r="Y126" s="435"/>
      <c r="Z126" s="557"/>
      <c r="AA126" s="512"/>
      <c r="AB126" s="435"/>
      <c r="AC126" s="435"/>
      <c r="AD126" s="473"/>
      <c r="AE126" s="474"/>
      <c r="AF126" s="474"/>
      <c r="AG126" s="474"/>
      <c r="AH126" s="473"/>
      <c r="AY126" s="457"/>
      <c r="AZ126" s="457"/>
      <c r="BA126" s="457"/>
      <c r="BB126" s="457"/>
    </row>
    <row r="127" spans="2:54" hidden="1" x14ac:dyDescent="0.15">
      <c r="B127" s="40">
        <v>76</v>
      </c>
      <c r="C127" s="108" t="s">
        <v>679</v>
      </c>
      <c r="D127" s="40"/>
      <c r="E127" s="415"/>
      <c r="F127" s="414"/>
      <c r="G127" s="416"/>
      <c r="H127" s="414"/>
      <c r="I127" s="414"/>
      <c r="J127" s="414"/>
      <c r="K127" s="414"/>
      <c r="L127" s="414"/>
      <c r="M127" s="414"/>
      <c r="O127" s="457"/>
      <c r="P127" s="515"/>
      <c r="Q127" s="558"/>
      <c r="R127" s="524"/>
      <c r="S127" s="524"/>
      <c r="T127" s="524"/>
      <c r="U127" s="445"/>
      <c r="V127" s="446"/>
      <c r="W127" s="445"/>
      <c r="X127" s="446"/>
      <c r="Y127" s="435"/>
      <c r="Z127" s="557"/>
      <c r="AA127" s="512"/>
      <c r="AB127" s="435"/>
      <c r="AC127" s="435"/>
      <c r="AD127" s="473"/>
      <c r="AE127" s="474"/>
      <c r="AF127" s="474"/>
      <c r="AG127" s="474"/>
      <c r="AH127" s="473"/>
      <c r="AY127" s="457"/>
      <c r="AZ127" s="457"/>
      <c r="BA127" s="457"/>
      <c r="BB127" s="457"/>
    </row>
    <row r="128" spans="2:54" hidden="1" x14ac:dyDescent="0.15">
      <c r="B128" s="40">
        <v>77</v>
      </c>
      <c r="C128" s="340" t="s">
        <v>638</v>
      </c>
      <c r="D128" s="40"/>
      <c r="E128" s="415"/>
      <c r="F128" s="414"/>
      <c r="G128" s="416"/>
      <c r="H128" s="414"/>
      <c r="I128" s="414"/>
      <c r="J128" s="414"/>
      <c r="K128" s="414"/>
      <c r="L128" s="414"/>
      <c r="M128" s="414"/>
      <c r="O128" s="457"/>
      <c r="P128" s="515"/>
      <c r="Q128" s="558"/>
      <c r="R128" s="524"/>
      <c r="S128" s="524"/>
      <c r="T128" s="524"/>
      <c r="U128" s="445"/>
      <c r="V128" s="446"/>
      <c r="W128" s="445"/>
      <c r="X128" s="446"/>
      <c r="Y128" s="435"/>
      <c r="Z128" s="557"/>
      <c r="AA128" s="512"/>
      <c r="AB128" s="435"/>
      <c r="AC128" s="435"/>
      <c r="AD128" s="473"/>
      <c r="AE128" s="474"/>
      <c r="AF128" s="474"/>
      <c r="AG128" s="474"/>
      <c r="AH128" s="473"/>
      <c r="AY128" s="457"/>
      <c r="AZ128" s="457"/>
      <c r="BA128" s="457"/>
      <c r="BB128" s="457"/>
    </row>
    <row r="129" spans="2:65" hidden="1" x14ac:dyDescent="0.15">
      <c r="B129" s="40">
        <v>78</v>
      </c>
      <c r="C129" s="108" t="s">
        <v>680</v>
      </c>
      <c r="D129" s="40"/>
      <c r="E129" s="415"/>
      <c r="F129" s="414"/>
      <c r="G129" s="416"/>
      <c r="H129" s="414"/>
      <c r="I129" s="414"/>
      <c r="J129" s="414"/>
      <c r="K129" s="414"/>
      <c r="L129" s="414"/>
      <c r="M129" s="414"/>
      <c r="O129" s="457"/>
      <c r="P129" s="515"/>
      <c r="Q129" s="558"/>
      <c r="R129" s="524"/>
      <c r="S129" s="524"/>
      <c r="T129" s="524"/>
      <c r="U129" s="445"/>
      <c r="V129" s="446"/>
      <c r="W129" s="445"/>
      <c r="X129" s="446"/>
      <c r="Y129" s="435"/>
      <c r="Z129" s="557"/>
      <c r="AA129" s="512"/>
      <c r="AB129" s="435"/>
      <c r="AC129" s="435"/>
      <c r="AD129" s="473"/>
      <c r="AE129" s="474"/>
      <c r="AF129" s="474"/>
      <c r="AG129" s="474"/>
      <c r="AH129" s="473"/>
      <c r="AY129" s="457"/>
      <c r="AZ129" s="457"/>
      <c r="BA129" s="457"/>
      <c r="BB129" s="457"/>
    </row>
    <row r="130" spans="2:65" hidden="1" x14ac:dyDescent="0.15">
      <c r="B130" s="40">
        <v>79</v>
      </c>
      <c r="C130" s="340" t="s">
        <v>639</v>
      </c>
      <c r="D130" s="40"/>
      <c r="E130" s="415"/>
      <c r="F130" s="414"/>
      <c r="G130" s="416"/>
      <c r="H130" s="414"/>
      <c r="I130" s="414"/>
      <c r="J130" s="414"/>
      <c r="K130" s="414"/>
      <c r="L130" s="414"/>
      <c r="M130" s="414"/>
      <c r="O130" s="457"/>
      <c r="P130" s="515"/>
      <c r="Q130" s="558"/>
      <c r="U130" s="445"/>
      <c r="V130" s="446"/>
      <c r="W130" s="445"/>
      <c r="X130" s="446"/>
      <c r="Y130" s="435"/>
      <c r="Z130" s="557"/>
      <c r="AA130" s="512"/>
      <c r="AB130" s="435"/>
      <c r="AC130" s="435"/>
      <c r="AD130" s="473"/>
      <c r="AE130" s="474"/>
      <c r="AF130" s="474"/>
      <c r="AG130" s="474"/>
      <c r="AH130" s="473"/>
      <c r="AY130" s="457"/>
      <c r="AZ130" s="457"/>
      <c r="BA130" s="457"/>
      <c r="BB130" s="457"/>
    </row>
    <row r="131" spans="2:65" hidden="1" x14ac:dyDescent="0.15">
      <c r="B131" s="40">
        <v>80</v>
      </c>
      <c r="C131" s="340" t="s">
        <v>640</v>
      </c>
      <c r="D131" s="40"/>
      <c r="E131" s="415"/>
      <c r="F131" s="414"/>
      <c r="G131" s="416"/>
      <c r="H131" s="414"/>
      <c r="I131" s="414"/>
      <c r="J131" s="414"/>
      <c r="K131" s="414"/>
      <c r="L131" s="414"/>
      <c r="M131" s="414"/>
      <c r="O131" s="457"/>
      <c r="P131" s="515"/>
      <c r="Q131" s="584"/>
      <c r="U131" s="445"/>
      <c r="V131" s="446"/>
      <c r="W131" s="445"/>
      <c r="X131" s="446"/>
      <c r="Y131" s="435"/>
      <c r="Z131" s="557"/>
      <c r="AA131" s="512"/>
      <c r="AB131" s="435"/>
      <c r="AC131" s="435"/>
      <c r="AD131" s="473"/>
      <c r="AE131" s="474"/>
      <c r="AF131" s="474"/>
      <c r="AG131" s="474"/>
      <c r="AH131" s="473"/>
      <c r="AY131" s="457"/>
      <c r="AZ131" s="457"/>
      <c r="BA131" s="457"/>
      <c r="BB131" s="457"/>
    </row>
    <row r="132" spans="2:65" ht="14.25" hidden="1" x14ac:dyDescent="0.15">
      <c r="B132" s="40">
        <v>81</v>
      </c>
      <c r="C132" s="108" t="s">
        <v>681</v>
      </c>
      <c r="D132" s="40"/>
      <c r="E132" s="493"/>
      <c r="F132" s="424"/>
      <c r="G132" s="424"/>
      <c r="H132" s="424"/>
      <c r="I132" s="424"/>
      <c r="J132" s="424"/>
      <c r="L132" s="424"/>
      <c r="M132" s="424"/>
      <c r="N132" s="491"/>
      <c r="O132" s="519"/>
      <c r="P132" s="545"/>
      <c r="Q132" s="445"/>
      <c r="R132" s="437"/>
      <c r="T132" s="446"/>
      <c r="U132" s="445"/>
      <c r="V132" s="446"/>
      <c r="W132" s="445"/>
      <c r="X132" s="446"/>
      <c r="Y132" s="435"/>
      <c r="Z132" s="557"/>
      <c r="AA132" s="512"/>
      <c r="AB132" s="435"/>
      <c r="AC132" s="435"/>
      <c r="AD132" s="473"/>
      <c r="AE132" s="474"/>
      <c r="AF132" s="474"/>
      <c r="AG132" s="474"/>
      <c r="AH132" s="473"/>
      <c r="AY132" s="457"/>
      <c r="AZ132" s="457"/>
      <c r="BA132" s="457"/>
      <c r="BB132" s="457"/>
    </row>
    <row r="133" spans="2:65" hidden="1" x14ac:dyDescent="0.15">
      <c r="B133" s="40">
        <v>82</v>
      </c>
      <c r="C133" s="51" t="s">
        <v>584</v>
      </c>
      <c r="D133" s="40"/>
      <c r="E133" s="456"/>
      <c r="N133" s="515"/>
      <c r="P133" s="456"/>
      <c r="AD133" s="473"/>
      <c r="AE133" s="474"/>
      <c r="AF133" s="474"/>
      <c r="AG133" s="474"/>
      <c r="AH133" s="473"/>
      <c r="BA133" s="457"/>
      <c r="BB133" s="457"/>
      <c r="BC133" s="464"/>
      <c r="BD133" s="781"/>
      <c r="BE133" s="781"/>
      <c r="BF133" s="781"/>
      <c r="BG133" s="781"/>
      <c r="BH133" s="464"/>
      <c r="BI133" s="464"/>
      <c r="BJ133" s="782"/>
      <c r="BK133" s="782"/>
      <c r="BL133" s="782"/>
      <c r="BM133" s="783"/>
    </row>
    <row r="134" spans="2:65" hidden="1" x14ac:dyDescent="0.15">
      <c r="B134" s="40">
        <v>83</v>
      </c>
      <c r="C134" s="340" t="s">
        <v>683</v>
      </c>
      <c r="D134" s="40"/>
      <c r="E134" s="558"/>
      <c r="F134" s="513"/>
      <c r="G134" s="513"/>
      <c r="N134" s="515"/>
      <c r="P134" s="456"/>
      <c r="AD134" s="473"/>
      <c r="AE134" s="474"/>
      <c r="AF134" s="474"/>
      <c r="AG134" s="474"/>
      <c r="AH134" s="473"/>
      <c r="BA134" s="457"/>
      <c r="BB134" s="457"/>
      <c r="BC134" s="464"/>
      <c r="BD134" s="781"/>
      <c r="BE134" s="781"/>
      <c r="BF134" s="781"/>
      <c r="BG134" s="781"/>
      <c r="BH134" s="464"/>
      <c r="BI134" s="464"/>
      <c r="BJ134" s="782"/>
      <c r="BK134" s="782"/>
      <c r="BL134" s="782"/>
      <c r="BM134" s="783"/>
    </row>
    <row r="135" spans="2:65" hidden="1" x14ac:dyDescent="0.15">
      <c r="B135" s="40">
        <v>84</v>
      </c>
      <c r="C135" s="340" t="s">
        <v>699</v>
      </c>
      <c r="D135" s="40"/>
      <c r="E135" s="456"/>
      <c r="N135" s="515"/>
      <c r="P135" s="456"/>
      <c r="AD135" s="473"/>
      <c r="AE135" s="456"/>
      <c r="AF135" s="456"/>
      <c r="AG135" s="456"/>
      <c r="BA135" s="457"/>
      <c r="BB135" s="457"/>
      <c r="BC135" s="464"/>
      <c r="BD135" s="784"/>
      <c r="BE135" s="781"/>
      <c r="BF135" s="781"/>
      <c r="BG135" s="781"/>
      <c r="BH135" s="781"/>
      <c r="BI135" s="781"/>
      <c r="BJ135" s="464"/>
      <c r="BK135" s="464"/>
      <c r="BL135" s="464"/>
      <c r="BM135" s="785"/>
    </row>
    <row r="136" spans="2:65" hidden="1" x14ac:dyDescent="0.15">
      <c r="B136" s="40">
        <v>85</v>
      </c>
      <c r="C136" s="340" t="s">
        <v>641</v>
      </c>
      <c r="D136" s="40"/>
      <c r="E136" s="456"/>
      <c r="N136" s="515"/>
      <c r="P136" s="545"/>
      <c r="AE136" s="474"/>
      <c r="AF136" s="474"/>
      <c r="AG136" s="474"/>
      <c r="AH136" s="473"/>
      <c r="BA136" s="457"/>
      <c r="BB136" s="457"/>
      <c r="BC136" s="567"/>
      <c r="BD136" s="463"/>
      <c r="BE136" s="463"/>
      <c r="BF136" s="463"/>
      <c r="BG136" s="463"/>
      <c r="BH136" s="463"/>
      <c r="BI136" s="463"/>
      <c r="BJ136" s="465"/>
      <c r="BK136" s="568"/>
      <c r="BL136" s="569"/>
      <c r="BM136" s="570"/>
    </row>
    <row r="137" spans="2:65" hidden="1" x14ac:dyDescent="0.15">
      <c r="B137" s="40">
        <v>86</v>
      </c>
      <c r="C137" s="340" t="s">
        <v>642</v>
      </c>
      <c r="D137" s="40"/>
      <c r="E137" s="456"/>
      <c r="N137" s="515"/>
      <c r="P137" s="545"/>
      <c r="AE137" s="474"/>
      <c r="AF137" s="474"/>
      <c r="AG137" s="474"/>
      <c r="AH137" s="473"/>
      <c r="BA137" s="457"/>
      <c r="BB137" s="457"/>
      <c r="BC137" s="567"/>
      <c r="BD137" s="463"/>
      <c r="BE137" s="463"/>
      <c r="BF137" s="463"/>
      <c r="BG137" s="463"/>
      <c r="BH137" s="463"/>
      <c r="BI137" s="463"/>
      <c r="BJ137" s="465"/>
      <c r="BK137" s="568"/>
      <c r="BL137" s="569"/>
      <c r="BM137" s="570"/>
    </row>
    <row r="138" spans="2:65" hidden="1" x14ac:dyDescent="0.15">
      <c r="B138" s="40">
        <v>87</v>
      </c>
      <c r="C138" s="340" t="s">
        <v>643</v>
      </c>
      <c r="D138" s="40"/>
      <c r="E138" s="456"/>
      <c r="N138" s="515"/>
      <c r="P138" s="545"/>
      <c r="AE138" s="474"/>
      <c r="AF138" s="474"/>
      <c r="AG138" s="474"/>
      <c r="AH138" s="473"/>
      <c r="BA138" s="457"/>
      <c r="BB138" s="457"/>
      <c r="BC138" s="567"/>
      <c r="BD138" s="463"/>
      <c r="BE138" s="463"/>
      <c r="BF138" s="463"/>
      <c r="BG138" s="463"/>
      <c r="BH138" s="463"/>
      <c r="BI138" s="463"/>
      <c r="BJ138" s="465"/>
      <c r="BK138" s="568"/>
      <c r="BL138" s="569"/>
      <c r="BM138" s="570"/>
    </row>
    <row r="139" spans="2:65" hidden="1" x14ac:dyDescent="0.15">
      <c r="B139" s="40">
        <v>88</v>
      </c>
      <c r="C139" s="340" t="s">
        <v>644</v>
      </c>
      <c r="D139" s="40"/>
      <c r="E139" s="456"/>
      <c r="N139" s="515"/>
      <c r="P139" s="545"/>
      <c r="AE139" s="474"/>
      <c r="AF139" s="474"/>
      <c r="AG139" s="474"/>
      <c r="AH139" s="473"/>
      <c r="BA139" s="457"/>
      <c r="BB139" s="457"/>
      <c r="BC139" s="567"/>
      <c r="BD139" s="463"/>
      <c r="BE139" s="463"/>
      <c r="BF139" s="463"/>
      <c r="BG139" s="463"/>
      <c r="BH139" s="463"/>
      <c r="BI139" s="463"/>
      <c r="BJ139" s="465"/>
      <c r="BK139" s="568"/>
      <c r="BL139" s="569"/>
      <c r="BM139" s="570"/>
    </row>
    <row r="140" spans="2:65" hidden="1" x14ac:dyDescent="0.15">
      <c r="B140" s="40">
        <v>89</v>
      </c>
      <c r="C140" s="51" t="s">
        <v>585</v>
      </c>
      <c r="D140" s="40"/>
      <c r="E140" s="456"/>
      <c r="N140" s="515"/>
      <c r="P140" s="545"/>
      <c r="AE140" s="474"/>
      <c r="AF140" s="474"/>
      <c r="AG140" s="474"/>
      <c r="AH140" s="473"/>
      <c r="BA140" s="457"/>
      <c r="BB140" s="457"/>
      <c r="BC140" s="567"/>
      <c r="BD140" s="463"/>
      <c r="BE140" s="463"/>
      <c r="BF140" s="463"/>
      <c r="BG140" s="463"/>
      <c r="BH140" s="463"/>
      <c r="BI140" s="463"/>
      <c r="BJ140" s="465"/>
      <c r="BK140" s="568"/>
      <c r="BL140" s="569"/>
      <c r="BM140" s="570"/>
    </row>
    <row r="141" spans="2:65" hidden="1" x14ac:dyDescent="0.15">
      <c r="B141" s="40">
        <v>90</v>
      </c>
      <c r="C141" s="108" t="s">
        <v>682</v>
      </c>
      <c r="D141" s="40"/>
      <c r="E141" s="456"/>
      <c r="N141" s="515"/>
      <c r="P141" s="545"/>
      <c r="AE141" s="474"/>
      <c r="AF141" s="474"/>
      <c r="AG141" s="474"/>
      <c r="AH141" s="473"/>
      <c r="BA141" s="457"/>
      <c r="BB141" s="457"/>
      <c r="BC141" s="567"/>
      <c r="BD141" s="463"/>
      <c r="BE141" s="463"/>
      <c r="BF141" s="463"/>
      <c r="BG141" s="463"/>
      <c r="BH141" s="463"/>
      <c r="BI141" s="463"/>
      <c r="BJ141" s="465"/>
      <c r="BK141" s="568"/>
      <c r="BL141" s="569"/>
      <c r="BM141" s="570"/>
    </row>
    <row r="142" spans="2:65" hidden="1" x14ac:dyDescent="0.15">
      <c r="B142" s="40">
        <v>91</v>
      </c>
      <c r="C142" s="51" t="s">
        <v>586</v>
      </c>
      <c r="D142" s="40"/>
      <c r="E142" s="456"/>
      <c r="N142" s="515"/>
      <c r="P142" s="545"/>
      <c r="AE142" s="474"/>
      <c r="AF142" s="474"/>
      <c r="AG142" s="474"/>
      <c r="AH142" s="473"/>
      <c r="BA142" s="457"/>
      <c r="BB142" s="457"/>
      <c r="BC142" s="567"/>
      <c r="BD142" s="463"/>
      <c r="BE142" s="463"/>
      <c r="BF142" s="463"/>
      <c r="BG142" s="463"/>
      <c r="BH142" s="463"/>
      <c r="BI142" s="463"/>
      <c r="BJ142" s="465"/>
      <c r="BK142" s="568"/>
      <c r="BL142" s="569"/>
      <c r="BM142" s="570"/>
    </row>
    <row r="143" spans="2:65" hidden="1" x14ac:dyDescent="0.15">
      <c r="B143" s="40" t="s">
        <v>726</v>
      </c>
      <c r="C143" s="51" t="s">
        <v>685</v>
      </c>
      <c r="D143" s="40"/>
      <c r="E143" s="456"/>
      <c r="N143" s="515"/>
      <c r="P143" s="545"/>
      <c r="AE143" s="474"/>
      <c r="AF143" s="474"/>
      <c r="AG143" s="474"/>
      <c r="AH143" s="473"/>
      <c r="BA143" s="457"/>
      <c r="BB143" s="457"/>
      <c r="BC143" s="567"/>
      <c r="BD143" s="463"/>
      <c r="BE143" s="463"/>
      <c r="BF143" s="463"/>
      <c r="BG143" s="463"/>
      <c r="BH143" s="463"/>
      <c r="BI143" s="463"/>
      <c r="BJ143" s="465"/>
      <c r="BK143" s="568"/>
      <c r="BL143" s="569"/>
      <c r="BM143" s="570"/>
    </row>
    <row r="144" spans="2:65" hidden="1" x14ac:dyDescent="0.15">
      <c r="B144" s="40">
        <v>92</v>
      </c>
      <c r="C144" s="51" t="s">
        <v>588</v>
      </c>
      <c r="D144" s="40"/>
      <c r="E144" s="456"/>
      <c r="N144" s="515"/>
      <c r="P144" s="545"/>
      <c r="AE144" s="474"/>
      <c r="AF144" s="474"/>
      <c r="AG144" s="474"/>
      <c r="AH144" s="473"/>
      <c r="BA144" s="457"/>
      <c r="BB144" s="457"/>
      <c r="BC144" s="567"/>
      <c r="BD144" s="463"/>
      <c r="BE144" s="463"/>
      <c r="BF144" s="463"/>
      <c r="BG144" s="463"/>
      <c r="BH144" s="463"/>
      <c r="BI144" s="463"/>
      <c r="BJ144" s="465"/>
      <c r="BK144" s="568"/>
      <c r="BL144" s="569"/>
      <c r="BM144" s="570"/>
    </row>
    <row r="145" spans="3:65" hidden="1" x14ac:dyDescent="0.15">
      <c r="C145" s="365"/>
      <c r="D145" s="456"/>
      <c r="E145" s="456"/>
      <c r="K145" s="558"/>
      <c r="N145" s="515"/>
      <c r="P145" s="545"/>
      <c r="AE145" s="474"/>
      <c r="AF145" s="474"/>
      <c r="AG145" s="474"/>
      <c r="AH145" s="473"/>
      <c r="BA145" s="457"/>
      <c r="BB145" s="457"/>
      <c r="BC145" s="567"/>
      <c r="BD145" s="463"/>
      <c r="BE145" s="463"/>
      <c r="BF145" s="463"/>
      <c r="BG145" s="463"/>
      <c r="BH145" s="463"/>
      <c r="BI145" s="463"/>
      <c r="BJ145" s="465"/>
      <c r="BK145" s="568"/>
      <c r="BL145" s="569"/>
      <c r="BM145" s="570"/>
    </row>
    <row r="146" spans="3:65" hidden="1" x14ac:dyDescent="0.15">
      <c r="C146" s="413"/>
      <c r="D146" s="413"/>
      <c r="E146" s="413"/>
      <c r="F146" s="413"/>
      <c r="J146" s="447"/>
      <c r="L146" s="446"/>
      <c r="M146" s="458"/>
      <c r="N146" s="446"/>
      <c r="O146" s="448"/>
      <c r="P146" s="545"/>
      <c r="AE146" s="474"/>
      <c r="AF146" s="474"/>
      <c r="AG146" s="474"/>
      <c r="AH146" s="473"/>
      <c r="BA146" s="457"/>
      <c r="BB146" s="457"/>
      <c r="BC146" s="567"/>
      <c r="BD146" s="463"/>
      <c r="BE146" s="463"/>
      <c r="BF146" s="463"/>
      <c r="BG146" s="463"/>
      <c r="BH146" s="463"/>
      <c r="BI146" s="463"/>
      <c r="BJ146" s="465"/>
      <c r="BK146" s="568"/>
      <c r="BL146" s="569"/>
      <c r="BM146" s="570"/>
    </row>
    <row r="147" spans="3:65" hidden="1" x14ac:dyDescent="0.15">
      <c r="C147" s="516"/>
      <c r="D147" s="456"/>
      <c r="E147" s="456"/>
      <c r="F147" s="449"/>
      <c r="H147" s="445"/>
      <c r="L147" s="446"/>
      <c r="M147" s="458"/>
      <c r="N147" s="446"/>
      <c r="O147" s="448"/>
      <c r="P147" s="545"/>
      <c r="Y147" s="457"/>
      <c r="Z147" s="457"/>
      <c r="AA147" s="457"/>
      <c r="AB147" s="457"/>
      <c r="AC147" s="457"/>
      <c r="AD147" s="473"/>
      <c r="AE147" s="474"/>
      <c r="AF147" s="474"/>
      <c r="AG147" s="474"/>
      <c r="AH147" s="473"/>
      <c r="BA147" s="457"/>
      <c r="BB147" s="457"/>
      <c r="BC147" s="567"/>
      <c r="BD147" s="463"/>
      <c r="BE147" s="463"/>
      <c r="BF147" s="463"/>
      <c r="BG147" s="463"/>
      <c r="BH147" s="463"/>
      <c r="BI147" s="463"/>
      <c r="BJ147" s="465"/>
      <c r="BK147" s="568"/>
      <c r="BL147" s="569"/>
      <c r="BM147" s="570"/>
    </row>
    <row r="148" spans="3:65" hidden="1" x14ac:dyDescent="0.15">
      <c r="C148" s="516"/>
      <c r="D148" s="456"/>
      <c r="E148" s="450"/>
      <c r="F148" s="494"/>
      <c r="G148" s="451"/>
      <c r="H148" s="445"/>
      <c r="I148" s="516"/>
      <c r="L148" s="446"/>
      <c r="M148" s="494"/>
      <c r="N148" s="516"/>
      <c r="P148" s="545"/>
      <c r="Y148" s="457"/>
      <c r="Z148" s="457"/>
      <c r="AA148" s="457"/>
      <c r="AB148" s="457"/>
      <c r="AC148" s="457"/>
      <c r="AD148" s="473"/>
      <c r="AE148" s="474"/>
      <c r="AF148" s="474"/>
      <c r="AG148" s="474"/>
      <c r="AH148" s="473"/>
      <c r="BA148" s="457"/>
      <c r="BB148" s="457"/>
      <c r="BC148" s="567"/>
      <c r="BD148" s="463"/>
      <c r="BE148" s="463"/>
      <c r="BF148" s="463"/>
      <c r="BG148" s="463"/>
      <c r="BH148" s="463"/>
      <c r="BI148" s="463"/>
      <c r="BJ148" s="465"/>
      <c r="BK148" s="568"/>
      <c r="BL148" s="569"/>
      <c r="BM148" s="570"/>
    </row>
    <row r="149" spans="3:65" hidden="1" x14ac:dyDescent="0.15">
      <c r="C149" s="516"/>
      <c r="D149" s="456"/>
      <c r="E149" s="450"/>
      <c r="F149" s="446"/>
      <c r="G149" s="451"/>
      <c r="H149" s="445"/>
      <c r="L149" s="446"/>
      <c r="M149" s="559"/>
      <c r="N149" s="452"/>
      <c r="O149" s="448"/>
      <c r="P149" s="545"/>
      <c r="Y149" s="457"/>
      <c r="Z149" s="457"/>
      <c r="AA149" s="457"/>
      <c r="AB149" s="457"/>
      <c r="AC149" s="457"/>
      <c r="AD149" s="473"/>
      <c r="AE149" s="474"/>
      <c r="AF149" s="474"/>
      <c r="AG149" s="474"/>
      <c r="AH149" s="473"/>
      <c r="BA149" s="457"/>
      <c r="BB149" s="457"/>
      <c r="BC149" s="567"/>
      <c r="BD149" s="463"/>
      <c r="BE149" s="463"/>
      <c r="BF149" s="463"/>
      <c r="BG149" s="463"/>
      <c r="BH149" s="463"/>
      <c r="BI149" s="463"/>
      <c r="BJ149" s="465"/>
      <c r="BK149" s="568"/>
      <c r="BL149" s="569"/>
      <c r="BM149" s="570"/>
    </row>
    <row r="150" spans="3:65" hidden="1" x14ac:dyDescent="0.15">
      <c r="C150" s="35"/>
      <c r="D150" s="33"/>
      <c r="E150" s="450"/>
      <c r="F150" s="449"/>
      <c r="H150" s="445"/>
      <c r="I150" s="516"/>
      <c r="J150" s="33"/>
      <c r="K150" s="453"/>
      <c r="L150" s="446"/>
      <c r="M150" s="458"/>
      <c r="N150" s="446"/>
      <c r="O150" s="448"/>
      <c r="P150" s="545"/>
      <c r="Y150" s="457"/>
      <c r="Z150" s="457"/>
      <c r="AA150" s="457"/>
      <c r="AB150" s="457"/>
      <c r="AC150" s="457"/>
      <c r="AD150" s="473"/>
      <c r="AE150" s="474"/>
      <c r="AF150" s="474"/>
      <c r="AG150" s="474"/>
      <c r="AH150" s="473"/>
      <c r="AY150" s="457"/>
      <c r="AZ150" s="457"/>
      <c r="BA150" s="457"/>
      <c r="BB150" s="457"/>
      <c r="BC150" s="567"/>
      <c r="BD150" s="463"/>
      <c r="BE150" s="463"/>
      <c r="BF150" s="463"/>
      <c r="BG150" s="463"/>
      <c r="BH150" s="463"/>
      <c r="BI150" s="463"/>
      <c r="BJ150" s="465"/>
      <c r="BK150" s="568"/>
      <c r="BL150" s="569"/>
      <c r="BM150" s="570"/>
    </row>
    <row r="151" spans="3:65" hidden="1" x14ac:dyDescent="0.15">
      <c r="C151" s="39"/>
      <c r="D151" s="457"/>
      <c r="E151" s="450"/>
      <c r="F151" s="449"/>
      <c r="H151" s="445"/>
      <c r="I151" s="516"/>
      <c r="L151" s="446"/>
      <c r="M151" s="458"/>
      <c r="N151" s="446"/>
      <c r="O151" s="448"/>
      <c r="P151" s="545"/>
      <c r="Y151" s="457"/>
      <c r="Z151" s="457"/>
      <c r="AA151" s="457"/>
      <c r="AB151" s="457"/>
      <c r="AC151" s="457"/>
      <c r="AD151" s="473"/>
      <c r="AE151" s="474"/>
      <c r="AF151" s="474"/>
      <c r="AG151" s="474"/>
      <c r="AH151" s="473"/>
      <c r="AT151" s="473"/>
      <c r="AY151" s="457"/>
      <c r="AZ151" s="457"/>
      <c r="BA151" s="457"/>
      <c r="BB151" s="457"/>
      <c r="BC151" s="567"/>
      <c r="BD151" s="463"/>
      <c r="BE151" s="463"/>
      <c r="BF151" s="463"/>
      <c r="BG151" s="463"/>
      <c r="BH151" s="463"/>
      <c r="BI151" s="463"/>
      <c r="BJ151" s="465"/>
      <c r="BK151" s="568"/>
      <c r="BL151" s="569"/>
      <c r="BM151" s="570"/>
    </row>
    <row r="152" spans="3:65" hidden="1" x14ac:dyDescent="0.15">
      <c r="C152" s="39"/>
      <c r="D152" s="457"/>
      <c r="E152" s="437"/>
      <c r="F152" s="560"/>
      <c r="G152" s="458"/>
      <c r="H152" s="458"/>
      <c r="I152" s="458"/>
      <c r="K152" s="414"/>
      <c r="M152" s="458"/>
      <c r="N152" s="451"/>
      <c r="O152" s="457"/>
      <c r="P152" s="545"/>
      <c r="Y152" s="457"/>
      <c r="Z152" s="457"/>
      <c r="AA152" s="457"/>
      <c r="AB152" s="457"/>
      <c r="AC152" s="457"/>
      <c r="AD152" s="473"/>
      <c r="AE152" s="474"/>
      <c r="AF152" s="474"/>
      <c r="AG152" s="474"/>
      <c r="AH152" s="473"/>
      <c r="AY152" s="457"/>
      <c r="AZ152" s="457"/>
      <c r="BA152" s="457"/>
      <c r="BB152" s="457"/>
      <c r="BC152" s="567"/>
      <c r="BD152" s="463"/>
      <c r="BE152" s="463"/>
      <c r="BF152" s="463"/>
      <c r="BG152" s="463"/>
      <c r="BH152" s="463"/>
      <c r="BI152" s="463"/>
      <c r="BJ152" s="465"/>
      <c r="BK152" s="568"/>
      <c r="BL152" s="569"/>
      <c r="BM152" s="570"/>
    </row>
    <row r="153" spans="3:65" hidden="1" x14ac:dyDescent="0.15">
      <c r="C153" s="561"/>
      <c r="D153" s="454"/>
      <c r="E153" s="437"/>
      <c r="G153" s="458"/>
      <c r="H153" s="458"/>
      <c r="I153" s="458"/>
      <c r="J153" s="458"/>
      <c r="K153" s="414"/>
      <c r="M153" s="458"/>
      <c r="N153" s="451"/>
      <c r="O153" s="457"/>
      <c r="P153" s="545"/>
      <c r="Y153" s="457"/>
      <c r="Z153" s="457"/>
      <c r="AA153" s="457"/>
      <c r="AB153" s="457"/>
      <c r="AC153" s="457"/>
      <c r="AD153" s="473"/>
      <c r="AE153" s="474"/>
      <c r="AF153" s="474"/>
      <c r="AG153" s="474"/>
      <c r="AH153" s="473"/>
      <c r="AY153" s="457"/>
      <c r="AZ153" s="457"/>
      <c r="BA153" s="457"/>
      <c r="BB153" s="457"/>
      <c r="BC153" s="567"/>
      <c r="BD153" s="463"/>
      <c r="BE153" s="463"/>
      <c r="BF153" s="463"/>
      <c r="BG153" s="463"/>
      <c r="BH153" s="463"/>
      <c r="BI153" s="463"/>
      <c r="BJ153" s="465"/>
      <c r="BK153" s="568"/>
      <c r="BL153" s="569"/>
      <c r="BM153" s="570"/>
    </row>
    <row r="154" spans="3:65" hidden="1" x14ac:dyDescent="0.15">
      <c r="C154" s="458"/>
      <c r="D154" s="454"/>
      <c r="E154" s="437"/>
      <c r="G154" s="458"/>
      <c r="H154" s="458"/>
      <c r="I154" s="458"/>
      <c r="J154" s="458"/>
      <c r="K154" s="414"/>
      <c r="M154" s="458"/>
      <c r="N154" s="451"/>
      <c r="O154" s="457"/>
      <c r="P154" s="545"/>
      <c r="Y154" s="457"/>
      <c r="Z154" s="457"/>
      <c r="AA154" s="457"/>
      <c r="AB154" s="457"/>
      <c r="AC154" s="457"/>
      <c r="AD154" s="473"/>
      <c r="AE154" s="474"/>
      <c r="AF154" s="474"/>
      <c r="AG154" s="474"/>
      <c r="AH154" s="473"/>
      <c r="AY154" s="457"/>
      <c r="AZ154" s="457"/>
      <c r="BA154" s="457"/>
      <c r="BB154" s="457"/>
      <c r="BC154" s="567"/>
      <c r="BD154" s="463"/>
      <c r="BE154" s="463"/>
      <c r="BF154" s="463"/>
      <c r="BG154" s="463"/>
      <c r="BH154" s="463"/>
      <c r="BI154" s="463"/>
      <c r="BJ154" s="465"/>
      <c r="BK154" s="568"/>
      <c r="BL154" s="569"/>
      <c r="BM154" s="570"/>
    </row>
    <row r="155" spans="3:65" hidden="1" x14ac:dyDescent="0.15">
      <c r="C155" s="413"/>
      <c r="D155" s="413"/>
      <c r="E155" s="413"/>
      <c r="F155" s="413"/>
      <c r="G155" s="413"/>
      <c r="H155" s="413"/>
      <c r="I155" s="413"/>
      <c r="J155" s="413"/>
      <c r="K155" s="413"/>
      <c r="L155" s="413"/>
      <c r="M155" s="413"/>
      <c r="N155" s="413"/>
      <c r="O155" s="413"/>
      <c r="P155" s="413"/>
      <c r="Q155" s="413"/>
      <c r="R155" s="413"/>
      <c r="S155" s="413"/>
      <c r="T155" s="413"/>
      <c r="U155" s="457"/>
      <c r="V155" s="457"/>
      <c r="W155" s="457"/>
      <c r="X155" s="457"/>
      <c r="Y155" s="457"/>
      <c r="Z155" s="457"/>
      <c r="AA155" s="457"/>
      <c r="AB155" s="457"/>
      <c r="AC155" s="457"/>
      <c r="AD155" s="473"/>
      <c r="AE155" s="474"/>
      <c r="AF155" s="474"/>
      <c r="AG155" s="474"/>
      <c r="AH155" s="473"/>
      <c r="AY155" s="457"/>
      <c r="AZ155" s="457"/>
      <c r="BA155" s="457"/>
      <c r="BB155" s="457"/>
      <c r="BC155" s="567"/>
      <c r="BD155" s="463"/>
      <c r="BE155" s="463"/>
      <c r="BF155" s="463"/>
      <c r="BG155" s="463"/>
      <c r="BH155" s="463"/>
      <c r="BI155" s="463"/>
      <c r="BJ155" s="465"/>
      <c r="BK155" s="568"/>
      <c r="BL155" s="569"/>
      <c r="BM155" s="570"/>
    </row>
    <row r="156" spans="3:65" hidden="1" x14ac:dyDescent="0.15">
      <c r="C156" s="562"/>
      <c r="D156" s="437"/>
      <c r="E156" s="437"/>
      <c r="G156" s="458"/>
      <c r="H156" s="458"/>
      <c r="I156" s="458"/>
      <c r="J156" s="458"/>
      <c r="K156" s="414"/>
      <c r="M156" s="33"/>
      <c r="N156" s="451"/>
      <c r="O156" s="457"/>
      <c r="P156" s="545"/>
      <c r="Q156" s="457"/>
      <c r="R156" s="457"/>
      <c r="S156" s="457"/>
      <c r="T156" s="457"/>
      <c r="U156" s="457"/>
      <c r="V156" s="457"/>
      <c r="W156" s="457"/>
      <c r="X156" s="457"/>
      <c r="Y156" s="457"/>
      <c r="Z156" s="457"/>
      <c r="AA156" s="457"/>
      <c r="AB156" s="457"/>
      <c r="AC156" s="457"/>
      <c r="AD156" s="473"/>
      <c r="AE156" s="474"/>
      <c r="AF156" s="474"/>
      <c r="AG156" s="474"/>
      <c r="AH156" s="473"/>
      <c r="AY156" s="457"/>
      <c r="AZ156" s="457"/>
      <c r="BA156" s="457"/>
      <c r="BB156" s="457"/>
      <c r="BC156" s="567"/>
      <c r="BD156" s="463"/>
      <c r="BE156" s="463"/>
      <c r="BF156" s="463"/>
      <c r="BG156" s="463"/>
      <c r="BH156" s="463"/>
      <c r="BI156" s="463"/>
      <c r="BJ156" s="465"/>
      <c r="BK156" s="568"/>
      <c r="BL156" s="569"/>
      <c r="BM156" s="570"/>
    </row>
    <row r="157" spans="3:65" hidden="1" x14ac:dyDescent="0.15">
      <c r="C157" s="458"/>
      <c r="E157" s="451"/>
      <c r="F157" s="457"/>
      <c r="G157" s="458"/>
      <c r="H157" s="458"/>
      <c r="I157" s="458"/>
      <c r="J157" s="458"/>
      <c r="K157" s="414"/>
      <c r="M157" s="33"/>
      <c r="P157" s="545"/>
      <c r="Q157" s="457"/>
      <c r="R157" s="457"/>
      <c r="S157" s="457"/>
      <c r="T157" s="457"/>
      <c r="U157" s="457"/>
      <c r="V157" s="457"/>
      <c r="W157" s="457"/>
      <c r="X157" s="457"/>
      <c r="Y157" s="457"/>
      <c r="Z157" s="457"/>
      <c r="AA157" s="457"/>
      <c r="AB157" s="457"/>
      <c r="AC157" s="457"/>
      <c r="AD157" s="473"/>
      <c r="AE157" s="474"/>
      <c r="AF157" s="474"/>
      <c r="AG157" s="474"/>
      <c r="AH157" s="473"/>
      <c r="AY157" s="457"/>
      <c r="AZ157" s="457"/>
      <c r="BA157" s="457"/>
      <c r="BB157" s="457"/>
      <c r="BC157" s="567"/>
      <c r="BD157" s="463"/>
      <c r="BE157" s="463"/>
      <c r="BF157" s="463"/>
      <c r="BG157" s="463"/>
      <c r="BH157" s="463"/>
      <c r="BI157" s="463"/>
      <c r="BJ157" s="465"/>
      <c r="BK157" s="568"/>
      <c r="BL157" s="569"/>
      <c r="BM157" s="570"/>
    </row>
    <row r="158" spans="3:65" hidden="1" x14ac:dyDescent="0.15">
      <c r="C158" s="563"/>
      <c r="G158" s="458"/>
      <c r="M158" s="33"/>
      <c r="Q158" s="457"/>
      <c r="R158" s="457"/>
      <c r="S158" s="457"/>
      <c r="T158" s="457"/>
      <c r="U158" s="457"/>
      <c r="V158" s="457"/>
      <c r="W158" s="457"/>
      <c r="X158" s="457"/>
      <c r="Y158" s="457"/>
      <c r="Z158" s="457"/>
      <c r="AA158" s="457"/>
      <c r="AB158" s="457"/>
      <c r="AC158" s="457"/>
      <c r="AD158" s="473"/>
      <c r="AE158" s="474"/>
      <c r="AF158" s="474"/>
      <c r="AG158" s="474"/>
      <c r="AH158" s="473"/>
      <c r="AY158" s="457"/>
      <c r="AZ158" s="457"/>
      <c r="BA158" s="457"/>
      <c r="BB158" s="457"/>
      <c r="BC158" s="503"/>
      <c r="BD158" s="463"/>
      <c r="BE158" s="463"/>
      <c r="BF158" s="463"/>
      <c r="BG158" s="463"/>
      <c r="BH158" s="463"/>
      <c r="BI158" s="463"/>
      <c r="BJ158" s="465"/>
      <c r="BK158" s="568"/>
      <c r="BL158" s="569"/>
      <c r="BM158" s="570"/>
    </row>
    <row r="159" spans="3:65" hidden="1" x14ac:dyDescent="0.15">
      <c r="C159" s="458"/>
      <c r="D159" s="437"/>
      <c r="E159" s="437"/>
      <c r="G159" s="458"/>
      <c r="H159" s="458"/>
      <c r="I159" s="458"/>
      <c r="J159" s="458"/>
      <c r="K159" s="414"/>
      <c r="M159" s="457"/>
      <c r="N159" s="451"/>
      <c r="O159" s="457"/>
      <c r="P159" s="545"/>
      <c r="Q159" s="457"/>
      <c r="R159" s="457"/>
      <c r="S159" s="457"/>
      <c r="T159" s="457"/>
      <c r="U159" s="457"/>
      <c r="V159" s="457"/>
      <c r="W159" s="457"/>
      <c r="X159" s="457"/>
      <c r="Y159" s="457"/>
      <c r="Z159" s="457"/>
      <c r="AA159" s="457"/>
      <c r="AB159" s="457"/>
      <c r="AC159" s="457"/>
      <c r="AD159" s="473"/>
      <c r="AE159" s="474"/>
      <c r="AF159" s="474"/>
      <c r="AG159" s="474"/>
      <c r="AH159" s="473"/>
      <c r="AY159" s="457"/>
      <c r="AZ159" s="457"/>
      <c r="BA159" s="457"/>
      <c r="BB159" s="457"/>
      <c r="BC159" s="567"/>
      <c r="BD159" s="463"/>
      <c r="BE159" s="463"/>
      <c r="BF159" s="463"/>
      <c r="BG159" s="463"/>
      <c r="BH159" s="463"/>
      <c r="BI159" s="463"/>
      <c r="BJ159" s="465"/>
      <c r="BK159" s="568"/>
      <c r="BL159" s="569"/>
      <c r="BM159" s="570"/>
    </row>
    <row r="160" spans="3:65" hidden="1" x14ac:dyDescent="0.15">
      <c r="C160" s="458"/>
      <c r="D160" s="437"/>
      <c r="E160" s="437"/>
      <c r="G160" s="458"/>
      <c r="H160" s="458"/>
      <c r="I160" s="458"/>
      <c r="J160" s="458"/>
      <c r="K160" s="414"/>
      <c r="M160" s="455"/>
      <c r="N160" s="451"/>
      <c r="O160" s="457"/>
      <c r="P160" s="545"/>
      <c r="Q160" s="457"/>
      <c r="R160" s="457"/>
      <c r="S160" s="457"/>
      <c r="T160" s="457"/>
      <c r="U160" s="457"/>
      <c r="V160" s="457"/>
      <c r="W160" s="457"/>
      <c r="X160" s="457"/>
      <c r="Y160" s="457"/>
      <c r="Z160" s="457"/>
      <c r="AA160" s="457"/>
      <c r="AB160" s="457"/>
      <c r="AC160" s="457"/>
      <c r="AD160" s="473"/>
      <c r="AE160" s="474"/>
      <c r="AF160" s="474"/>
      <c r="AG160" s="474"/>
      <c r="AH160" s="473"/>
      <c r="AY160" s="457"/>
      <c r="AZ160" s="457"/>
      <c r="BA160" s="457"/>
      <c r="BB160" s="457"/>
      <c r="BC160" s="567"/>
      <c r="BD160" s="463"/>
      <c r="BE160" s="463"/>
      <c r="BF160" s="463"/>
      <c r="BG160" s="463"/>
      <c r="BH160" s="463"/>
      <c r="BI160" s="463"/>
      <c r="BJ160" s="465"/>
      <c r="BK160" s="568"/>
      <c r="BL160" s="569"/>
      <c r="BM160" s="570"/>
    </row>
    <row r="161" spans="3:65" ht="14.25" hidden="1" x14ac:dyDescent="0.15">
      <c r="C161" s="563"/>
      <c r="D161" s="437"/>
      <c r="E161" s="437"/>
      <c r="F161" s="458"/>
      <c r="G161" s="458"/>
      <c r="H161" s="458"/>
      <c r="I161" s="458"/>
      <c r="J161" s="458"/>
      <c r="K161" s="458"/>
      <c r="L161" s="423"/>
      <c r="O161" s="457"/>
      <c r="P161" s="545"/>
      <c r="Q161" s="518"/>
      <c r="R161" s="457"/>
      <c r="S161" s="457"/>
      <c r="T161" s="457"/>
      <c r="U161" s="457"/>
      <c r="V161" s="457"/>
      <c r="W161" s="457"/>
      <c r="X161" s="457"/>
      <c r="Y161" s="457"/>
      <c r="Z161" s="457"/>
      <c r="AA161" s="457"/>
      <c r="AB161" s="457"/>
      <c r="AC161" s="457"/>
      <c r="AD161" s="473"/>
      <c r="AE161" s="474"/>
      <c r="AF161" s="474"/>
      <c r="AG161" s="474"/>
      <c r="AH161" s="473"/>
      <c r="AY161" s="457"/>
      <c r="AZ161" s="457"/>
      <c r="BA161" s="457"/>
      <c r="BB161" s="457"/>
      <c r="BC161" s="567"/>
      <c r="BD161" s="463"/>
      <c r="BE161" s="463"/>
      <c r="BF161" s="463"/>
      <c r="BG161" s="463"/>
      <c r="BH161" s="463"/>
      <c r="BI161" s="463"/>
      <c r="BJ161" s="465"/>
      <c r="BK161" s="568"/>
      <c r="BL161" s="569"/>
      <c r="BM161" s="570"/>
    </row>
    <row r="162" spans="3:65" hidden="1" x14ac:dyDescent="0.15">
      <c r="C162" s="563"/>
      <c r="D162" s="437"/>
      <c r="E162" s="437"/>
      <c r="F162" s="458"/>
      <c r="G162" s="458"/>
      <c r="H162" s="458"/>
      <c r="I162" s="458"/>
      <c r="J162" s="458"/>
      <c r="K162" s="458"/>
      <c r="Q162" s="457"/>
      <c r="R162" s="457"/>
      <c r="S162" s="457"/>
      <c r="T162" s="457"/>
      <c r="U162" s="457"/>
      <c r="V162" s="457"/>
      <c r="W162" s="457"/>
      <c r="X162" s="457"/>
      <c r="Y162" s="457"/>
      <c r="Z162" s="457"/>
      <c r="AA162" s="457"/>
      <c r="AB162" s="457"/>
      <c r="AC162" s="457"/>
      <c r="AD162" s="473"/>
      <c r="AE162" s="474"/>
      <c r="AF162" s="474"/>
      <c r="AG162" s="474"/>
      <c r="AH162" s="473"/>
      <c r="AY162" s="457"/>
      <c r="AZ162" s="457"/>
      <c r="BA162" s="457"/>
      <c r="BB162" s="457"/>
      <c r="BC162" s="567"/>
      <c r="BD162" s="463"/>
      <c r="BE162" s="463"/>
      <c r="BF162" s="463"/>
      <c r="BG162" s="463"/>
      <c r="BH162" s="463"/>
      <c r="BI162" s="463"/>
      <c r="BJ162" s="465"/>
      <c r="BK162" s="568"/>
      <c r="BL162" s="569"/>
      <c r="BM162" s="570"/>
    </row>
    <row r="163" spans="3:65" hidden="1" x14ac:dyDescent="0.15">
      <c r="C163" s="458"/>
      <c r="D163" s="437"/>
      <c r="E163" s="437"/>
      <c r="F163" s="458"/>
      <c r="G163" s="458"/>
      <c r="H163" s="458"/>
      <c r="I163" s="458"/>
      <c r="J163" s="458"/>
      <c r="K163" s="458"/>
      <c r="M163" s="458"/>
      <c r="N163" s="458"/>
      <c r="O163" s="457"/>
      <c r="P163" s="545"/>
      <c r="Q163" s="457"/>
      <c r="R163" s="457"/>
      <c r="S163" s="457"/>
      <c r="T163" s="457"/>
      <c r="U163" s="457"/>
      <c r="V163" s="457"/>
      <c r="W163" s="457"/>
      <c r="X163" s="457"/>
      <c r="Y163" s="457"/>
      <c r="Z163" s="457"/>
      <c r="AA163" s="457"/>
      <c r="AB163" s="457"/>
      <c r="AC163" s="457"/>
      <c r="AD163" s="473"/>
      <c r="AE163" s="474"/>
      <c r="AF163" s="474"/>
      <c r="AG163" s="474"/>
      <c r="AH163" s="473"/>
      <c r="AY163" s="457"/>
      <c r="AZ163" s="457"/>
      <c r="BA163" s="457"/>
      <c r="BB163" s="457"/>
      <c r="BC163" s="567"/>
      <c r="BD163" s="463"/>
      <c r="BE163" s="463"/>
      <c r="BF163" s="463"/>
      <c r="BG163" s="463"/>
      <c r="BH163" s="463"/>
      <c r="BI163" s="463"/>
      <c r="BJ163" s="465"/>
      <c r="BK163" s="568"/>
      <c r="BL163" s="569"/>
      <c r="BM163" s="570"/>
    </row>
    <row r="164" spans="3:65" hidden="1" x14ac:dyDescent="0.15">
      <c r="C164" s="458"/>
      <c r="D164" s="437"/>
      <c r="E164" s="437"/>
      <c r="F164" s="458"/>
      <c r="G164" s="458"/>
      <c r="H164" s="458"/>
      <c r="I164" s="458"/>
      <c r="J164" s="458"/>
      <c r="K164" s="458"/>
      <c r="M164" s="564"/>
      <c r="N164" s="457"/>
      <c r="O164" s="457"/>
      <c r="P164" s="545"/>
      <c r="Q164" s="556"/>
      <c r="R164" s="556"/>
      <c r="S164" s="556"/>
      <c r="T164" s="457"/>
      <c r="U164" s="457"/>
      <c r="V164" s="457"/>
      <c r="W164" s="457"/>
      <c r="X164" s="457"/>
      <c r="Y164" s="457"/>
      <c r="Z164" s="457"/>
      <c r="AA164" s="457"/>
      <c r="AB164" s="457"/>
      <c r="AC164" s="457"/>
      <c r="AD164" s="473"/>
      <c r="AE164" s="474"/>
      <c r="AF164" s="474"/>
      <c r="AG164" s="474"/>
      <c r="AH164" s="473"/>
      <c r="AY164" s="457"/>
      <c r="AZ164" s="457"/>
      <c r="BA164" s="457"/>
      <c r="BB164" s="457"/>
      <c r="BC164" s="567"/>
      <c r="BD164" s="463"/>
      <c r="BE164" s="463"/>
      <c r="BF164" s="463"/>
      <c r="BG164" s="463"/>
      <c r="BH164" s="463"/>
      <c r="BI164" s="463"/>
      <c r="BJ164" s="465"/>
      <c r="BK164" s="568"/>
      <c r="BL164" s="569"/>
      <c r="BM164" s="570"/>
    </row>
    <row r="165" spans="3:65" hidden="1" x14ac:dyDescent="0.15">
      <c r="C165" s="495"/>
      <c r="D165" s="495"/>
      <c r="E165" s="495"/>
      <c r="F165" s="495"/>
      <c r="G165" s="495"/>
      <c r="H165" s="495"/>
      <c r="I165" s="495"/>
      <c r="J165" s="495"/>
      <c r="K165" s="495"/>
      <c r="L165" s="473"/>
      <c r="M165" s="457"/>
      <c r="N165" s="457"/>
      <c r="O165" s="457"/>
      <c r="P165" s="545"/>
      <c r="Q165" s="556"/>
      <c r="R165" s="565"/>
      <c r="S165" s="565"/>
      <c r="T165" s="457"/>
      <c r="U165" s="457"/>
      <c r="V165" s="457"/>
      <c r="W165" s="457"/>
      <c r="X165" s="457"/>
      <c r="Y165" s="457"/>
      <c r="Z165" s="457"/>
      <c r="AA165" s="457"/>
      <c r="AB165" s="457"/>
      <c r="AC165" s="457"/>
      <c r="AD165" s="473"/>
      <c r="AE165" s="474"/>
      <c r="AF165" s="474"/>
      <c r="AG165" s="474"/>
      <c r="AH165" s="473"/>
      <c r="AY165" s="457"/>
      <c r="AZ165" s="457"/>
      <c r="BA165" s="457"/>
      <c r="BB165" s="457"/>
      <c r="BC165" s="567"/>
      <c r="BD165" s="463"/>
      <c r="BE165" s="463"/>
      <c r="BF165" s="463"/>
      <c r="BG165" s="463"/>
      <c r="BH165" s="463"/>
      <c r="BI165" s="463"/>
      <c r="BJ165" s="465"/>
      <c r="BK165" s="568"/>
      <c r="BL165" s="569"/>
      <c r="BM165" s="570"/>
    </row>
    <row r="166" spans="3:65" hidden="1" x14ac:dyDescent="0.15">
      <c r="C166" s="496"/>
      <c r="D166" s="496"/>
      <c r="E166" s="496"/>
      <c r="F166" s="496"/>
      <c r="G166" s="496"/>
      <c r="H166" s="496"/>
      <c r="I166" s="496"/>
      <c r="J166" s="496"/>
      <c r="K166" s="496"/>
      <c r="L166" s="497"/>
      <c r="M166" s="455"/>
      <c r="N166" s="457"/>
      <c r="O166" s="457"/>
      <c r="P166" s="545"/>
      <c r="Q166" s="556"/>
      <c r="R166" s="565"/>
      <c r="S166" s="556"/>
      <c r="T166" s="457"/>
      <c r="U166" s="457"/>
      <c r="V166" s="457"/>
      <c r="W166" s="457"/>
      <c r="X166" s="457"/>
      <c r="Y166" s="457"/>
      <c r="Z166" s="457"/>
      <c r="AA166" s="457"/>
      <c r="AB166" s="457"/>
      <c r="AC166" s="457"/>
      <c r="AD166" s="473"/>
      <c r="AE166" s="474"/>
      <c r="AF166" s="474"/>
      <c r="AG166" s="474"/>
      <c r="AH166" s="473"/>
      <c r="AY166" s="457"/>
      <c r="AZ166" s="457"/>
      <c r="BA166" s="457"/>
      <c r="BB166" s="457"/>
      <c r="BC166" s="567"/>
      <c r="BD166" s="463"/>
      <c r="BE166" s="463"/>
      <c r="BF166" s="463"/>
      <c r="BG166" s="463"/>
      <c r="BH166" s="463"/>
      <c r="BI166" s="463"/>
      <c r="BJ166" s="465"/>
      <c r="BK166" s="568"/>
      <c r="BL166" s="569"/>
      <c r="BM166" s="570"/>
    </row>
    <row r="167" spans="3:65" hidden="1" x14ac:dyDescent="0.15">
      <c r="C167" s="473"/>
      <c r="D167" s="473"/>
      <c r="E167" s="473"/>
      <c r="F167" s="473"/>
      <c r="G167" s="473"/>
      <c r="H167" s="473"/>
      <c r="I167" s="473"/>
      <c r="J167" s="473"/>
      <c r="K167" s="473"/>
      <c r="L167" s="473"/>
      <c r="N167" s="457"/>
      <c r="O167" s="457"/>
      <c r="P167" s="545"/>
      <c r="Q167" s="556"/>
      <c r="R167" s="566"/>
      <c r="S167" s="565"/>
      <c r="T167" s="457"/>
      <c r="AD167" s="473"/>
      <c r="AE167" s="474"/>
      <c r="AF167" s="474"/>
      <c r="AG167" s="474"/>
      <c r="AH167" s="473"/>
      <c r="AY167" s="457"/>
      <c r="AZ167" s="457"/>
      <c r="BC167" s="567"/>
      <c r="BD167" s="463"/>
      <c r="BE167" s="463"/>
      <c r="BF167" s="463"/>
      <c r="BG167" s="463"/>
      <c r="BH167" s="463"/>
      <c r="BI167" s="463"/>
      <c r="BJ167" s="465"/>
      <c r="BK167" s="568"/>
      <c r="BL167" s="569"/>
      <c r="BM167" s="570"/>
    </row>
    <row r="168" spans="3:65" hidden="1" x14ac:dyDescent="0.15">
      <c r="C168" s="458"/>
      <c r="D168" s="437"/>
      <c r="E168" s="437"/>
      <c r="F168" s="437"/>
      <c r="G168" s="437"/>
      <c r="H168" s="437"/>
      <c r="I168" s="437"/>
      <c r="J168" s="437"/>
      <c r="K168" s="437"/>
      <c r="L168" s="473"/>
      <c r="M168" s="473"/>
      <c r="P168" s="545"/>
      <c r="Q168" s="477"/>
      <c r="R168" s="477"/>
      <c r="S168" s="565"/>
      <c r="AY168" s="457"/>
      <c r="AZ168" s="457"/>
      <c r="BC168" s="567"/>
      <c r="BD168" s="463"/>
      <c r="BE168" s="463"/>
      <c r="BF168" s="463"/>
      <c r="BG168" s="463"/>
      <c r="BH168" s="463"/>
      <c r="BI168" s="463"/>
      <c r="BJ168" s="465"/>
      <c r="BK168" s="568"/>
      <c r="BL168" s="569"/>
      <c r="BM168" s="570"/>
    </row>
    <row r="169" spans="3:65" hidden="1" x14ac:dyDescent="0.15">
      <c r="C169" s="414"/>
      <c r="E169" s="437"/>
      <c r="G169" s="458"/>
      <c r="H169" s="458"/>
      <c r="I169" s="458"/>
      <c r="J169" s="437"/>
      <c r="K169" s="437"/>
      <c r="L169" s="473"/>
      <c r="P169" s="545"/>
      <c r="Q169" s="477"/>
      <c r="R169" s="565"/>
      <c r="S169" s="477"/>
      <c r="AY169" s="457"/>
      <c r="AZ169" s="457"/>
      <c r="BC169" s="567"/>
      <c r="BD169" s="463"/>
      <c r="BE169" s="463"/>
      <c r="BF169" s="463"/>
      <c r="BG169" s="463"/>
      <c r="BH169" s="463"/>
      <c r="BI169" s="463"/>
      <c r="BJ169" s="465"/>
      <c r="BK169" s="568"/>
      <c r="BL169" s="569"/>
      <c r="BM169" s="570"/>
    </row>
    <row r="170" spans="3:65" hidden="1" x14ac:dyDescent="0.15">
      <c r="C170" s="450"/>
      <c r="D170" s="459"/>
      <c r="E170" s="459"/>
      <c r="F170" s="459"/>
      <c r="G170" s="459"/>
      <c r="H170" s="459"/>
      <c r="I170" s="459"/>
      <c r="J170" s="459"/>
      <c r="K170" s="459"/>
      <c r="L170" s="473"/>
      <c r="M170" s="473"/>
      <c r="Q170" s="477"/>
      <c r="R170" s="477"/>
      <c r="S170" s="477"/>
      <c r="AY170" s="457"/>
      <c r="AZ170" s="457"/>
      <c r="BC170" s="567"/>
      <c r="BD170" s="463"/>
      <c r="BE170" s="463"/>
      <c r="BF170" s="463"/>
      <c r="BG170" s="463"/>
      <c r="BH170" s="463"/>
      <c r="BI170" s="463"/>
      <c r="BJ170" s="465"/>
      <c r="BK170" s="568"/>
      <c r="BL170" s="569"/>
      <c r="BM170" s="570"/>
    </row>
    <row r="171" spans="3:65" hidden="1" x14ac:dyDescent="0.15">
      <c r="C171" s="450"/>
      <c r="D171" s="457"/>
      <c r="E171" s="457"/>
      <c r="F171" s="457"/>
      <c r="G171" s="459"/>
      <c r="H171" s="459"/>
      <c r="I171" s="459"/>
      <c r="J171" s="457"/>
      <c r="K171" s="457"/>
      <c r="L171" s="473"/>
      <c r="M171" s="473"/>
      <c r="Q171" s="477"/>
      <c r="R171" s="477"/>
      <c r="S171" s="477"/>
      <c r="AY171" s="457"/>
      <c r="AZ171" s="457"/>
      <c r="BC171" s="567"/>
      <c r="BD171" s="463"/>
      <c r="BE171" s="463"/>
      <c r="BF171" s="463"/>
      <c r="BG171" s="463"/>
      <c r="BH171" s="463"/>
      <c r="BI171" s="463"/>
      <c r="BJ171" s="465"/>
      <c r="BK171" s="568"/>
      <c r="BL171" s="569"/>
      <c r="BM171" s="570"/>
    </row>
    <row r="172" spans="3:65" hidden="1" x14ac:dyDescent="0.15">
      <c r="C172" s="458"/>
      <c r="D172" s="458"/>
      <c r="E172" s="458"/>
      <c r="G172" s="458"/>
      <c r="H172" s="458"/>
      <c r="I172" s="458"/>
      <c r="J172" s="458"/>
      <c r="L172" s="473"/>
      <c r="M172" s="473"/>
      <c r="BC172" s="567"/>
      <c r="BD172" s="463"/>
      <c r="BE172" s="463"/>
      <c r="BF172" s="463"/>
      <c r="BG172" s="463"/>
      <c r="BH172" s="463"/>
      <c r="BI172" s="463"/>
      <c r="BJ172" s="465"/>
      <c r="BK172" s="568"/>
      <c r="BL172" s="569"/>
      <c r="BM172" s="570"/>
    </row>
    <row r="173" spans="3:65" hidden="1" x14ac:dyDescent="0.15">
      <c r="C173" s="458"/>
      <c r="D173" s="460"/>
      <c r="E173" s="458"/>
      <c r="F173" s="460"/>
      <c r="G173" s="458"/>
      <c r="H173" s="458"/>
      <c r="I173" s="458"/>
      <c r="J173" s="458"/>
      <c r="L173" s="473"/>
      <c r="M173" s="473"/>
      <c r="BC173" s="567"/>
      <c r="BD173" s="463"/>
      <c r="BE173" s="463"/>
      <c r="BF173" s="463"/>
      <c r="BG173" s="463"/>
      <c r="BH173" s="463"/>
      <c r="BI173" s="463"/>
      <c r="BJ173" s="465"/>
      <c r="BK173" s="568"/>
      <c r="BL173" s="569"/>
      <c r="BM173" s="570"/>
    </row>
    <row r="174" spans="3:65" hidden="1" x14ac:dyDescent="0.15">
      <c r="C174" s="473"/>
      <c r="D174" s="473"/>
      <c r="E174" s="473"/>
      <c r="F174" s="473"/>
      <c r="G174" s="473"/>
      <c r="H174" s="473"/>
      <c r="I174" s="473"/>
      <c r="J174" s="473"/>
      <c r="K174" s="473"/>
      <c r="L174" s="473"/>
      <c r="M174" s="473"/>
      <c r="BC174" s="567"/>
      <c r="BD174" s="463"/>
      <c r="BE174" s="463"/>
      <c r="BF174" s="463"/>
      <c r="BG174" s="463"/>
      <c r="BH174" s="463"/>
      <c r="BI174" s="463"/>
      <c r="BJ174" s="465"/>
      <c r="BK174" s="568"/>
      <c r="BL174" s="569"/>
      <c r="BM174" s="570"/>
    </row>
    <row r="175" spans="3:65" hidden="1" x14ac:dyDescent="0.15">
      <c r="C175" s="471"/>
      <c r="D175" s="471"/>
      <c r="E175" s="471"/>
      <c r="F175" s="471"/>
      <c r="G175" s="471"/>
      <c r="H175" s="471"/>
      <c r="I175" s="471"/>
      <c r="J175" s="471"/>
      <c r="K175" s="471"/>
      <c r="L175" s="471"/>
      <c r="M175" s="471"/>
      <c r="N175" s="471"/>
      <c r="O175" s="471"/>
      <c r="BC175" s="567"/>
      <c r="BD175" s="463"/>
      <c r="BE175" s="463"/>
      <c r="BF175" s="463"/>
      <c r="BG175" s="464"/>
      <c r="BH175" s="464"/>
      <c r="BI175" s="464"/>
      <c r="BJ175" s="465"/>
      <c r="BK175" s="568"/>
      <c r="BL175" s="569"/>
      <c r="BM175" s="570"/>
    </row>
    <row r="176" spans="3:65" hidden="1" x14ac:dyDescent="0.15">
      <c r="C176" s="473"/>
      <c r="D176" s="456"/>
      <c r="E176" s="461"/>
      <c r="F176" s="461"/>
      <c r="G176" s="462"/>
      <c r="H176" s="472"/>
      <c r="I176" s="473"/>
      <c r="J176" s="473"/>
      <c r="N176" s="414"/>
      <c r="Q176" s="461"/>
      <c r="R176" s="462"/>
      <c r="BC176" s="571"/>
      <c r="BD176" s="463"/>
      <c r="BE176" s="463"/>
      <c r="BF176" s="463"/>
      <c r="BG176" s="464"/>
      <c r="BH176" s="464"/>
      <c r="BI176" s="464"/>
      <c r="BJ176" s="465"/>
      <c r="BK176" s="568"/>
      <c r="BL176" s="569"/>
      <c r="BM176" s="570"/>
    </row>
    <row r="177" spans="3:65" hidden="1" x14ac:dyDescent="0.15">
      <c r="C177" s="498"/>
      <c r="D177" s="456"/>
      <c r="E177" s="466"/>
      <c r="F177" s="467"/>
      <c r="G177" s="468"/>
      <c r="Q177" s="572"/>
      <c r="R177" s="572"/>
      <c r="T177" s="437"/>
      <c r="X177" s="446"/>
      <c r="AA177" s="557"/>
      <c r="BC177" s="571"/>
      <c r="BD177" s="463"/>
      <c r="BE177" s="463"/>
      <c r="BF177" s="463"/>
      <c r="BG177" s="464"/>
      <c r="BH177" s="464"/>
      <c r="BI177" s="464"/>
      <c r="BJ177" s="465"/>
      <c r="BK177" s="568"/>
      <c r="BL177" s="569"/>
      <c r="BM177" s="570"/>
    </row>
    <row r="178" spans="3:65" hidden="1" x14ac:dyDescent="0.15">
      <c r="C178" s="473"/>
      <c r="D178" s="456"/>
      <c r="E178" s="466"/>
      <c r="F178" s="467"/>
      <c r="G178" s="468"/>
      <c r="H178" s="457"/>
      <c r="I178" s="457"/>
      <c r="J178" s="457"/>
      <c r="Q178" s="572"/>
      <c r="R178" s="572"/>
      <c r="BC178" s="571"/>
      <c r="BD178" s="463"/>
      <c r="BE178" s="463"/>
      <c r="BF178" s="463"/>
      <c r="BG178" s="464"/>
      <c r="BH178" s="464"/>
      <c r="BI178" s="464"/>
      <c r="BJ178" s="465"/>
      <c r="BK178" s="568"/>
      <c r="BL178" s="569"/>
      <c r="BM178" s="570"/>
    </row>
    <row r="179" spans="3:65" hidden="1" x14ac:dyDescent="0.15">
      <c r="C179" s="473"/>
      <c r="D179" s="456"/>
      <c r="E179" s="466"/>
      <c r="F179" s="467"/>
      <c r="G179" s="468"/>
      <c r="H179" s="457"/>
      <c r="I179" s="457"/>
      <c r="J179" s="457"/>
      <c r="Q179" s="572"/>
      <c r="R179" s="572"/>
      <c r="BC179" s="571"/>
      <c r="BD179" s="463"/>
      <c r="BE179" s="463"/>
      <c r="BF179" s="463"/>
      <c r="BG179" s="464"/>
      <c r="BH179" s="464"/>
      <c r="BI179" s="464"/>
      <c r="BJ179" s="465"/>
      <c r="BK179" s="568"/>
      <c r="BL179" s="569"/>
      <c r="BM179" s="570"/>
    </row>
    <row r="180" spans="3:65" hidden="1" x14ac:dyDescent="0.15">
      <c r="C180" s="473"/>
      <c r="D180" s="456"/>
      <c r="E180" s="466"/>
      <c r="F180" s="467"/>
      <c r="G180" s="468"/>
      <c r="H180" s="457"/>
      <c r="I180" s="457"/>
      <c r="J180" s="457"/>
      <c r="Q180" s="572"/>
      <c r="R180" s="572"/>
      <c r="BC180" s="473"/>
      <c r="BD180" s="473"/>
      <c r="BE180" s="473"/>
      <c r="BF180" s="473"/>
      <c r="BG180" s="473"/>
      <c r="BH180" s="473"/>
      <c r="BI180" s="473"/>
      <c r="BJ180" s="473"/>
      <c r="BK180" s="473"/>
      <c r="BL180" s="569"/>
      <c r="BM180" s="570"/>
    </row>
    <row r="181" spans="3:65" hidden="1" x14ac:dyDescent="0.15">
      <c r="C181" s="473"/>
      <c r="D181" s="456"/>
      <c r="E181" s="466"/>
      <c r="F181" s="467"/>
      <c r="G181" s="468"/>
      <c r="H181" s="457"/>
      <c r="I181" s="457"/>
      <c r="J181" s="457"/>
      <c r="Q181" s="572"/>
      <c r="R181" s="572"/>
      <c r="BC181" s="473"/>
      <c r="BD181" s="473"/>
      <c r="BE181" s="473"/>
      <c r="BF181" s="474"/>
      <c r="BG181" s="474"/>
      <c r="BH181" s="474"/>
      <c r="BI181" s="474"/>
      <c r="BJ181" s="474"/>
      <c r="BK181" s="469"/>
      <c r="BL181" s="569"/>
      <c r="BM181" s="570"/>
    </row>
    <row r="182" spans="3:65" hidden="1" x14ac:dyDescent="0.15">
      <c r="C182" s="473"/>
      <c r="D182" s="456"/>
      <c r="E182" s="466"/>
      <c r="F182" s="467"/>
      <c r="G182" s="468"/>
      <c r="H182" s="457"/>
      <c r="I182" s="457"/>
      <c r="J182" s="457"/>
      <c r="Q182" s="572"/>
      <c r="R182" s="572"/>
      <c r="BC182" s="473"/>
      <c r="BD182" s="573"/>
      <c r="BE182" s="573"/>
      <c r="BF182" s="473"/>
      <c r="BG182" s="473"/>
      <c r="BH182" s="473"/>
      <c r="BI182" s="473"/>
      <c r="BJ182" s="473"/>
      <c r="BK182" s="473"/>
      <c r="BL182" s="569"/>
      <c r="BM182" s="570"/>
    </row>
    <row r="183" spans="3:65" hidden="1" x14ac:dyDescent="0.15">
      <c r="C183" s="473"/>
      <c r="D183" s="456"/>
      <c r="E183" s="466"/>
      <c r="F183" s="467"/>
      <c r="G183" s="468"/>
      <c r="H183" s="457"/>
      <c r="I183" s="457"/>
      <c r="J183" s="457"/>
      <c r="Q183" s="572"/>
      <c r="R183" s="572"/>
      <c r="BC183" s="473"/>
      <c r="BD183" s="573"/>
      <c r="BE183" s="573"/>
      <c r="BF183" s="473"/>
      <c r="BG183" s="473"/>
      <c r="BH183" s="473"/>
      <c r="BI183" s="473"/>
      <c r="BJ183" s="473"/>
      <c r="BK183" s="473"/>
      <c r="BL183" s="569"/>
      <c r="BM183" s="570"/>
    </row>
    <row r="184" spans="3:65" hidden="1" x14ac:dyDescent="0.15">
      <c r="C184" s="473"/>
      <c r="D184" s="456"/>
      <c r="E184" s="466"/>
      <c r="F184" s="467"/>
      <c r="G184" s="468"/>
      <c r="H184" s="499"/>
      <c r="I184" s="474"/>
      <c r="J184" s="474"/>
      <c r="Q184" s="572"/>
      <c r="R184" s="572"/>
      <c r="BC184" s="473"/>
      <c r="BD184" s="573"/>
      <c r="BE184" s="573"/>
      <c r="BF184" s="473"/>
      <c r="BG184" s="473"/>
      <c r="BH184" s="473"/>
      <c r="BI184" s="473"/>
      <c r="BJ184" s="473"/>
      <c r="BK184" s="473"/>
      <c r="BL184" s="473"/>
      <c r="BM184" s="473"/>
    </row>
    <row r="185" spans="3:65" hidden="1" x14ac:dyDescent="0.15">
      <c r="C185" s="473"/>
      <c r="D185" s="456"/>
      <c r="E185" s="466"/>
      <c r="F185" s="467"/>
      <c r="G185" s="468"/>
      <c r="H185" s="499"/>
      <c r="I185" s="474"/>
      <c r="J185" s="474"/>
      <c r="Q185" s="572"/>
      <c r="R185" s="572"/>
      <c r="BC185" s="473"/>
      <c r="BD185" s="573"/>
      <c r="BE185" s="573"/>
      <c r="BF185" s="473"/>
      <c r="BG185" s="473"/>
      <c r="BH185" s="473"/>
      <c r="BI185" s="473"/>
      <c r="BJ185" s="473"/>
      <c r="BK185" s="473"/>
    </row>
    <row r="186" spans="3:65" hidden="1" x14ac:dyDescent="0.15">
      <c r="C186" s="473"/>
      <c r="D186" s="456"/>
      <c r="E186" s="466"/>
      <c r="F186" s="467"/>
      <c r="G186" s="468"/>
      <c r="H186" s="499"/>
      <c r="I186" s="474"/>
      <c r="J186" s="474"/>
      <c r="Q186" s="572"/>
      <c r="R186" s="572"/>
      <c r="BC186" s="473"/>
      <c r="BD186" s="473"/>
      <c r="BE186" s="473"/>
      <c r="BF186" s="473"/>
      <c r="BG186" s="473"/>
      <c r="BH186" s="473"/>
      <c r="BI186" s="473"/>
      <c r="BJ186" s="473"/>
      <c r="BK186" s="473"/>
    </row>
    <row r="187" spans="3:65" hidden="1" x14ac:dyDescent="0.15">
      <c r="C187" s="473"/>
      <c r="D187" s="456"/>
      <c r="E187" s="466"/>
      <c r="F187" s="467"/>
      <c r="G187" s="468"/>
      <c r="H187" s="499"/>
      <c r="I187" s="474"/>
      <c r="J187" s="474"/>
      <c r="Q187" s="572"/>
      <c r="R187" s="572"/>
      <c r="BC187" s="473"/>
      <c r="BD187" s="473"/>
      <c r="BE187" s="473"/>
      <c r="BF187" s="473"/>
      <c r="BG187" s="473"/>
      <c r="BH187" s="473"/>
      <c r="BI187" s="473"/>
      <c r="BJ187" s="473"/>
      <c r="BK187" s="473"/>
    </row>
    <row r="188" spans="3:65" hidden="1" x14ac:dyDescent="0.15">
      <c r="C188" s="473"/>
      <c r="D188" s="456"/>
      <c r="E188" s="466"/>
      <c r="F188" s="467"/>
      <c r="G188" s="468"/>
      <c r="H188" s="499"/>
      <c r="I188" s="474"/>
      <c r="J188" s="474"/>
      <c r="Q188" s="572"/>
      <c r="R188" s="572"/>
      <c r="BC188" s="473"/>
      <c r="BD188" s="574"/>
      <c r="BE188" s="474"/>
      <c r="BF188" s="473"/>
      <c r="BG188" s="473"/>
      <c r="BH188" s="473"/>
      <c r="BI188" s="473"/>
      <c r="BJ188" s="473"/>
      <c r="BK188" s="473"/>
    </row>
    <row r="189" spans="3:65" hidden="1" x14ac:dyDescent="0.15">
      <c r="C189" s="473"/>
      <c r="D189" s="456"/>
      <c r="E189" s="466"/>
      <c r="F189" s="467"/>
      <c r="G189" s="468"/>
      <c r="H189" s="499"/>
      <c r="I189" s="474"/>
      <c r="J189" s="474"/>
      <c r="Q189" s="572"/>
      <c r="R189" s="572"/>
      <c r="BC189" s="473"/>
      <c r="BD189" s="473"/>
      <c r="BE189" s="473"/>
      <c r="BF189" s="473"/>
      <c r="BG189" s="473"/>
      <c r="BH189" s="473"/>
      <c r="BI189" s="473"/>
      <c r="BJ189" s="473"/>
      <c r="BK189" s="473"/>
    </row>
    <row r="190" spans="3:65" hidden="1" x14ac:dyDescent="0.15">
      <c r="C190" s="473"/>
      <c r="D190" s="456"/>
      <c r="E190" s="466"/>
      <c r="F190" s="467"/>
      <c r="G190" s="468"/>
      <c r="H190" s="499"/>
      <c r="I190" s="474"/>
      <c r="J190" s="474"/>
      <c r="Q190" s="572"/>
      <c r="R190" s="572"/>
      <c r="BC190" s="473"/>
      <c r="BD190" s="473"/>
      <c r="BE190" s="473"/>
      <c r="BF190" s="473"/>
      <c r="BG190" s="473"/>
      <c r="BH190" s="473"/>
      <c r="BI190" s="473"/>
      <c r="BJ190" s="473"/>
      <c r="BK190" s="473"/>
    </row>
    <row r="191" spans="3:65" hidden="1" x14ac:dyDescent="0.15">
      <c r="C191" s="473"/>
      <c r="D191" s="456"/>
      <c r="E191" s="466"/>
      <c r="F191" s="467"/>
      <c r="G191" s="468"/>
      <c r="H191" s="499"/>
      <c r="I191" s="474"/>
      <c r="J191" s="474"/>
      <c r="Q191" s="572"/>
      <c r="R191" s="572"/>
      <c r="BC191" s="473"/>
      <c r="BD191" s="473"/>
      <c r="BE191" s="473"/>
      <c r="BF191" s="473"/>
      <c r="BG191" s="473"/>
      <c r="BH191" s="473"/>
      <c r="BI191" s="473"/>
      <c r="BJ191" s="473"/>
      <c r="BK191" s="473"/>
    </row>
    <row r="192" spans="3:65" hidden="1" x14ac:dyDescent="0.15">
      <c r="C192" s="473"/>
      <c r="D192" s="456"/>
      <c r="E192" s="466"/>
      <c r="F192" s="466"/>
      <c r="G192" s="466"/>
      <c r="H192" s="499"/>
      <c r="I192" s="474"/>
      <c r="J192" s="474"/>
      <c r="Q192" s="572"/>
      <c r="R192" s="572"/>
      <c r="BC192" s="473"/>
      <c r="BD192" s="473"/>
      <c r="BE192" s="473"/>
      <c r="BF192" s="473"/>
      <c r="BG192" s="473"/>
      <c r="BH192" s="473"/>
      <c r="BI192" s="473"/>
      <c r="BJ192" s="473"/>
      <c r="BK192" s="473"/>
    </row>
    <row r="193" spans="3:65" hidden="1" x14ac:dyDescent="0.15">
      <c r="C193" s="473"/>
      <c r="D193" s="456"/>
      <c r="E193" s="466"/>
      <c r="F193" s="466"/>
      <c r="G193" s="466"/>
      <c r="H193" s="499"/>
      <c r="I193" s="474"/>
      <c r="J193" s="474"/>
      <c r="Q193" s="572"/>
      <c r="R193" s="572"/>
      <c r="BC193" s="473"/>
      <c r="BD193" s="473"/>
      <c r="BE193" s="473"/>
      <c r="BF193" s="473"/>
      <c r="BG193" s="473"/>
      <c r="BH193" s="473"/>
      <c r="BI193" s="473"/>
      <c r="BJ193" s="473"/>
      <c r="BK193" s="473"/>
    </row>
    <row r="194" spans="3:65" hidden="1" x14ac:dyDescent="0.15">
      <c r="C194" s="473"/>
      <c r="D194" s="456"/>
      <c r="E194" s="466"/>
      <c r="F194" s="466"/>
      <c r="G194" s="466"/>
      <c r="H194" s="499"/>
      <c r="I194" s="474"/>
      <c r="J194" s="474"/>
      <c r="Q194" s="572"/>
      <c r="R194" s="572"/>
      <c r="BC194" s="473"/>
      <c r="BD194" s="473"/>
      <c r="BE194" s="473"/>
      <c r="BF194" s="473"/>
      <c r="BG194" s="473"/>
      <c r="BH194" s="473"/>
      <c r="BI194" s="473"/>
      <c r="BJ194" s="473"/>
      <c r="BK194" s="473"/>
      <c r="BL194" s="474"/>
      <c r="BM194" s="469"/>
    </row>
    <row r="195" spans="3:65" hidden="1" x14ac:dyDescent="0.15">
      <c r="C195" s="473"/>
      <c r="D195" s="456"/>
      <c r="E195" s="466"/>
      <c r="F195" s="466"/>
      <c r="G195" s="466"/>
      <c r="H195" s="499"/>
      <c r="I195" s="474"/>
      <c r="J195" s="474"/>
      <c r="Q195" s="572"/>
      <c r="R195" s="572"/>
      <c r="BC195" s="473"/>
      <c r="BD195" s="473"/>
      <c r="BE195" s="473"/>
      <c r="BF195" s="473"/>
      <c r="BG195" s="473"/>
      <c r="BH195" s="473"/>
      <c r="BI195" s="473"/>
      <c r="BJ195" s="473"/>
      <c r="BK195" s="473"/>
      <c r="BL195" s="473"/>
      <c r="BM195" s="473"/>
    </row>
    <row r="196" spans="3:65" hidden="1" x14ac:dyDescent="0.15">
      <c r="C196" s="473"/>
      <c r="D196" s="456"/>
      <c r="E196" s="466"/>
      <c r="F196" s="466"/>
      <c r="G196" s="466"/>
      <c r="H196" s="499"/>
      <c r="I196" s="474"/>
      <c r="J196" s="474"/>
      <c r="Q196" s="572"/>
      <c r="R196" s="572"/>
      <c r="BC196" s="473"/>
      <c r="BD196" s="473"/>
      <c r="BE196" s="473"/>
      <c r="BF196" s="473"/>
      <c r="BG196" s="473"/>
      <c r="BH196" s="473"/>
      <c r="BI196" s="473"/>
      <c r="BJ196" s="473"/>
      <c r="BK196" s="473"/>
      <c r="BL196" s="473"/>
      <c r="BM196" s="473"/>
    </row>
    <row r="197" spans="3:65" hidden="1" x14ac:dyDescent="0.15">
      <c r="C197" s="473"/>
      <c r="D197" s="456"/>
      <c r="E197" s="466"/>
      <c r="F197" s="466"/>
      <c r="G197" s="466"/>
      <c r="H197" s="499"/>
      <c r="I197" s="474"/>
      <c r="J197" s="474"/>
      <c r="Q197" s="572"/>
      <c r="R197" s="572"/>
      <c r="BC197" s="473"/>
      <c r="BD197" s="473"/>
      <c r="BE197" s="473"/>
      <c r="BF197" s="473"/>
      <c r="BG197" s="473"/>
      <c r="BH197" s="473"/>
      <c r="BI197" s="473"/>
      <c r="BJ197" s="473"/>
      <c r="BK197" s="473"/>
      <c r="BL197" s="473"/>
      <c r="BM197" s="473"/>
    </row>
    <row r="198" spans="3:65" hidden="1" x14ac:dyDescent="0.15">
      <c r="C198" s="473"/>
      <c r="D198" s="456"/>
      <c r="E198" s="466"/>
      <c r="F198" s="466"/>
      <c r="G198" s="466"/>
      <c r="H198" s="499"/>
      <c r="I198" s="474"/>
      <c r="J198" s="474"/>
      <c r="Q198" s="572"/>
      <c r="R198" s="572"/>
      <c r="BC198" s="457"/>
    </row>
    <row r="199" spans="3:65" hidden="1" x14ac:dyDescent="0.15">
      <c r="C199" s="473"/>
      <c r="D199" s="456"/>
      <c r="E199" s="466"/>
      <c r="F199" s="466"/>
      <c r="G199" s="466"/>
      <c r="H199" s="499"/>
      <c r="I199" s="474"/>
      <c r="J199" s="474"/>
      <c r="Q199" s="572"/>
      <c r="R199" s="572"/>
      <c r="BC199" s="457"/>
    </row>
    <row r="200" spans="3:65" hidden="1" x14ac:dyDescent="0.15">
      <c r="C200" s="473"/>
      <c r="D200" s="456"/>
      <c r="E200" s="466"/>
      <c r="F200" s="466"/>
      <c r="G200" s="466"/>
      <c r="H200" s="499"/>
      <c r="I200" s="474"/>
      <c r="J200" s="474"/>
      <c r="Q200" s="572"/>
      <c r="R200" s="572"/>
      <c r="BC200" s="457"/>
    </row>
    <row r="201" spans="3:65" hidden="1" x14ac:dyDescent="0.15">
      <c r="C201" s="473"/>
      <c r="D201" s="456"/>
      <c r="E201" s="500"/>
      <c r="F201" s="501"/>
      <c r="G201" s="502"/>
      <c r="H201" s="503"/>
      <c r="I201" s="473"/>
      <c r="Q201" s="572"/>
      <c r="R201" s="572"/>
      <c r="BC201" s="457"/>
    </row>
    <row r="202" spans="3:65" hidden="1" x14ac:dyDescent="0.15">
      <c r="C202" s="473"/>
      <c r="D202" s="456"/>
      <c r="E202" s="500"/>
      <c r="F202" s="501"/>
      <c r="G202" s="502"/>
      <c r="H202" s="503"/>
      <c r="I202" s="473"/>
      <c r="Q202" s="572"/>
      <c r="R202" s="572"/>
    </row>
    <row r="203" spans="3:65" hidden="1" x14ac:dyDescent="0.15">
      <c r="C203" s="473"/>
      <c r="D203" s="456"/>
      <c r="E203" s="466"/>
      <c r="F203" s="466"/>
      <c r="G203" s="466"/>
      <c r="H203" s="499"/>
      <c r="I203" s="474"/>
      <c r="J203" s="474"/>
      <c r="Q203" s="572"/>
      <c r="R203" s="572"/>
    </row>
    <row r="204" spans="3:65" hidden="1" x14ac:dyDescent="0.15">
      <c r="C204" s="473"/>
      <c r="D204" s="456"/>
      <c r="E204" s="466"/>
      <c r="F204" s="466"/>
      <c r="G204" s="466"/>
      <c r="H204" s="499"/>
      <c r="I204" s="474"/>
      <c r="J204" s="474"/>
      <c r="Q204" s="572"/>
      <c r="R204" s="572"/>
    </row>
    <row r="205" spans="3:65" hidden="1" x14ac:dyDescent="0.15">
      <c r="C205" s="473"/>
      <c r="D205" s="456"/>
      <c r="E205" s="466"/>
      <c r="F205" s="466"/>
      <c r="G205" s="466"/>
      <c r="H205" s="499"/>
      <c r="I205" s="474"/>
      <c r="J205" s="474"/>
      <c r="Q205" s="572"/>
      <c r="R205" s="572"/>
    </row>
    <row r="206" spans="3:65" hidden="1" x14ac:dyDescent="0.15">
      <c r="C206" s="473"/>
      <c r="D206" s="456"/>
      <c r="E206" s="466"/>
      <c r="F206" s="466"/>
      <c r="G206" s="466"/>
      <c r="H206" s="499"/>
      <c r="I206" s="474"/>
      <c r="J206" s="474"/>
      <c r="Q206" s="572"/>
      <c r="R206" s="572"/>
    </row>
    <row r="207" spans="3:65" hidden="1" x14ac:dyDescent="0.15">
      <c r="C207" s="473"/>
      <c r="D207" s="456"/>
      <c r="E207" s="466"/>
      <c r="F207" s="466"/>
      <c r="G207" s="466"/>
      <c r="H207" s="499"/>
      <c r="I207" s="474"/>
      <c r="J207" s="474"/>
      <c r="Q207" s="572"/>
      <c r="R207" s="572"/>
    </row>
    <row r="208" spans="3:65" hidden="1" x14ac:dyDescent="0.15">
      <c r="C208" s="473"/>
      <c r="D208" s="456"/>
      <c r="E208" s="466"/>
      <c r="F208" s="466"/>
      <c r="G208" s="466"/>
      <c r="H208" s="499"/>
      <c r="I208" s="474"/>
      <c r="J208" s="474"/>
      <c r="Q208" s="572"/>
      <c r="R208" s="572"/>
    </row>
    <row r="209" spans="3:46" hidden="1" x14ac:dyDescent="0.15">
      <c r="C209" s="473"/>
      <c r="D209" s="456"/>
      <c r="E209" s="466"/>
      <c r="F209" s="466"/>
      <c r="G209" s="466"/>
      <c r="H209" s="499"/>
      <c r="I209" s="474"/>
      <c r="J209" s="474"/>
      <c r="Q209" s="572"/>
      <c r="R209" s="572"/>
    </row>
    <row r="210" spans="3:46" hidden="1" x14ac:dyDescent="0.15">
      <c r="C210" s="473"/>
      <c r="D210" s="456"/>
      <c r="E210" s="466"/>
      <c r="F210" s="466"/>
      <c r="G210" s="466"/>
      <c r="H210" s="499"/>
      <c r="I210" s="474"/>
      <c r="J210" s="474"/>
      <c r="Q210" s="572"/>
      <c r="R210" s="572"/>
    </row>
    <row r="211" spans="3:46" hidden="1" x14ac:dyDescent="0.15">
      <c r="C211" s="473"/>
      <c r="D211" s="456"/>
      <c r="E211" s="466"/>
      <c r="F211" s="466"/>
      <c r="G211" s="466"/>
      <c r="H211" s="499"/>
      <c r="I211" s="474"/>
      <c r="J211" s="474"/>
      <c r="Q211" s="572"/>
      <c r="R211" s="572"/>
      <c r="AT211" s="474"/>
    </row>
    <row r="212" spans="3:46" hidden="1" x14ac:dyDescent="0.15">
      <c r="C212" s="473"/>
      <c r="D212" s="456"/>
      <c r="E212" s="466"/>
      <c r="F212" s="466"/>
      <c r="G212" s="466"/>
      <c r="H212" s="499"/>
      <c r="I212" s="474"/>
      <c r="J212" s="474"/>
      <c r="Q212" s="572"/>
      <c r="R212" s="572"/>
      <c r="AT212" s="473"/>
    </row>
    <row r="213" spans="3:46" hidden="1" x14ac:dyDescent="0.15">
      <c r="C213" s="504"/>
      <c r="D213" s="456"/>
      <c r="E213" s="466"/>
      <c r="F213" s="466"/>
      <c r="G213" s="466"/>
      <c r="H213" s="499"/>
      <c r="I213" s="474"/>
      <c r="J213" s="474"/>
      <c r="N213" s="477"/>
      <c r="Q213" s="458"/>
      <c r="R213" s="458"/>
      <c r="AT213" s="473"/>
    </row>
    <row r="214" spans="3:46" hidden="1" x14ac:dyDescent="0.15">
      <c r="C214" s="504"/>
      <c r="D214" s="456"/>
      <c r="E214" s="466"/>
      <c r="F214" s="466"/>
      <c r="G214" s="466"/>
      <c r="H214" s="499"/>
      <c r="I214" s="474"/>
      <c r="J214" s="474"/>
      <c r="N214" s="477"/>
      <c r="Q214" s="458"/>
      <c r="R214" s="458"/>
      <c r="AT214" s="473"/>
    </row>
    <row r="215" spans="3:46" hidden="1" x14ac:dyDescent="0.15">
      <c r="C215" s="504"/>
      <c r="D215" s="456"/>
      <c r="E215" s="466"/>
      <c r="F215" s="466"/>
      <c r="G215" s="466"/>
      <c r="H215" s="499"/>
      <c r="I215" s="474"/>
      <c r="J215" s="474"/>
      <c r="N215" s="477"/>
      <c r="Q215" s="458"/>
      <c r="R215" s="458"/>
      <c r="AI215" s="473"/>
      <c r="AJ215" s="473"/>
      <c r="AK215" s="473"/>
      <c r="AL215" s="473"/>
      <c r="AM215" s="473"/>
      <c r="AN215" s="473"/>
      <c r="AO215" s="473"/>
      <c r="AP215" s="473"/>
      <c r="AQ215" s="473"/>
      <c r="AR215" s="473"/>
      <c r="AS215" s="473"/>
      <c r="AT215" s="473"/>
    </row>
    <row r="216" spans="3:46" hidden="1" x14ac:dyDescent="0.15">
      <c r="C216" s="504"/>
      <c r="D216" s="456"/>
      <c r="E216" s="466"/>
      <c r="F216" s="466"/>
      <c r="G216" s="466"/>
      <c r="H216" s="499"/>
      <c r="I216" s="474"/>
      <c r="J216" s="474"/>
      <c r="N216" s="477"/>
      <c r="Q216" s="458"/>
      <c r="R216" s="458"/>
      <c r="AI216" s="473"/>
      <c r="AJ216" s="473"/>
      <c r="AK216" s="473"/>
      <c r="AL216" s="473"/>
      <c r="AM216" s="473"/>
      <c r="AN216" s="473"/>
      <c r="AO216" s="473"/>
      <c r="AP216" s="473"/>
      <c r="AQ216" s="473"/>
      <c r="AR216" s="473"/>
      <c r="AS216" s="473"/>
      <c r="AT216" s="473"/>
    </row>
    <row r="217" spans="3:46" hidden="1" x14ac:dyDescent="0.15">
      <c r="C217" s="505"/>
      <c r="D217" s="456"/>
      <c r="E217" s="466"/>
      <c r="F217" s="466"/>
      <c r="G217" s="466"/>
      <c r="H217" s="499"/>
      <c r="I217" s="474"/>
      <c r="J217" s="474"/>
      <c r="N217" s="477"/>
      <c r="Q217" s="458"/>
      <c r="R217" s="458"/>
      <c r="AI217" s="473"/>
      <c r="AJ217" s="473"/>
      <c r="AK217" s="473"/>
      <c r="AL217" s="473"/>
      <c r="AM217" s="473"/>
      <c r="AN217" s="473"/>
      <c r="AO217" s="473"/>
      <c r="AP217" s="473"/>
      <c r="AQ217" s="473"/>
      <c r="AR217" s="473"/>
      <c r="AS217" s="473"/>
      <c r="AT217" s="473"/>
    </row>
    <row r="218" spans="3:46" hidden="1" x14ac:dyDescent="0.15">
      <c r="C218" s="506"/>
      <c r="D218" s="456"/>
      <c r="E218" s="466"/>
      <c r="F218" s="466"/>
      <c r="G218" s="466"/>
      <c r="H218" s="499"/>
      <c r="I218" s="474"/>
      <c r="J218" s="474"/>
      <c r="N218" s="477"/>
      <c r="Q218" s="458"/>
      <c r="R218" s="458"/>
      <c r="AI218" s="473"/>
      <c r="AJ218" s="474"/>
      <c r="AK218" s="474"/>
      <c r="AL218" s="474"/>
      <c r="AM218" s="473"/>
      <c r="AN218" s="473"/>
      <c r="AO218" s="473"/>
      <c r="AP218" s="473"/>
      <c r="AQ218" s="473"/>
      <c r="AR218" s="473"/>
      <c r="AS218" s="473"/>
      <c r="AT218" s="473"/>
    </row>
    <row r="219" spans="3:46" hidden="1" x14ac:dyDescent="0.15">
      <c r="C219" s="506"/>
      <c r="D219" s="456"/>
      <c r="E219" s="466"/>
      <c r="F219" s="466"/>
      <c r="G219" s="466"/>
      <c r="H219" s="499"/>
      <c r="I219" s="474"/>
      <c r="J219" s="474"/>
      <c r="N219" s="477"/>
      <c r="Q219" s="458"/>
      <c r="R219" s="458"/>
      <c r="AI219" s="473"/>
      <c r="AJ219" s="473"/>
      <c r="AK219" s="473"/>
      <c r="AL219" s="473"/>
      <c r="AM219" s="473"/>
      <c r="AN219" s="473"/>
      <c r="AO219" s="473"/>
      <c r="AP219" s="473"/>
      <c r="AQ219" s="473"/>
      <c r="AR219" s="473"/>
      <c r="AS219" s="473"/>
      <c r="AT219" s="473"/>
    </row>
    <row r="220" spans="3:46" hidden="1" x14ac:dyDescent="0.15">
      <c r="C220" s="506"/>
      <c r="D220" s="456"/>
      <c r="E220" s="466"/>
      <c r="F220" s="466"/>
      <c r="G220" s="466"/>
      <c r="H220" s="499"/>
      <c r="I220" s="474"/>
      <c r="J220" s="474"/>
      <c r="N220" s="477"/>
      <c r="Q220" s="458"/>
      <c r="R220" s="458"/>
    </row>
    <row r="221" spans="3:46" hidden="1" x14ac:dyDescent="0.15">
      <c r="C221" s="506"/>
      <c r="D221" s="456"/>
      <c r="E221" s="466"/>
      <c r="F221" s="466"/>
      <c r="G221" s="466"/>
      <c r="H221" s="499"/>
      <c r="I221" s="474"/>
      <c r="J221" s="474"/>
      <c r="N221" s="477"/>
      <c r="P221" s="507"/>
      <c r="Q221" s="466"/>
      <c r="R221" s="466"/>
    </row>
    <row r="222" spans="3:46" hidden="1" x14ac:dyDescent="0.15">
      <c r="C222" s="506"/>
      <c r="D222" s="456"/>
      <c r="E222" s="508"/>
      <c r="F222" s="508"/>
      <c r="G222" s="508"/>
      <c r="H222" s="499"/>
      <c r="I222" s="474"/>
      <c r="J222" s="474"/>
      <c r="N222" s="477"/>
      <c r="P222" s="507"/>
      <c r="Q222" s="466"/>
      <c r="R222" s="466"/>
      <c r="S222" s="509"/>
      <c r="T222" s="474"/>
      <c r="U222" s="474"/>
    </row>
    <row r="223" spans="3:46" hidden="1" x14ac:dyDescent="0.15">
      <c r="C223" s="506"/>
      <c r="D223" s="456"/>
      <c r="E223" s="456"/>
      <c r="H223" s="499"/>
      <c r="I223" s="474"/>
      <c r="J223" s="474"/>
      <c r="N223" s="477"/>
      <c r="Q223" s="458"/>
      <c r="R223" s="458"/>
    </row>
    <row r="224" spans="3:46" hidden="1" x14ac:dyDescent="0.15">
      <c r="C224" s="506"/>
      <c r="D224" s="456"/>
      <c r="E224" s="466"/>
      <c r="F224" s="466"/>
      <c r="G224" s="466"/>
      <c r="H224" s="499"/>
      <c r="I224" s="474"/>
      <c r="J224" s="474"/>
      <c r="N224" s="477"/>
      <c r="Q224" s="458"/>
      <c r="R224" s="458"/>
    </row>
    <row r="225" spans="3:34" hidden="1" x14ac:dyDescent="0.15">
      <c r="C225" s="506"/>
      <c r="D225" s="456"/>
      <c r="E225" s="466"/>
      <c r="F225" s="466"/>
      <c r="G225" s="466"/>
      <c r="H225" s="499"/>
      <c r="I225" s="474"/>
      <c r="J225" s="474"/>
      <c r="N225" s="477"/>
      <c r="Q225" s="458"/>
      <c r="R225" s="458"/>
    </row>
    <row r="226" spans="3:34" hidden="1" x14ac:dyDescent="0.15">
      <c r="C226" s="506"/>
      <c r="D226" s="456"/>
      <c r="E226" s="466"/>
      <c r="F226" s="466"/>
      <c r="G226" s="466"/>
      <c r="H226" s="499"/>
      <c r="I226" s="474"/>
      <c r="J226" s="474"/>
      <c r="N226" s="477"/>
      <c r="Q226" s="458"/>
      <c r="R226" s="458"/>
    </row>
    <row r="227" spans="3:34" hidden="1" x14ac:dyDescent="0.15">
      <c r="C227" s="506"/>
      <c r="D227" s="456"/>
      <c r="E227" s="466"/>
      <c r="F227" s="466"/>
      <c r="G227" s="466"/>
      <c r="H227" s="499"/>
      <c r="I227" s="474"/>
      <c r="J227" s="474"/>
      <c r="N227" s="477"/>
      <c r="Q227" s="458"/>
      <c r="R227" s="458"/>
    </row>
    <row r="228" spans="3:34" hidden="1" x14ac:dyDescent="0.15">
      <c r="C228" s="506"/>
      <c r="D228" s="456"/>
      <c r="E228" s="466"/>
      <c r="F228" s="466"/>
      <c r="G228" s="466"/>
      <c r="H228" s="499"/>
      <c r="I228" s="474"/>
      <c r="J228" s="474"/>
      <c r="N228" s="477"/>
      <c r="Q228" s="458"/>
      <c r="R228" s="458"/>
    </row>
    <row r="229" spans="3:34" hidden="1" x14ac:dyDescent="0.15">
      <c r="C229" s="506"/>
      <c r="D229" s="456"/>
      <c r="E229" s="466"/>
      <c r="F229" s="466"/>
      <c r="G229" s="466"/>
      <c r="H229" s="499"/>
      <c r="I229" s="474"/>
      <c r="J229" s="474"/>
      <c r="N229" s="477"/>
      <c r="Q229" s="458"/>
      <c r="R229" s="458"/>
    </row>
    <row r="230" spans="3:34" hidden="1" x14ac:dyDescent="0.15">
      <c r="C230" s="506"/>
      <c r="D230" s="456"/>
      <c r="E230" s="466"/>
      <c r="F230" s="466"/>
      <c r="G230" s="466"/>
      <c r="H230" s="499"/>
      <c r="I230" s="474"/>
      <c r="J230" s="474"/>
      <c r="N230" s="477"/>
      <c r="Q230" s="458"/>
      <c r="R230" s="458"/>
    </row>
    <row r="231" spans="3:34" hidden="1" x14ac:dyDescent="0.15">
      <c r="C231" s="506"/>
      <c r="D231" s="456"/>
      <c r="E231" s="466"/>
      <c r="F231" s="466"/>
      <c r="G231" s="466"/>
      <c r="H231" s="499"/>
      <c r="I231" s="474"/>
      <c r="J231" s="474"/>
      <c r="N231" s="477"/>
      <c r="Q231" s="458"/>
      <c r="R231" s="458"/>
    </row>
    <row r="232" spans="3:34" hidden="1" x14ac:dyDescent="0.15">
      <c r="C232" s="506"/>
      <c r="D232" s="456"/>
      <c r="E232" s="466"/>
      <c r="F232" s="466"/>
      <c r="G232" s="466"/>
      <c r="H232" s="499"/>
      <c r="I232" s="474"/>
      <c r="J232" s="474"/>
      <c r="N232" s="477"/>
      <c r="Q232" s="458"/>
      <c r="R232" s="458"/>
    </row>
    <row r="233" spans="3:34" hidden="1" x14ac:dyDescent="0.15">
      <c r="C233" s="506"/>
      <c r="D233" s="456"/>
      <c r="E233" s="466"/>
      <c r="F233" s="466"/>
      <c r="G233" s="466"/>
      <c r="H233" s="499"/>
      <c r="I233" s="474"/>
      <c r="J233" s="474"/>
      <c r="N233" s="477"/>
      <c r="Q233" s="458"/>
      <c r="R233" s="458"/>
    </row>
    <row r="234" spans="3:34" hidden="1" x14ac:dyDescent="0.15">
      <c r="C234" s="506"/>
      <c r="D234" s="456"/>
      <c r="E234" s="466"/>
      <c r="F234" s="466"/>
      <c r="G234" s="466"/>
      <c r="H234" s="499"/>
      <c r="I234" s="474"/>
      <c r="J234" s="474"/>
      <c r="N234" s="477"/>
      <c r="Q234" s="458"/>
      <c r="R234" s="458"/>
    </row>
    <row r="235" spans="3:34" hidden="1" x14ac:dyDescent="0.15">
      <c r="C235" s="506"/>
      <c r="D235" s="456"/>
      <c r="E235" s="466"/>
      <c r="F235" s="466"/>
      <c r="G235" s="466"/>
      <c r="H235" s="499"/>
      <c r="I235" s="474"/>
      <c r="J235" s="474"/>
      <c r="N235" s="477"/>
      <c r="Q235" s="458"/>
      <c r="R235" s="458"/>
    </row>
    <row r="236" spans="3:34" hidden="1" x14ac:dyDescent="0.15">
      <c r="C236" s="506"/>
      <c r="D236" s="456"/>
      <c r="E236" s="466"/>
      <c r="F236" s="466"/>
      <c r="G236" s="466"/>
      <c r="H236" s="499"/>
      <c r="I236" s="474"/>
      <c r="J236" s="474"/>
      <c r="N236" s="477"/>
      <c r="Q236" s="458"/>
      <c r="R236" s="458"/>
    </row>
    <row r="237" spans="3:34" hidden="1" x14ac:dyDescent="0.15">
      <c r="C237" s="506"/>
      <c r="D237" s="456"/>
      <c r="E237" s="466"/>
      <c r="F237" s="466"/>
      <c r="G237" s="466"/>
      <c r="H237" s="499"/>
      <c r="I237" s="474"/>
      <c r="J237" s="474"/>
      <c r="N237" s="477"/>
      <c r="Q237" s="458"/>
      <c r="R237" s="458"/>
    </row>
    <row r="238" spans="3:34" hidden="1" x14ac:dyDescent="0.15">
      <c r="C238" s="506"/>
      <c r="D238" s="456"/>
      <c r="E238" s="466"/>
      <c r="F238" s="466"/>
      <c r="G238" s="466"/>
      <c r="H238" s="499"/>
      <c r="I238" s="474"/>
      <c r="J238" s="474"/>
      <c r="N238" s="477"/>
      <c r="Q238" s="458"/>
      <c r="R238" s="458"/>
    </row>
    <row r="239" spans="3:34" hidden="1" x14ac:dyDescent="0.15">
      <c r="C239" s="506"/>
      <c r="D239" s="456"/>
      <c r="E239" s="466"/>
      <c r="F239" s="466"/>
      <c r="G239" s="466"/>
      <c r="H239" s="499"/>
      <c r="I239" s="474"/>
      <c r="J239" s="474"/>
      <c r="N239" s="477"/>
      <c r="Q239" s="458"/>
      <c r="R239" s="458"/>
    </row>
    <row r="240" spans="3:34" hidden="1" x14ac:dyDescent="0.15">
      <c r="C240" s="506"/>
      <c r="D240" s="456"/>
      <c r="E240" s="466"/>
      <c r="F240" s="466"/>
      <c r="G240" s="466"/>
      <c r="H240" s="499"/>
      <c r="I240" s="474"/>
      <c r="J240" s="474"/>
      <c r="N240" s="477"/>
      <c r="Q240" s="458"/>
      <c r="R240" s="458"/>
      <c r="AD240" s="473"/>
      <c r="AE240" s="473"/>
      <c r="AF240" s="473"/>
      <c r="AG240" s="473"/>
      <c r="AH240" s="473"/>
    </row>
    <row r="241" spans="3:34" hidden="1" x14ac:dyDescent="0.15">
      <c r="C241" s="506"/>
      <c r="D241" s="456"/>
      <c r="E241" s="466"/>
      <c r="F241" s="466"/>
      <c r="G241" s="466"/>
      <c r="H241" s="499"/>
      <c r="I241" s="474"/>
      <c r="J241" s="474"/>
      <c r="N241" s="477"/>
      <c r="Q241" s="458"/>
      <c r="R241" s="458"/>
      <c r="AD241" s="473"/>
      <c r="AE241" s="473"/>
      <c r="AF241" s="473"/>
      <c r="AG241" s="473"/>
      <c r="AH241" s="473"/>
    </row>
    <row r="242" spans="3:34" hidden="1" x14ac:dyDescent="0.15">
      <c r="C242" s="506"/>
      <c r="D242" s="456"/>
      <c r="E242" s="466"/>
      <c r="F242" s="466"/>
      <c r="G242" s="466"/>
      <c r="H242" s="499"/>
      <c r="I242" s="474"/>
      <c r="J242" s="474"/>
      <c r="N242" s="477"/>
      <c r="Q242" s="458"/>
      <c r="R242" s="458"/>
      <c r="AD242" s="473"/>
      <c r="AE242" s="473"/>
      <c r="AF242" s="473"/>
      <c r="AG242" s="473"/>
      <c r="AH242" s="473"/>
    </row>
    <row r="243" spans="3:34" hidden="1" x14ac:dyDescent="0.15">
      <c r="C243" s="510"/>
      <c r="D243" s="456"/>
      <c r="E243" s="466"/>
      <c r="F243" s="466"/>
      <c r="G243" s="466"/>
      <c r="H243" s="499"/>
      <c r="I243" s="474"/>
      <c r="J243" s="474"/>
      <c r="N243" s="512"/>
      <c r="Q243" s="458"/>
      <c r="R243" s="458"/>
      <c r="AD243" s="473"/>
      <c r="AE243" s="473"/>
      <c r="AF243" s="473"/>
      <c r="AG243" s="473"/>
      <c r="AH243" s="473"/>
    </row>
    <row r="244" spans="3:34" hidden="1" x14ac:dyDescent="0.15">
      <c r="C244" s="510"/>
      <c r="D244" s="456"/>
      <c r="E244" s="456"/>
      <c r="J244" s="453"/>
      <c r="N244" s="512"/>
      <c r="Q244" s="458"/>
      <c r="R244" s="458"/>
      <c r="AD244" s="473"/>
      <c r="AE244" s="473"/>
      <c r="AF244" s="473"/>
      <c r="AG244" s="473"/>
      <c r="AH244" s="473"/>
    </row>
    <row r="245" spans="3:34" hidden="1" x14ac:dyDescent="0.15">
      <c r="C245" s="510"/>
      <c r="D245" s="456"/>
      <c r="E245" s="466"/>
      <c r="F245" s="466"/>
      <c r="G245" s="466"/>
      <c r="H245" s="575"/>
      <c r="I245" s="575"/>
      <c r="J245" s="575"/>
      <c r="K245" s="576"/>
      <c r="L245" s="576"/>
      <c r="M245" s="576"/>
      <c r="N245" s="512"/>
      <c r="O245" s="457"/>
      <c r="Q245" s="458"/>
      <c r="R245" s="458"/>
      <c r="AD245" s="473"/>
      <c r="AE245" s="473"/>
      <c r="AF245" s="473"/>
      <c r="AG245" s="473"/>
      <c r="AH245" s="473"/>
    </row>
    <row r="246" spans="3:34" hidden="1" x14ac:dyDescent="0.15">
      <c r="C246" s="510"/>
      <c r="D246" s="456"/>
      <c r="E246" s="466"/>
      <c r="F246" s="467"/>
      <c r="G246" s="468"/>
      <c r="H246" s="575"/>
      <c r="I246" s="575"/>
      <c r="J246" s="575"/>
      <c r="N246" s="512"/>
      <c r="Q246" s="458"/>
      <c r="R246" s="458"/>
      <c r="AD246" s="473"/>
      <c r="AE246" s="473"/>
      <c r="AF246" s="473"/>
      <c r="AG246" s="473"/>
      <c r="AH246" s="473"/>
    </row>
    <row r="247" spans="3:34" hidden="1" x14ac:dyDescent="0.15">
      <c r="C247" s="510"/>
      <c r="D247" s="456"/>
      <c r="E247" s="466"/>
      <c r="F247" s="466"/>
      <c r="G247" s="466"/>
      <c r="H247" s="575"/>
      <c r="I247" s="575"/>
      <c r="J247" s="575"/>
      <c r="K247" s="576"/>
      <c r="L247" s="576"/>
      <c r="M247" s="576"/>
      <c r="N247" s="512"/>
      <c r="Q247" s="458"/>
      <c r="R247" s="458"/>
      <c r="AD247" s="473"/>
      <c r="AE247" s="473"/>
      <c r="AF247" s="473"/>
      <c r="AG247" s="473"/>
      <c r="AH247" s="473"/>
    </row>
    <row r="248" spans="3:34" hidden="1" x14ac:dyDescent="0.15">
      <c r="C248" s="510"/>
      <c r="D248" s="456"/>
      <c r="E248" s="466"/>
      <c r="F248" s="466"/>
      <c r="G248" s="466"/>
      <c r="H248" s="499"/>
      <c r="I248" s="474"/>
      <c r="J248" s="474"/>
      <c r="N248" s="512"/>
      <c r="Q248" s="458"/>
      <c r="R248" s="458"/>
      <c r="AD248" s="473"/>
      <c r="AE248" s="473"/>
      <c r="AF248" s="473"/>
      <c r="AG248" s="473"/>
      <c r="AH248" s="473"/>
    </row>
    <row r="249" spans="3:34" hidden="1" x14ac:dyDescent="0.15">
      <c r="C249" s="510"/>
      <c r="D249" s="456"/>
      <c r="E249" s="466"/>
      <c r="F249" s="466"/>
      <c r="G249" s="466"/>
      <c r="H249" s="575"/>
      <c r="I249" s="575"/>
      <c r="J249" s="575"/>
      <c r="N249" s="512"/>
      <c r="O249" s="457"/>
      <c r="Q249" s="458"/>
      <c r="R249" s="458"/>
      <c r="AD249" s="473"/>
      <c r="AE249" s="473"/>
      <c r="AF249" s="473"/>
      <c r="AG249" s="473"/>
      <c r="AH249" s="473"/>
    </row>
    <row r="250" spans="3:34" hidden="1" x14ac:dyDescent="0.15">
      <c r="C250" s="510"/>
      <c r="D250" s="456"/>
      <c r="E250" s="466"/>
      <c r="F250" s="466"/>
      <c r="G250" s="466"/>
      <c r="H250" s="499"/>
      <c r="I250" s="474"/>
      <c r="J250" s="474"/>
      <c r="N250" s="512"/>
      <c r="Q250" s="458"/>
      <c r="R250" s="458"/>
      <c r="AD250" s="473"/>
      <c r="AE250" s="473"/>
      <c r="AF250" s="473"/>
      <c r="AG250" s="473"/>
      <c r="AH250" s="473"/>
    </row>
    <row r="251" spans="3:34" hidden="1" x14ac:dyDescent="0.15">
      <c r="C251" s="510"/>
      <c r="D251" s="456"/>
      <c r="E251" s="466"/>
      <c r="F251" s="466"/>
      <c r="G251" s="466"/>
      <c r="H251" s="499"/>
      <c r="I251" s="474"/>
      <c r="J251" s="474"/>
      <c r="N251" s="512"/>
      <c r="Q251" s="458"/>
      <c r="R251" s="458"/>
    </row>
    <row r="252" spans="3:34" hidden="1" x14ac:dyDescent="0.15">
      <c r="C252" s="510"/>
      <c r="D252" s="456"/>
      <c r="E252" s="466"/>
      <c r="F252" s="466"/>
      <c r="G252" s="466"/>
      <c r="H252" s="499"/>
      <c r="I252" s="474"/>
      <c r="J252" s="474"/>
      <c r="N252" s="512"/>
      <c r="Q252" s="458"/>
      <c r="R252" s="458"/>
    </row>
    <row r="253" spans="3:34" hidden="1" x14ac:dyDescent="0.15">
      <c r="C253" s="510"/>
      <c r="D253" s="456"/>
      <c r="E253" s="466"/>
      <c r="F253" s="466"/>
      <c r="G253" s="466"/>
      <c r="H253" s="499"/>
      <c r="I253" s="474"/>
      <c r="J253" s="474"/>
      <c r="N253" s="512"/>
      <c r="Q253" s="458"/>
      <c r="R253" s="458"/>
    </row>
    <row r="254" spans="3:34" hidden="1" x14ac:dyDescent="0.15">
      <c r="C254" s="510"/>
      <c r="D254" s="456"/>
      <c r="E254" s="466"/>
      <c r="F254" s="466"/>
      <c r="G254" s="466"/>
      <c r="H254" s="499"/>
      <c r="I254" s="474"/>
      <c r="J254" s="474"/>
      <c r="N254" s="512"/>
      <c r="Q254" s="458"/>
      <c r="R254" s="458"/>
    </row>
    <row r="255" spans="3:34" hidden="1" x14ac:dyDescent="0.15">
      <c r="C255" s="510"/>
      <c r="D255" s="456"/>
      <c r="E255" s="466"/>
      <c r="F255" s="466"/>
      <c r="G255" s="466"/>
      <c r="H255" s="499"/>
      <c r="I255" s="474"/>
      <c r="J255" s="474"/>
      <c r="N255" s="512"/>
      <c r="Q255" s="458"/>
      <c r="R255" s="458"/>
    </row>
    <row r="256" spans="3:34" hidden="1" x14ac:dyDescent="0.15">
      <c r="C256" s="510"/>
      <c r="D256" s="456"/>
      <c r="E256" s="466"/>
      <c r="F256" s="466"/>
      <c r="G256" s="466"/>
      <c r="H256" s="499"/>
      <c r="I256" s="474"/>
      <c r="J256" s="474"/>
      <c r="N256" s="512"/>
      <c r="Q256" s="458"/>
      <c r="R256" s="458"/>
    </row>
    <row r="257" spans="3:18" hidden="1" x14ac:dyDescent="0.15">
      <c r="C257" s="510"/>
      <c r="D257" s="456"/>
      <c r="E257" s="466"/>
      <c r="F257" s="466"/>
      <c r="G257" s="466"/>
      <c r="H257" s="499"/>
      <c r="I257" s="474"/>
      <c r="J257" s="474"/>
      <c r="N257" s="512"/>
      <c r="Q257" s="458"/>
      <c r="R257" s="458"/>
    </row>
    <row r="258" spans="3:18" hidden="1" x14ac:dyDescent="0.15">
      <c r="C258" s="510"/>
      <c r="D258" s="456"/>
      <c r="E258" s="466"/>
      <c r="F258" s="466"/>
      <c r="G258" s="466"/>
      <c r="H258" s="499"/>
      <c r="I258" s="474"/>
      <c r="J258" s="474"/>
      <c r="N258" s="512"/>
      <c r="Q258" s="458"/>
      <c r="R258" s="458"/>
    </row>
    <row r="259" spans="3:18" hidden="1" x14ac:dyDescent="0.15">
      <c r="C259" s="510"/>
      <c r="D259" s="456"/>
      <c r="E259" s="466"/>
      <c r="F259" s="466"/>
      <c r="G259" s="466"/>
      <c r="H259" s="499"/>
      <c r="I259" s="474"/>
      <c r="J259" s="474"/>
      <c r="N259" s="512"/>
      <c r="Q259" s="458"/>
      <c r="R259" s="458"/>
    </row>
    <row r="260" spans="3:18" hidden="1" x14ac:dyDescent="0.15">
      <c r="C260" s="510"/>
      <c r="D260" s="456"/>
      <c r="E260" s="466"/>
      <c r="F260" s="466"/>
      <c r="G260" s="466"/>
      <c r="H260" s="499"/>
      <c r="I260" s="474"/>
      <c r="J260" s="474"/>
      <c r="N260" s="512"/>
      <c r="Q260" s="458"/>
      <c r="R260" s="458"/>
    </row>
    <row r="261" spans="3:18" hidden="1" x14ac:dyDescent="0.15">
      <c r="C261" s="510"/>
      <c r="D261" s="456"/>
      <c r="E261" s="466"/>
      <c r="F261" s="466"/>
      <c r="G261" s="466"/>
      <c r="H261" s="499"/>
      <c r="I261" s="474"/>
      <c r="J261" s="474"/>
      <c r="N261" s="512"/>
      <c r="Q261" s="458"/>
      <c r="R261" s="458"/>
    </row>
    <row r="262" spans="3:18" hidden="1" x14ac:dyDescent="0.15">
      <c r="C262" s="510"/>
      <c r="D262" s="456"/>
      <c r="E262" s="470"/>
      <c r="F262" s="470"/>
      <c r="G262" s="470"/>
      <c r="H262" s="499"/>
      <c r="I262" s="474"/>
      <c r="J262" s="474"/>
      <c r="N262" s="512"/>
      <c r="Q262" s="458"/>
      <c r="R262" s="458"/>
    </row>
    <row r="263" spans="3:18" hidden="1" x14ac:dyDescent="0.15">
      <c r="C263" s="510"/>
      <c r="D263" s="456"/>
      <c r="E263" s="466"/>
      <c r="F263" s="466"/>
      <c r="G263" s="466"/>
      <c r="H263" s="499"/>
      <c r="I263" s="474"/>
      <c r="J263" s="474"/>
      <c r="N263" s="512"/>
      <c r="Q263" s="458"/>
      <c r="R263" s="458"/>
    </row>
    <row r="264" spans="3:18" hidden="1" x14ac:dyDescent="0.15">
      <c r="C264" s="510"/>
      <c r="D264" s="456"/>
      <c r="E264" s="466"/>
      <c r="F264" s="466"/>
      <c r="G264" s="466"/>
      <c r="H264" s="499"/>
      <c r="I264" s="474"/>
      <c r="J264" s="474"/>
      <c r="N264" s="512"/>
      <c r="Q264" s="458"/>
      <c r="R264" s="458"/>
    </row>
    <row r="265" spans="3:18" hidden="1" x14ac:dyDescent="0.15">
      <c r="C265" s="510"/>
      <c r="D265" s="456"/>
      <c r="F265" s="414"/>
      <c r="N265" s="512"/>
      <c r="Q265" s="458"/>
      <c r="R265" s="458"/>
    </row>
    <row r="266" spans="3:18" hidden="1" x14ac:dyDescent="0.15">
      <c r="C266" s="511"/>
      <c r="D266" s="456"/>
      <c r="E266" s="466"/>
      <c r="F266" s="466"/>
      <c r="G266" s="466"/>
      <c r="H266" s="499"/>
      <c r="I266" s="474"/>
      <c r="J266" s="474"/>
      <c r="N266" s="512"/>
      <c r="O266" s="466"/>
      <c r="Q266" s="458"/>
      <c r="R266" s="458"/>
    </row>
    <row r="267" spans="3:18" hidden="1" x14ac:dyDescent="0.15">
      <c r="C267" s="511"/>
      <c r="D267" s="456"/>
      <c r="E267" s="466"/>
      <c r="F267" s="466"/>
      <c r="G267" s="466"/>
      <c r="H267" s="499"/>
      <c r="I267" s="474"/>
      <c r="J267" s="474"/>
      <c r="N267" s="512"/>
      <c r="Q267" s="458"/>
      <c r="R267" s="458"/>
    </row>
    <row r="268" spans="3:18" hidden="1" x14ac:dyDescent="0.15">
      <c r="C268" s="511"/>
      <c r="D268" s="456"/>
      <c r="E268" s="466"/>
      <c r="F268" s="466"/>
      <c r="G268" s="466"/>
      <c r="H268" s="499"/>
      <c r="I268" s="474"/>
      <c r="J268" s="474"/>
      <c r="N268" s="512"/>
      <c r="Q268" s="458"/>
      <c r="R268" s="458"/>
    </row>
    <row r="269" spans="3:18" hidden="1" x14ac:dyDescent="0.15">
      <c r="C269" s="511"/>
      <c r="D269" s="456"/>
      <c r="E269" s="456"/>
      <c r="N269" s="512"/>
      <c r="Q269" s="458"/>
      <c r="R269" s="458"/>
    </row>
    <row r="270" spans="3:18" hidden="1" x14ac:dyDescent="0.15">
      <c r="C270" s="511"/>
      <c r="D270" s="456"/>
      <c r="E270" s="466"/>
      <c r="F270" s="466"/>
      <c r="G270" s="466"/>
      <c r="H270" s="499"/>
      <c r="I270" s="474"/>
      <c r="J270" s="474"/>
      <c r="N270" s="512"/>
      <c r="Q270" s="458"/>
      <c r="R270" s="458"/>
    </row>
    <row r="271" spans="3:18" hidden="1" x14ac:dyDescent="0.15">
      <c r="C271" s="511"/>
      <c r="D271" s="456"/>
      <c r="E271" s="466"/>
      <c r="F271" s="466"/>
      <c r="G271" s="466"/>
      <c r="H271" s="499"/>
      <c r="I271" s="474"/>
      <c r="J271" s="474"/>
      <c r="N271" s="512"/>
      <c r="Q271" s="458"/>
      <c r="R271" s="458"/>
    </row>
    <row r="272" spans="3:18" hidden="1" x14ac:dyDescent="0.15">
      <c r="C272" s="511"/>
      <c r="D272" s="456"/>
      <c r="E272" s="466"/>
      <c r="F272" s="466"/>
      <c r="G272" s="466"/>
      <c r="H272" s="499"/>
      <c r="I272" s="474"/>
      <c r="J272" s="474"/>
      <c r="N272" s="512"/>
      <c r="Q272" s="458"/>
      <c r="R272" s="458"/>
    </row>
    <row r="273" spans="3:41" hidden="1" x14ac:dyDescent="0.15">
      <c r="C273" s="511"/>
      <c r="D273" s="456"/>
      <c r="E273" s="466"/>
      <c r="F273" s="466"/>
      <c r="G273" s="466"/>
      <c r="H273" s="499"/>
      <c r="I273" s="474"/>
      <c r="J273" s="474"/>
      <c r="N273" s="512"/>
      <c r="Q273" s="458"/>
      <c r="R273" s="458"/>
    </row>
    <row r="274" spans="3:41" hidden="1" x14ac:dyDescent="0.15">
      <c r="C274" s="511"/>
      <c r="D274" s="456"/>
      <c r="E274" s="466"/>
      <c r="F274" s="466"/>
      <c r="G274" s="466"/>
      <c r="H274" s="499"/>
      <c r="I274" s="474"/>
      <c r="J274" s="474"/>
      <c r="N274" s="512"/>
      <c r="Q274" s="458"/>
      <c r="R274" s="458"/>
    </row>
    <row r="275" spans="3:41" hidden="1" x14ac:dyDescent="0.15">
      <c r="C275" s="511"/>
      <c r="D275" s="456"/>
      <c r="E275" s="456"/>
      <c r="N275" s="512"/>
      <c r="Q275" s="458"/>
      <c r="R275" s="458"/>
    </row>
    <row r="276" spans="3:41" hidden="1" x14ac:dyDescent="0.15">
      <c r="C276" s="471"/>
      <c r="D276" s="456"/>
      <c r="E276" s="456"/>
    </row>
    <row r="277" spans="3:41" hidden="1" x14ac:dyDescent="0.15">
      <c r="C277" s="473"/>
      <c r="D277" s="456"/>
      <c r="E277" s="456"/>
    </row>
    <row r="278" spans="3:41" hidden="1" x14ac:dyDescent="0.15">
      <c r="C278" s="473"/>
      <c r="D278" s="471"/>
      <c r="E278" s="471"/>
      <c r="F278" s="471"/>
      <c r="G278" s="471"/>
      <c r="H278" s="471"/>
      <c r="I278" s="471"/>
      <c r="J278" s="471"/>
      <c r="K278" s="471"/>
      <c r="L278" s="471"/>
      <c r="M278" s="471"/>
      <c r="N278" s="471"/>
      <c r="O278" s="471"/>
    </row>
    <row r="279" spans="3:41" hidden="1" x14ac:dyDescent="0.15">
      <c r="C279" s="504"/>
      <c r="D279" s="461"/>
      <c r="E279" s="461"/>
      <c r="F279" s="462"/>
      <c r="G279" s="472"/>
      <c r="H279" s="473"/>
      <c r="I279" s="473"/>
      <c r="J279" s="473"/>
      <c r="O279" s="414"/>
    </row>
    <row r="280" spans="3:41" hidden="1" x14ac:dyDescent="0.15">
      <c r="C280" s="510"/>
      <c r="D280" s="466"/>
      <c r="E280" s="467"/>
      <c r="F280" s="468"/>
      <c r="G280" s="457"/>
      <c r="H280" s="457"/>
      <c r="I280" s="457"/>
      <c r="J280" s="457"/>
    </row>
    <row r="281" spans="3:41" hidden="1" x14ac:dyDescent="0.15">
      <c r="C281" s="504"/>
      <c r="D281" s="466"/>
      <c r="E281" s="466"/>
      <c r="F281" s="466"/>
      <c r="G281" s="474"/>
      <c r="H281" s="474"/>
      <c r="I281" s="474"/>
      <c r="J281" s="474"/>
    </row>
    <row r="282" spans="3:41" hidden="1" x14ac:dyDescent="0.15">
      <c r="C282" s="510"/>
      <c r="D282" s="466"/>
      <c r="E282" s="466"/>
      <c r="F282" s="466"/>
      <c r="G282" s="474"/>
      <c r="H282" s="474"/>
      <c r="I282" s="474"/>
      <c r="J282" s="474"/>
    </row>
    <row r="283" spans="3:41" hidden="1" x14ac:dyDescent="0.15">
      <c r="C283" s="510"/>
      <c r="D283" s="466"/>
      <c r="E283" s="466"/>
      <c r="F283" s="466"/>
      <c r="G283" s="474"/>
      <c r="H283" s="474"/>
      <c r="I283" s="474"/>
      <c r="J283" s="474"/>
    </row>
    <row r="284" spans="3:41" hidden="1" x14ac:dyDescent="0.15">
      <c r="C284" s="473"/>
      <c r="D284" s="466"/>
      <c r="E284" s="466"/>
      <c r="F284" s="466"/>
      <c r="G284" s="474"/>
      <c r="H284" s="474"/>
      <c r="I284" s="474"/>
      <c r="J284" s="474"/>
    </row>
    <row r="285" spans="3:41" hidden="1" x14ac:dyDescent="0.15">
      <c r="C285" s="473"/>
      <c r="D285" s="456"/>
      <c r="E285" s="456"/>
    </row>
    <row r="286" spans="3:41" hidden="1" x14ac:dyDescent="0.15">
      <c r="C286" s="473"/>
      <c r="D286" s="471"/>
      <c r="E286" s="471"/>
      <c r="F286" s="471"/>
      <c r="G286" s="471"/>
      <c r="H286" s="471"/>
      <c r="I286" s="471"/>
      <c r="J286" s="471"/>
      <c r="K286" s="471"/>
      <c r="L286" s="471"/>
      <c r="M286" s="471"/>
      <c r="N286" s="471"/>
      <c r="O286" s="471"/>
      <c r="AI286" s="473"/>
      <c r="AJ286" s="473"/>
      <c r="AK286" s="473"/>
      <c r="AL286" s="473"/>
      <c r="AM286" s="473"/>
      <c r="AN286" s="473"/>
      <c r="AO286" s="473"/>
    </row>
    <row r="287" spans="3:41" hidden="1" x14ac:dyDescent="0.15">
      <c r="C287" s="473"/>
      <c r="D287" s="461"/>
      <c r="E287" s="461"/>
      <c r="F287" s="462"/>
      <c r="G287" s="472"/>
      <c r="H287" s="473"/>
      <c r="I287" s="473"/>
      <c r="J287" s="473"/>
      <c r="O287" s="414"/>
      <c r="AI287" s="473"/>
      <c r="AJ287" s="473"/>
      <c r="AK287" s="473"/>
      <c r="AL287" s="473"/>
      <c r="AM287" s="473"/>
      <c r="AN287" s="473"/>
      <c r="AO287" s="473"/>
    </row>
    <row r="288" spans="3:41" hidden="1" x14ac:dyDescent="0.15">
      <c r="C288" s="504"/>
      <c r="D288" s="466"/>
      <c r="E288" s="467"/>
      <c r="F288" s="468"/>
      <c r="AI288" s="473"/>
      <c r="AJ288" s="473"/>
      <c r="AK288" s="473"/>
      <c r="AL288" s="473"/>
      <c r="AM288" s="473"/>
      <c r="AN288" s="473"/>
      <c r="AO288" s="473"/>
    </row>
    <row r="289" spans="3:41" hidden="1" x14ac:dyDescent="0.15">
      <c r="C289" s="510"/>
      <c r="D289" s="466"/>
      <c r="E289" s="467"/>
      <c r="F289" s="468"/>
      <c r="G289" s="457"/>
      <c r="H289" s="457"/>
      <c r="I289" s="457"/>
      <c r="J289" s="457"/>
      <c r="AI289" s="473"/>
      <c r="AJ289" s="473"/>
      <c r="AK289" s="473"/>
      <c r="AL289" s="473"/>
      <c r="AM289" s="473"/>
      <c r="AN289" s="473"/>
      <c r="AO289" s="473"/>
    </row>
    <row r="290" spans="3:41" hidden="1" x14ac:dyDescent="0.15">
      <c r="C290" s="510"/>
      <c r="D290" s="466"/>
      <c r="E290" s="467"/>
      <c r="F290" s="468"/>
      <c r="G290" s="457"/>
      <c r="H290" s="473"/>
      <c r="I290" s="457"/>
      <c r="J290" s="457"/>
      <c r="AI290" s="473"/>
      <c r="AJ290" s="473"/>
      <c r="AK290" s="473"/>
      <c r="AL290" s="473"/>
      <c r="AM290" s="473"/>
      <c r="AN290" s="473"/>
      <c r="AO290" s="473"/>
    </row>
    <row r="291" spans="3:41" hidden="1" x14ac:dyDescent="0.15">
      <c r="C291" s="504"/>
      <c r="D291" s="466"/>
      <c r="E291" s="467"/>
      <c r="F291" s="468"/>
      <c r="G291" s="457"/>
      <c r="H291" s="473"/>
      <c r="I291" s="457"/>
      <c r="J291" s="457"/>
    </row>
    <row r="292" spans="3:41" hidden="1" x14ac:dyDescent="0.15">
      <c r="C292" s="510"/>
      <c r="D292" s="466"/>
      <c r="E292" s="467"/>
      <c r="F292" s="468"/>
      <c r="G292" s="457"/>
      <c r="H292" s="473"/>
      <c r="I292" s="457"/>
      <c r="J292" s="457"/>
    </row>
    <row r="293" spans="3:41" hidden="1" x14ac:dyDescent="0.15">
      <c r="C293" s="510"/>
      <c r="D293" s="466"/>
      <c r="E293" s="467"/>
      <c r="F293" s="468"/>
      <c r="G293" s="457"/>
      <c r="H293" s="473"/>
      <c r="I293" s="457"/>
      <c r="J293" s="457"/>
    </row>
    <row r="294" spans="3:41" hidden="1" x14ac:dyDescent="0.15">
      <c r="C294" s="505"/>
      <c r="D294" s="466"/>
      <c r="E294" s="467"/>
      <c r="F294" s="468"/>
      <c r="G294" s="474"/>
      <c r="H294" s="474"/>
      <c r="I294" s="474"/>
      <c r="J294" s="474"/>
    </row>
    <row r="295" spans="3:41" hidden="1" x14ac:dyDescent="0.15">
      <c r="C295" s="510"/>
      <c r="D295" s="466"/>
      <c r="E295" s="467"/>
      <c r="F295" s="468"/>
      <c r="G295" s="474"/>
      <c r="H295" s="474"/>
      <c r="I295" s="474"/>
      <c r="J295" s="474"/>
    </row>
    <row r="296" spans="3:41" hidden="1" x14ac:dyDescent="0.15">
      <c r="C296" s="510"/>
      <c r="D296" s="466"/>
      <c r="E296" s="466"/>
      <c r="F296" s="466"/>
      <c r="G296" s="474"/>
      <c r="H296" s="474"/>
      <c r="I296" s="474"/>
      <c r="J296" s="474"/>
    </row>
    <row r="297" spans="3:41" hidden="1" x14ac:dyDescent="0.15">
      <c r="C297" s="506"/>
      <c r="D297" s="466"/>
      <c r="E297" s="466"/>
      <c r="F297" s="466"/>
      <c r="G297" s="474"/>
      <c r="H297" s="474"/>
      <c r="I297" s="474"/>
      <c r="J297" s="474"/>
    </row>
    <row r="298" spans="3:41" hidden="1" x14ac:dyDescent="0.15">
      <c r="C298" s="510"/>
      <c r="D298" s="466"/>
      <c r="E298" s="466"/>
      <c r="F298" s="466"/>
      <c r="G298" s="474"/>
      <c r="H298" s="474"/>
      <c r="I298" s="474"/>
      <c r="J298" s="474"/>
    </row>
    <row r="299" spans="3:41" hidden="1" x14ac:dyDescent="0.15">
      <c r="C299" s="506"/>
      <c r="D299" s="466"/>
      <c r="E299" s="466"/>
      <c r="F299" s="466"/>
      <c r="G299" s="474"/>
      <c r="H299" s="474"/>
      <c r="I299" s="474"/>
      <c r="J299" s="474"/>
    </row>
    <row r="300" spans="3:41" hidden="1" x14ac:dyDescent="0.15">
      <c r="C300" s="510"/>
      <c r="D300" s="466"/>
      <c r="E300" s="466"/>
      <c r="F300" s="466"/>
      <c r="G300" s="474"/>
      <c r="H300" s="474"/>
      <c r="I300" s="474"/>
      <c r="J300" s="474"/>
    </row>
    <row r="301" spans="3:41" hidden="1" x14ac:dyDescent="0.15">
      <c r="C301" s="506"/>
      <c r="D301" s="466"/>
      <c r="E301" s="466"/>
      <c r="F301" s="466"/>
      <c r="G301" s="474"/>
      <c r="H301" s="474"/>
      <c r="I301" s="474"/>
      <c r="J301" s="474"/>
    </row>
    <row r="302" spans="3:41" hidden="1" x14ac:dyDescent="0.15">
      <c r="C302" s="506"/>
      <c r="D302" s="466"/>
      <c r="E302" s="466"/>
      <c r="F302" s="466"/>
      <c r="G302" s="474"/>
      <c r="H302" s="474"/>
      <c r="I302" s="474"/>
      <c r="J302" s="474"/>
    </row>
    <row r="303" spans="3:41" hidden="1" x14ac:dyDescent="0.15">
      <c r="C303" s="506"/>
      <c r="D303" s="466"/>
      <c r="E303" s="466"/>
      <c r="F303" s="466"/>
      <c r="G303" s="474"/>
      <c r="H303" s="474"/>
      <c r="I303" s="474"/>
      <c r="J303" s="474"/>
    </row>
    <row r="304" spans="3:41" hidden="1" x14ac:dyDescent="0.15">
      <c r="C304" s="473"/>
      <c r="D304" s="466"/>
      <c r="E304" s="466"/>
      <c r="F304" s="466"/>
      <c r="G304" s="474"/>
      <c r="H304" s="474"/>
      <c r="I304" s="474"/>
      <c r="J304" s="474"/>
    </row>
    <row r="305" spans="3:15" hidden="1" x14ac:dyDescent="0.15">
      <c r="C305" s="498"/>
      <c r="D305" s="466"/>
      <c r="E305" s="466"/>
      <c r="F305" s="466"/>
      <c r="G305" s="474"/>
      <c r="H305" s="474"/>
      <c r="I305" s="474"/>
      <c r="J305" s="474"/>
    </row>
    <row r="306" spans="3:15" hidden="1" x14ac:dyDescent="0.15">
      <c r="C306" s="506"/>
      <c r="D306" s="475"/>
      <c r="E306" s="473"/>
      <c r="F306" s="476"/>
      <c r="G306" s="474"/>
      <c r="H306" s="474"/>
      <c r="I306" s="474"/>
      <c r="J306" s="474"/>
      <c r="O306" s="477"/>
    </row>
    <row r="307" spans="3:15" hidden="1" x14ac:dyDescent="0.15">
      <c r="C307" s="510"/>
      <c r="D307" s="471"/>
      <c r="E307" s="471"/>
      <c r="F307" s="471"/>
      <c r="G307" s="471"/>
      <c r="H307" s="471"/>
      <c r="I307" s="471"/>
      <c r="J307" s="471"/>
      <c r="K307" s="471"/>
      <c r="L307" s="471"/>
      <c r="M307" s="471"/>
      <c r="N307" s="471"/>
      <c r="O307" s="471"/>
    </row>
    <row r="308" spans="3:15" hidden="1" x14ac:dyDescent="0.15">
      <c r="C308" s="506"/>
      <c r="D308" s="461"/>
      <c r="E308" s="461"/>
      <c r="F308" s="462"/>
      <c r="G308" s="472"/>
      <c r="H308" s="473"/>
      <c r="I308" s="473"/>
      <c r="J308" s="473"/>
      <c r="O308" s="414"/>
    </row>
    <row r="309" spans="3:15" hidden="1" x14ac:dyDescent="0.15">
      <c r="C309" s="473"/>
      <c r="D309" s="466"/>
      <c r="E309" s="467"/>
      <c r="F309" s="468"/>
      <c r="G309" s="474"/>
      <c r="H309" s="474"/>
      <c r="I309" s="474"/>
      <c r="J309" s="474"/>
    </row>
    <row r="310" spans="3:15" hidden="1" x14ac:dyDescent="0.15">
      <c r="C310" s="473"/>
      <c r="D310" s="466"/>
      <c r="E310" s="467"/>
      <c r="F310" s="468"/>
      <c r="G310" s="474"/>
      <c r="H310" s="474"/>
      <c r="I310" s="474"/>
      <c r="J310" s="474"/>
    </row>
    <row r="311" spans="3:15" hidden="1" x14ac:dyDescent="0.15">
      <c r="C311" s="510"/>
      <c r="D311" s="466"/>
      <c r="E311" s="467"/>
      <c r="F311" s="468"/>
      <c r="G311" s="474"/>
      <c r="H311" s="474"/>
      <c r="I311" s="474"/>
      <c r="J311" s="474"/>
    </row>
    <row r="312" spans="3:15" hidden="1" x14ac:dyDescent="0.15">
      <c r="C312" s="506"/>
      <c r="D312" s="466"/>
      <c r="E312" s="467"/>
      <c r="F312" s="468"/>
      <c r="G312" s="474"/>
      <c r="H312" s="474"/>
      <c r="I312" s="474"/>
      <c r="J312" s="474"/>
    </row>
    <row r="313" spans="3:15" hidden="1" x14ac:dyDescent="0.15">
      <c r="C313" s="510"/>
      <c r="D313" s="466"/>
      <c r="E313" s="467"/>
      <c r="F313" s="468"/>
      <c r="G313" s="474"/>
      <c r="H313" s="474"/>
      <c r="I313" s="474"/>
      <c r="J313" s="474"/>
    </row>
    <row r="314" spans="3:15" hidden="1" x14ac:dyDescent="0.15">
      <c r="C314" s="473"/>
      <c r="D314" s="466"/>
      <c r="E314" s="466"/>
      <c r="F314" s="466"/>
      <c r="G314" s="474"/>
      <c r="H314" s="474"/>
      <c r="I314" s="474"/>
      <c r="J314" s="474"/>
    </row>
    <row r="315" spans="3:15" hidden="1" x14ac:dyDescent="0.15">
      <c r="C315" s="473"/>
      <c r="D315" s="466"/>
      <c r="E315" s="466"/>
      <c r="F315" s="466"/>
      <c r="G315" s="474"/>
      <c r="H315" s="474"/>
      <c r="I315" s="474"/>
      <c r="J315" s="474"/>
    </row>
    <row r="316" spans="3:15" hidden="1" x14ac:dyDescent="0.15">
      <c r="C316" s="510"/>
      <c r="D316" s="466"/>
      <c r="E316" s="466"/>
      <c r="F316" s="466"/>
      <c r="G316" s="474"/>
      <c r="H316" s="474"/>
      <c r="I316" s="474"/>
      <c r="J316" s="474"/>
    </row>
    <row r="317" spans="3:15" hidden="1" x14ac:dyDescent="0.15">
      <c r="C317" s="510"/>
      <c r="D317" s="466"/>
      <c r="E317" s="466"/>
      <c r="F317" s="466"/>
      <c r="G317" s="474"/>
      <c r="H317" s="474"/>
      <c r="I317" s="474"/>
      <c r="J317" s="474"/>
    </row>
    <row r="318" spans="3:15" hidden="1" x14ac:dyDescent="0.15">
      <c r="C318" s="506"/>
      <c r="D318" s="466"/>
      <c r="E318" s="466"/>
      <c r="F318" s="466"/>
      <c r="G318" s="474"/>
      <c r="H318" s="474"/>
      <c r="I318" s="474"/>
      <c r="J318" s="474"/>
    </row>
    <row r="319" spans="3:15" hidden="1" x14ac:dyDescent="0.15">
      <c r="C319" s="506"/>
    </row>
    <row r="320" spans="3:15" hidden="1" x14ac:dyDescent="0.15">
      <c r="C320" s="473"/>
      <c r="D320" s="456"/>
      <c r="E320" s="456"/>
    </row>
    <row r="321" spans="3:5" hidden="1" x14ac:dyDescent="0.15">
      <c r="C321" s="510"/>
      <c r="D321" s="456"/>
      <c r="E321" s="456"/>
    </row>
    <row r="322" spans="3:5" hidden="1" x14ac:dyDescent="0.15">
      <c r="C322" s="473"/>
      <c r="D322" s="456"/>
      <c r="E322" s="456"/>
    </row>
    <row r="323" spans="3:5" hidden="1" x14ac:dyDescent="0.15">
      <c r="C323" s="473"/>
      <c r="D323" s="456"/>
      <c r="E323" s="456"/>
    </row>
    <row r="324" spans="3:5" hidden="1" x14ac:dyDescent="0.15">
      <c r="C324" s="473"/>
      <c r="D324" s="456"/>
      <c r="E324" s="456"/>
    </row>
    <row r="325" spans="3:5" hidden="1" x14ac:dyDescent="0.15">
      <c r="C325" s="510"/>
      <c r="D325" s="456"/>
      <c r="E325" s="456"/>
    </row>
    <row r="326" spans="3:5" hidden="1" x14ac:dyDescent="0.15">
      <c r="C326" s="510"/>
      <c r="D326" s="456"/>
      <c r="E326" s="456"/>
    </row>
    <row r="327" spans="3:5" hidden="1" x14ac:dyDescent="0.15">
      <c r="C327" s="510"/>
    </row>
    <row r="328" spans="3:5" hidden="1" x14ac:dyDescent="0.15">
      <c r="C328" s="473"/>
    </row>
    <row r="329" spans="3:5" hidden="1" x14ac:dyDescent="0.15">
      <c r="C329" s="510"/>
    </row>
    <row r="330" spans="3:5" hidden="1" x14ac:dyDescent="0.15">
      <c r="C330" s="506"/>
    </row>
    <row r="331" spans="3:5" hidden="1" x14ac:dyDescent="0.15">
      <c r="C331" s="473"/>
    </row>
    <row r="332" spans="3:5" hidden="1" x14ac:dyDescent="0.15">
      <c r="C332" s="473"/>
    </row>
    <row r="333" spans="3:5" hidden="1" x14ac:dyDescent="0.15">
      <c r="C333" s="473"/>
    </row>
    <row r="334" spans="3:5" hidden="1" x14ac:dyDescent="0.15">
      <c r="C334" s="473"/>
    </row>
    <row r="335" spans="3:5" hidden="1" x14ac:dyDescent="0.15">
      <c r="C335" s="473"/>
    </row>
    <row r="336" spans="3:5" hidden="1" x14ac:dyDescent="0.15">
      <c r="C336" s="506"/>
    </row>
    <row r="337" spans="3:3" hidden="1" x14ac:dyDescent="0.15">
      <c r="C337" s="473"/>
    </row>
    <row r="338" spans="3:3" hidden="1" x14ac:dyDescent="0.15">
      <c r="C338" s="473"/>
    </row>
    <row r="339" spans="3:3" hidden="1" x14ac:dyDescent="0.15">
      <c r="C339" s="510"/>
    </row>
    <row r="340" spans="3:3" hidden="1" x14ac:dyDescent="0.15">
      <c r="C340" s="473"/>
    </row>
    <row r="341" spans="3:3" hidden="1" x14ac:dyDescent="0.15">
      <c r="C341" s="473"/>
    </row>
    <row r="342" spans="3:3" hidden="1" x14ac:dyDescent="0.15">
      <c r="C342" s="473"/>
    </row>
    <row r="343" spans="3:3" hidden="1" x14ac:dyDescent="0.15">
      <c r="C343" s="510"/>
    </row>
    <row r="344" spans="3:3" hidden="1" x14ac:dyDescent="0.15">
      <c r="C344" s="473"/>
    </row>
    <row r="345" spans="3:3" hidden="1" x14ac:dyDescent="0.15">
      <c r="C345" s="473"/>
    </row>
    <row r="346" spans="3:3" hidden="1" x14ac:dyDescent="0.15">
      <c r="C346" s="506"/>
    </row>
    <row r="347" spans="3:3" hidden="1" x14ac:dyDescent="0.15">
      <c r="C347" s="473"/>
    </row>
    <row r="348" spans="3:3" hidden="1" x14ac:dyDescent="0.15">
      <c r="C348" s="473"/>
    </row>
    <row r="349" spans="3:3" hidden="1" x14ac:dyDescent="0.15">
      <c r="C349" s="511"/>
    </row>
    <row r="350" spans="3:3" hidden="1" x14ac:dyDescent="0.15">
      <c r="C350" s="506"/>
    </row>
    <row r="351" spans="3:3" hidden="1" x14ac:dyDescent="0.15">
      <c r="C351" s="511"/>
    </row>
    <row r="352" spans="3:3" hidden="1" x14ac:dyDescent="0.15">
      <c r="C352" s="511"/>
    </row>
    <row r="353" spans="3:3" hidden="1" x14ac:dyDescent="0.15">
      <c r="C353" s="511"/>
    </row>
    <row r="354" spans="3:3" hidden="1" x14ac:dyDescent="0.15">
      <c r="C354" s="506"/>
    </row>
    <row r="355" spans="3:3" hidden="1" x14ac:dyDescent="0.15">
      <c r="C355" s="511"/>
    </row>
    <row r="356" spans="3:3" hidden="1" x14ac:dyDescent="0.15">
      <c r="C356" s="506"/>
    </row>
    <row r="357" spans="3:3" hidden="1" x14ac:dyDescent="0.15">
      <c r="C357" s="511"/>
    </row>
    <row r="358" spans="3:3" hidden="1" x14ac:dyDescent="0.15">
      <c r="C358" s="506"/>
    </row>
    <row r="359" spans="3:3" hidden="1" x14ac:dyDescent="0.15">
      <c r="C359" s="511"/>
    </row>
    <row r="360" spans="3:3" hidden="1" x14ac:dyDescent="0.15">
      <c r="C360" s="506"/>
    </row>
    <row r="361" spans="3:3" hidden="1" x14ac:dyDescent="0.15">
      <c r="C361" s="506"/>
    </row>
    <row r="362" spans="3:3" hidden="1" x14ac:dyDescent="0.15">
      <c r="C362" s="511"/>
    </row>
    <row r="363" spans="3:3" hidden="1" x14ac:dyDescent="0.15">
      <c r="C363" s="473"/>
    </row>
    <row r="364" spans="3:3" hidden="1" x14ac:dyDescent="0.15">
      <c r="C364" s="506"/>
    </row>
    <row r="365" spans="3:3" hidden="1" x14ac:dyDescent="0.15">
      <c r="C365" s="506"/>
    </row>
    <row r="366" spans="3:3" hidden="1" x14ac:dyDescent="0.15">
      <c r="C366" s="506"/>
    </row>
    <row r="367" spans="3:3" hidden="1" x14ac:dyDescent="0.15">
      <c r="C367" s="506"/>
    </row>
    <row r="368" spans="3:3" hidden="1" x14ac:dyDescent="0.15">
      <c r="C368" s="506"/>
    </row>
    <row r="369" spans="3:3" hidden="1" x14ac:dyDescent="0.15">
      <c r="C369" s="506"/>
    </row>
    <row r="370" spans="3:3" hidden="1" x14ac:dyDescent="0.15">
      <c r="C370" s="473"/>
    </row>
    <row r="371" spans="3:3" hidden="1" x14ac:dyDescent="0.15">
      <c r="C371" s="511"/>
    </row>
    <row r="372" spans="3:3" hidden="1" x14ac:dyDescent="0.15">
      <c r="C372" s="473"/>
    </row>
    <row r="373" spans="3:3" hidden="1" x14ac:dyDescent="0.15">
      <c r="C373" s="473"/>
    </row>
    <row r="374" spans="3:3" hidden="1" x14ac:dyDescent="0.15">
      <c r="C374" s="473"/>
    </row>
    <row r="375" spans="3:3" ht="12" hidden="1" customHeight="1" x14ac:dyDescent="0.15"/>
  </sheetData>
  <sheetProtection password="97A9" sheet="1" objects="1" scenarios="1"/>
  <mergeCells count="44">
    <mergeCell ref="K1:N1"/>
    <mergeCell ref="M21:N21"/>
    <mergeCell ref="E25:G25"/>
    <mergeCell ref="C43:I43"/>
    <mergeCell ref="E29:G29"/>
    <mergeCell ref="I31:N31"/>
    <mergeCell ref="I33:N33"/>
    <mergeCell ref="I34:N34"/>
    <mergeCell ref="M23:N23"/>
    <mergeCell ref="I22:K23"/>
    <mergeCell ref="C2:N2"/>
    <mergeCell ref="E6:N6"/>
    <mergeCell ref="E4:N4"/>
    <mergeCell ref="E19:K19"/>
    <mergeCell ref="E17:I17"/>
    <mergeCell ref="M18:N18"/>
    <mergeCell ref="E16:N16"/>
    <mergeCell ref="C14:N14"/>
    <mergeCell ref="E22:G22"/>
    <mergeCell ref="C45:D45"/>
    <mergeCell ref="E27:G27"/>
    <mergeCell ref="C38:N38"/>
    <mergeCell ref="I32:N32"/>
    <mergeCell ref="E36:G36"/>
    <mergeCell ref="C44:N44"/>
    <mergeCell ref="M17:N17"/>
    <mergeCell ref="E18:K18"/>
    <mergeCell ref="M19:N19"/>
    <mergeCell ref="F57:I57"/>
    <mergeCell ref="E7:N7"/>
    <mergeCell ref="K54:K55"/>
    <mergeCell ref="N54:O54"/>
    <mergeCell ref="K56:K57"/>
    <mergeCell ref="K20:N20"/>
    <mergeCell ref="H46:J46"/>
    <mergeCell ref="F46:G46"/>
    <mergeCell ref="E8:N8"/>
    <mergeCell ref="E20:G20"/>
    <mergeCell ref="E21:G21"/>
    <mergeCell ref="I21:K21"/>
    <mergeCell ref="E23:G23"/>
    <mergeCell ref="E10:N10"/>
    <mergeCell ref="E11:N11"/>
    <mergeCell ref="E12:N12"/>
  </mergeCells>
  <phoneticPr fontId="0" type="noConversion"/>
  <conditionalFormatting sqref="K145">
    <cfRule type="cellIs" dxfId="669" priority="1" stopIfTrue="1" operator="equal">
      <formula>"ATENDE TEMPO NO CARGO"</formula>
    </cfRule>
    <cfRule type="cellIs" dxfId="668" priority="2" stopIfTrue="1" operator="equal">
      <formula>"NÃO CUMPRE TEMPO NO CARGO"</formula>
    </cfRule>
  </conditionalFormatting>
  <conditionalFormatting sqref="N288:N306 N278:N284 N309:N332 D266:D268 D177:D222 O221:O222 D224:D243 D263:D264 D270:D274 D245:D261">
    <cfRule type="cellIs" dxfId="667" priority="3" stopIfTrue="1" operator="equal">
      <formula>"ANUÊNIO"</formula>
    </cfRule>
    <cfRule type="cellIs" dxfId="666" priority="4" stopIfTrue="1" operator="equal">
      <formula>"TRIÊNIO"</formula>
    </cfRule>
    <cfRule type="cellIs" dxfId="665" priority="5" stopIfTrue="1" operator="equal">
      <formula>"QUINQUÊNIO"</formula>
    </cfRule>
  </conditionalFormatting>
  <conditionalFormatting sqref="O96 O98">
    <cfRule type="cellIs" dxfId="664" priority="6" stopIfTrue="1" operator="equal">
      <formula>0</formula>
    </cfRule>
  </conditionalFormatting>
  <conditionalFormatting sqref="I97:K112 E116:O131">
    <cfRule type="cellIs" dxfId="663" priority="7" stopIfTrue="1" operator="equal">
      <formula>"SIM"</formula>
    </cfRule>
    <cfRule type="cellIs" dxfId="662" priority="8" stopIfTrue="1" operator="equal">
      <formula>"NÃO"</formula>
    </cfRule>
  </conditionalFormatting>
  <conditionalFormatting sqref="N94 O91 N103:N114 N132 L115 N45">
    <cfRule type="cellIs" dxfId="661" priority="9" stopIfTrue="1" operator="equal">
      <formula>"ATENDE"</formula>
    </cfRule>
    <cfRule type="cellIs" dxfId="660" priority="10" stopIfTrue="1" operator="equal">
      <formula>"NÃO ATENDE"</formula>
    </cfRule>
    <cfRule type="cellIs" dxfId="659" priority="11" stopIfTrue="1" operator="equal">
      <formula>"OK"</formula>
    </cfRule>
  </conditionalFormatting>
  <conditionalFormatting sqref="G92 G89:G90">
    <cfRule type="cellIs" dxfId="658" priority="12" stopIfTrue="1" operator="equal">
      <formula>"NADA A CUMPRIR"</formula>
    </cfRule>
    <cfRule type="cellIs" dxfId="657" priority="13" stopIfTrue="1" operator="equal">
      <formula>"NÃO CABE"</formula>
    </cfRule>
    <cfRule type="cellIs" dxfId="656" priority="14" stopIfTrue="1" operator="greaterThanOrEqual">
      <formula>0</formula>
    </cfRule>
  </conditionalFormatting>
  <conditionalFormatting sqref="F91">
    <cfRule type="cellIs" dxfId="655" priority="15" stopIfTrue="1" operator="equal">
      <formula>"NÃO ATENDE LIMITE MÍNIMO DE IDADE"</formula>
    </cfRule>
    <cfRule type="cellIs" dxfId="654" priority="16" stopIfTrue="1" operator="equal">
      <formula>"REANALISAR FUNDAMENTAÇÃO E/OU MODALIDADE"</formula>
    </cfRule>
    <cfRule type="cellIs" dxfId="653" priority="17" stopIfTrue="1" operator="equal">
      <formula>"ATENDE LIMITE MÍNIMO DE IDADE"</formula>
    </cfRule>
  </conditionalFormatting>
  <conditionalFormatting sqref="O90">
    <cfRule type="cellIs" dxfId="652" priority="18" stopIfTrue="1" operator="equal">
      <formula>"ATENDE"</formula>
    </cfRule>
    <cfRule type="cellIs" dxfId="651" priority="19" stopIfTrue="1" operator="equal">
      <formula>"NÃO ATENDE"</formula>
    </cfRule>
    <cfRule type="cellIs" dxfId="650" priority="20" stopIfTrue="1" operator="equal">
      <formula>"NÃO CABE"</formula>
    </cfRule>
  </conditionalFormatting>
  <conditionalFormatting sqref="O89">
    <cfRule type="cellIs" dxfId="649" priority="21" stopIfTrue="1" operator="equal">
      <formula>"ATENDE"</formula>
    </cfRule>
    <cfRule type="cellIs" dxfId="648" priority="22" stopIfTrue="1" operator="equal">
      <formula>"NÃO ATENDE"</formula>
    </cfRule>
    <cfRule type="cellIs" dxfId="647" priority="23" stopIfTrue="1" operator="equal">
      <formula>"NÃO CABE"</formula>
    </cfRule>
  </conditionalFormatting>
  <conditionalFormatting sqref="L63">
    <cfRule type="expression" dxfId="646" priority="24" stopIfTrue="1">
      <formula>$F$63&lt;=0</formula>
    </cfRule>
  </conditionalFormatting>
  <conditionalFormatting sqref="N63">
    <cfRule type="expression" dxfId="645" priority="25" stopIfTrue="1">
      <formula>$F$63&lt;=0</formula>
    </cfRule>
  </conditionalFormatting>
  <conditionalFormatting sqref="P91 J88">
    <cfRule type="cellIs" dxfId="644" priority="26" stopIfTrue="1" operator="equal">
      <formula>"REVER TIPO DE ADICIONAL"</formula>
    </cfRule>
  </conditionalFormatting>
  <conditionalFormatting sqref="M54:M57">
    <cfRule type="cellIs" dxfId="643" priority="27" stopIfTrue="1" operator="equal">
      <formula>"NÃO"</formula>
    </cfRule>
    <cfRule type="cellIs" dxfId="642" priority="28" stopIfTrue="1" operator="equal">
      <formula>"SIM"</formula>
    </cfRule>
  </conditionalFormatting>
  <conditionalFormatting sqref="E42">
    <cfRule type="cellIs" dxfId="641" priority="29" stopIfTrue="1" operator="equal">
      <formula>"rever fundamentação e/ou modalidade"</formula>
    </cfRule>
  </conditionalFormatting>
  <conditionalFormatting sqref="C24">
    <cfRule type="expression" dxfId="640" priority="30" stopIfTrue="1">
      <formula>"SE($N$8=0)"</formula>
    </cfRule>
  </conditionalFormatting>
  <conditionalFormatting sqref="I32:N33">
    <cfRule type="cellIs" dxfId="639" priority="31" stopIfTrue="1" operator="equal">
      <formula>"ATENDE"</formula>
    </cfRule>
    <cfRule type="cellIs" dxfId="638" priority="32" stopIfTrue="1" operator="equal">
      <formula>"NÃO CABE"</formula>
    </cfRule>
    <cfRule type="cellIs" dxfId="637" priority="33" stopIfTrue="1" operator="equal">
      <formula>"NÃO ATENDE"</formula>
    </cfRule>
  </conditionalFormatting>
  <conditionalFormatting sqref="E40">
    <cfRule type="cellIs" dxfId="636" priority="34" stopIfTrue="1" operator="equal">
      <formula>"INÍCIO DE CARGO E/OU CARREIRA - OK"</formula>
    </cfRule>
    <cfRule type="cellIs" dxfId="635" priority="35" stopIfTrue="1" operator="equal">
      <formula>"REVER INÍCIO DE CARGO E/OU CARREIRA"</formula>
    </cfRule>
  </conditionalFormatting>
  <conditionalFormatting sqref="E39">
    <cfRule type="cellIs" dxfId="634" priority="36" stopIfTrue="1" operator="equal">
      <formula>"FALTA DATA"</formula>
    </cfRule>
  </conditionalFormatting>
  <conditionalFormatting sqref="E8:N8">
    <cfRule type="cellIs" dxfId="633" priority="37" stopIfTrue="1" operator="equal">
      <formula>"REVER FUNDAMENTAÇÃO E/OU MODALIDADE"</formula>
    </cfRule>
  </conditionalFormatting>
  <conditionalFormatting sqref="I34:N34">
    <cfRule type="cellIs" dxfId="632" priority="38" stopIfTrue="1" operator="equal">
      <formula>"ATENDE"</formula>
    </cfRule>
    <cfRule type="cellIs" dxfId="631" priority="39" stopIfTrue="1" operator="equal">
      <formula>"NÃO ATENDE"</formula>
    </cfRule>
    <cfRule type="cellIs" dxfId="630" priority="40" stopIfTrue="1" operator="equal">
      <formula>"NÃO CUMPRE"</formula>
    </cfRule>
  </conditionalFormatting>
  <conditionalFormatting sqref="E41">
    <cfRule type="cellIs" dxfId="629" priority="41" stopIfTrue="1" operator="equal">
      <formula>"NÃO ATENDE LIMITE MÍNIMO DE IDADE"</formula>
    </cfRule>
    <cfRule type="cellIs" dxfId="628" priority="42" stopIfTrue="1" operator="equal">
      <formula>"REANALISAR FUNDAMENTAÇÃO E/OU MODALIDADE"</formula>
    </cfRule>
    <cfRule type="cellIs" dxfId="627" priority="43" stopIfTrue="1" operator="equal">
      <formula>"MARQUE O SEXO E/OU OBSERVE TEMPO DE CONTRIBUIÇÃO"</formula>
    </cfRule>
  </conditionalFormatting>
  <conditionalFormatting sqref="C7">
    <cfRule type="cellIs" dxfId="626" priority="44" stopIfTrue="1" operator="equal">
      <formula>"REGRA INVOLUNTÁRIA"</formula>
    </cfRule>
  </conditionalFormatting>
  <conditionalFormatting sqref="K43">
    <cfRule type="cellIs" dxfId="625" priority="45" stopIfTrue="1" operator="equal">
      <formula>"REVER"</formula>
    </cfRule>
    <cfRule type="cellIs" dxfId="624" priority="46" stopIfTrue="1" operator="greaterThan">
      <formula>$E$23</formula>
    </cfRule>
    <cfRule type="cellIs" dxfId="623" priority="47" stopIfTrue="1" operator="lessThanOrEqual">
      <formula>$E$23</formula>
    </cfRule>
  </conditionalFormatting>
  <conditionalFormatting sqref="I22:L23">
    <cfRule type="cellIs" dxfId="622" priority="48" stopIfTrue="1" operator="equal">
      <formula>"O SERVIDOR JÁ ATINGIU A COMPULSÓRIA, DEVENDO SER APOSENTADO EM"</formula>
    </cfRule>
  </conditionalFormatting>
  <conditionalFormatting sqref="E4:N4">
    <cfRule type="cellIs" dxfId="621" priority="51" stopIfTrue="1" operator="equal">
      <formula>"PREENCHA COM A MODALIDADE"</formula>
    </cfRule>
  </conditionalFormatting>
  <conditionalFormatting sqref="E6:N6">
    <cfRule type="cellIs" dxfId="620" priority="52" stopIfTrue="1" operator="equal">
      <formula>"PREENCHA A REGRA DESEJADA"</formula>
    </cfRule>
  </conditionalFormatting>
  <conditionalFormatting sqref="M23:N23">
    <cfRule type="cellIs" dxfId="619" priority="103" stopIfTrue="1" operator="notEqual">
      <formula>0</formula>
    </cfRule>
    <cfRule type="cellIs" dxfId="618" priority="104" stopIfTrue="1" operator="equal">
      <formula>0</formula>
    </cfRule>
  </conditionalFormatting>
  <dataValidations count="5">
    <dataValidation type="list" allowBlank="1" showInputMessage="1" showErrorMessage="1" sqref="F15 E11" xr:uid="{00000000-0002-0000-0000-000000000000}">
      <formula1>$K$47:$K$50</formula1>
    </dataValidation>
    <dataValidation type="list" allowBlank="1" showInputMessage="1" showErrorMessage="1" sqref="F14" xr:uid="{00000000-0002-0000-0000-000001000000}">
      <formula1>$C$47:$C$144</formula1>
    </dataValidation>
    <dataValidation type="list" allowBlank="1" showInputMessage="1" showErrorMessage="1" sqref="E10:N10" xr:uid="{00000000-0002-0000-0000-000002000000}">
      <formula1>$C$47:$C$145</formula1>
    </dataValidation>
    <dataValidation type="list" allowBlank="1" showInputMessage="1" showErrorMessage="1" sqref="E6" xr:uid="{00000000-0002-0000-0000-000003000000}">
      <formula1>$M$47:$M$53</formula1>
    </dataValidation>
    <dataValidation type="list" allowBlank="1" showInputMessage="1" showErrorMessage="1" sqref="E4:N4" xr:uid="{00000000-0002-0000-0000-000004000000}">
      <formula1>$F$47:$F$56</formula1>
    </dataValidation>
  </dataValidations>
  <printOptions horizontalCentered="1" gridLinesSet="0"/>
  <pageMargins left="0.19685039370078741" right="0" top="0.98425196850393704" bottom="0.19685039370078741" header="0.19685039370078741" footer="3.937007874015748E-2"/>
  <pageSetup paperSize="9" scale="75" orientation="portrait" r:id="rId1"/>
  <headerFooter alignWithMargins="0"/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743" r:id="rId4" name=" 143">
              <controlPr defaultSize="0" print="0" uiObject="1" autoLine="0" autoPict="0">
                <anchor moveWithCells="1" sizeWithCells="1">
                  <from>
                    <xdr:col>4</xdr:col>
                    <xdr:colOff>0</xdr:colOff>
                    <xdr:row>3</xdr:row>
                    <xdr:rowOff>0</xdr:rowOff>
                  </from>
                  <to>
                    <xdr:col>15</xdr:col>
                    <xdr:colOff>47625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358"/>
  <sheetViews>
    <sheetView showGridLines="0" zoomScaleNormal="75" workbookViewId="0" xr3:uid="{958C4451-9541-5A59-BF78-D2F731DF1C81}">
      <selection activeCell="H27" sqref="H27"/>
    </sheetView>
  </sheetViews>
  <sheetFormatPr defaultColWidth="0" defaultRowHeight="14.25" zeroHeight="1" x14ac:dyDescent="0.2"/>
  <cols>
    <col min="1" max="1" width="2.6953125" style="456" customWidth="1"/>
    <col min="2" max="2" width="4.04296875" style="485" bestFit="1" customWidth="1"/>
    <col min="3" max="3" width="22.11328125" style="456" customWidth="1"/>
    <col min="4" max="4" width="10.11328125" style="414" customWidth="1"/>
    <col min="5" max="5" width="2.6953125" style="414" customWidth="1"/>
    <col min="6" max="6" width="2.6953125" style="456" customWidth="1"/>
    <col min="7" max="7" width="10.11328125" style="456" bestFit="1" customWidth="1"/>
    <col min="8" max="8" width="11.32421875" style="456" bestFit="1" customWidth="1"/>
    <col min="9" max="9" width="12" style="456" customWidth="1"/>
    <col min="10" max="10" width="8.8984375" style="456" customWidth="1"/>
    <col min="11" max="11" width="15.640625" style="456" customWidth="1"/>
    <col min="12" max="12" width="10.78515625" style="456" bestFit="1" customWidth="1"/>
    <col min="13" max="13" width="7.953125" style="456" customWidth="1"/>
    <col min="14" max="14" width="8.76171875" style="456" customWidth="1"/>
    <col min="15" max="15" width="2.6953125" style="456" customWidth="1"/>
    <col min="16" max="16" width="2.6953125" style="513" customWidth="1"/>
    <col min="17" max="18" width="8.359375" style="456" hidden="1" customWidth="1"/>
    <col min="19" max="23" width="9.70703125" style="456" hidden="1" customWidth="1"/>
    <col min="24" max="24" width="5.66015625" style="456" hidden="1" customWidth="1"/>
    <col min="25" max="25" width="5.796875" style="456" hidden="1" customWidth="1"/>
    <col min="26" max="26" width="5.66015625" style="456" hidden="1" customWidth="1"/>
    <col min="27" max="28" width="5.52734375" style="456" hidden="1" customWidth="1"/>
    <col min="29" max="30" width="5.66015625" style="456" hidden="1" customWidth="1"/>
    <col min="31" max="31" width="5.52734375" style="457" hidden="1" customWidth="1"/>
    <col min="32" max="33" width="5.93359375" style="457" hidden="1" customWidth="1"/>
    <col min="34" max="34" width="5.93359375" style="456" hidden="1" customWidth="1"/>
    <col min="35" max="36" width="5.796875" style="456" hidden="1" customWidth="1"/>
    <col min="37" max="37" width="5.93359375" style="456" hidden="1" customWidth="1"/>
    <col min="38" max="38" width="5.66015625" style="456" hidden="1" customWidth="1"/>
    <col min="39" max="39" width="5.93359375" style="456" hidden="1" customWidth="1"/>
    <col min="40" max="42" width="5.796875" style="456" hidden="1" customWidth="1"/>
    <col min="43" max="43" width="5.93359375" style="456" hidden="1" customWidth="1"/>
    <col min="44" max="44" width="5.796875" style="456" hidden="1" customWidth="1"/>
    <col min="45" max="45" width="5.93359375" style="456" hidden="1" customWidth="1"/>
    <col min="46" max="46" width="5.796875" style="456" hidden="1" customWidth="1"/>
    <col min="47" max="50" width="5.93359375" style="456" hidden="1" customWidth="1"/>
    <col min="51" max="54" width="5.66015625" style="456" hidden="1" customWidth="1"/>
    <col min="55" max="55" width="44.09375" style="456" hidden="1" customWidth="1"/>
    <col min="56" max="56" width="2.6953125" style="456" hidden="1" customWidth="1"/>
    <col min="57" max="66" width="0" style="456" hidden="1" customWidth="1"/>
    <col min="67" max="67" width="39.375" style="456" hidden="1" customWidth="1"/>
    <col min="68" max="68" width="69.3125" style="456" hidden="1" customWidth="1"/>
    <col min="69" max="69" width="55.2890625" style="456" hidden="1" customWidth="1"/>
    <col min="70" max="70" width="69.71875" style="456" hidden="1" customWidth="1"/>
    <col min="71" max="71" width="60.546875" style="456" hidden="1" customWidth="1"/>
    <col min="72" max="72" width="55.2890625" style="456" hidden="1" customWidth="1"/>
    <col min="73" max="73" width="66.34765625" style="456" hidden="1" customWidth="1"/>
    <col min="74" max="74" width="55.2890625" style="456" hidden="1" customWidth="1"/>
    <col min="75" max="16384" width="0" style="456" hidden="1"/>
  </cols>
  <sheetData>
    <row r="1" spans="2:54" ht="13.5" x14ac:dyDescent="0.15"/>
    <row r="2" spans="2:54" ht="13.5" x14ac:dyDescent="0.15">
      <c r="B2" s="1392"/>
      <c r="C2" s="1393"/>
      <c r="D2" s="1393"/>
      <c r="E2" s="1393"/>
      <c r="F2" s="1393"/>
      <c r="G2" s="1393"/>
      <c r="H2" s="1393"/>
      <c r="I2" s="1393"/>
      <c r="J2" s="1393"/>
      <c r="K2" s="1413"/>
      <c r="L2" s="1591" t="str">
        <f>'FICHA FUNCIONAL'!K1</f>
        <v>FAAP - MÓDULO 1 - R3.1</v>
      </c>
      <c r="M2" s="1591"/>
      <c r="N2" s="1591"/>
      <c r="O2" s="1393"/>
      <c r="BB2" s="477"/>
    </row>
    <row r="3" spans="2:54" ht="18" x14ac:dyDescent="0.2">
      <c r="B3" s="1392"/>
      <c r="C3" s="1633" t="s">
        <v>112</v>
      </c>
      <c r="D3" s="1633"/>
      <c r="E3" s="1633"/>
      <c r="F3" s="1633"/>
      <c r="G3" s="1633"/>
      <c r="H3" s="1633"/>
      <c r="I3" s="1633"/>
      <c r="J3" s="1633"/>
      <c r="K3" s="1633"/>
      <c r="L3" s="1633"/>
      <c r="M3" s="1633"/>
      <c r="N3" s="1633"/>
      <c r="O3" s="1418"/>
      <c r="P3" s="518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6"/>
      <c r="AB3" s="516"/>
      <c r="AC3" s="516"/>
      <c r="AD3" s="516"/>
      <c r="AE3" s="516"/>
      <c r="AF3" s="516"/>
      <c r="AG3" s="516"/>
      <c r="AH3" s="516"/>
      <c r="AI3" s="516"/>
      <c r="AJ3" s="516"/>
      <c r="AK3" s="516"/>
      <c r="AL3" s="516"/>
      <c r="AM3" s="516"/>
      <c r="AN3" s="516"/>
      <c r="AO3" s="516"/>
      <c r="AP3" s="516"/>
      <c r="AQ3" s="516"/>
      <c r="AR3" s="516"/>
      <c r="AS3" s="516"/>
      <c r="AT3" s="516"/>
      <c r="AU3" s="516"/>
      <c r="AV3" s="516"/>
      <c r="AW3" s="516"/>
      <c r="AX3" s="516"/>
      <c r="AY3" s="516"/>
      <c r="AZ3" s="516"/>
      <c r="BB3" s="477"/>
    </row>
    <row r="4" spans="2:54" ht="6" customHeight="1" x14ac:dyDescent="0.15">
      <c r="B4" s="1392"/>
      <c r="C4" s="1393"/>
      <c r="D4" s="1393"/>
      <c r="E4" s="1393"/>
      <c r="F4" s="1393"/>
      <c r="G4" s="1393"/>
      <c r="H4" s="1393"/>
      <c r="I4" s="1393"/>
      <c r="J4" s="1393"/>
      <c r="K4" s="1393"/>
      <c r="L4" s="1393"/>
      <c r="M4" s="1393"/>
      <c r="N4" s="1393"/>
      <c r="O4" s="1393"/>
      <c r="P4" s="515"/>
      <c r="AD4" s="473"/>
      <c r="AE4" s="474"/>
      <c r="AF4" s="474"/>
      <c r="AG4" s="474"/>
      <c r="AH4" s="473"/>
      <c r="AI4" s="473"/>
      <c r="AJ4" s="473"/>
      <c r="AK4" s="473"/>
      <c r="AL4" s="473"/>
      <c r="AM4" s="473"/>
      <c r="AN4" s="473"/>
      <c r="BB4" s="477"/>
    </row>
    <row r="5" spans="2:54" ht="18" x14ac:dyDescent="0.2">
      <c r="B5" s="1392">
        <v>1</v>
      </c>
      <c r="C5" s="1555" t="s">
        <v>113</v>
      </c>
      <c r="D5" s="1555"/>
      <c r="E5" s="1555"/>
      <c r="F5" s="1555"/>
      <c r="G5" s="1555"/>
      <c r="H5" s="1555"/>
      <c r="I5" s="1555"/>
      <c r="J5" s="1555"/>
      <c r="K5" s="1555"/>
      <c r="L5" s="1555"/>
      <c r="M5" s="1555"/>
      <c r="N5" s="1555"/>
      <c r="O5" s="1393"/>
      <c r="P5" s="515"/>
      <c r="Q5" s="521"/>
      <c r="AD5" s="473"/>
      <c r="AE5" s="474"/>
      <c r="AF5" s="474"/>
      <c r="AG5" s="474"/>
      <c r="AH5" s="473"/>
      <c r="AI5" s="473"/>
      <c r="AJ5" s="473"/>
      <c r="AK5" s="473"/>
      <c r="AL5" s="473"/>
      <c r="AM5" s="473"/>
      <c r="AN5" s="473"/>
      <c r="AY5" s="473"/>
      <c r="AZ5" s="473"/>
      <c r="BA5" s="473"/>
      <c r="BB5" s="522"/>
    </row>
    <row r="6" spans="2:54" ht="6" customHeight="1" x14ac:dyDescent="0.15">
      <c r="B6" s="1392"/>
      <c r="C6" s="1393"/>
      <c r="D6" s="1393"/>
      <c r="E6" s="1393"/>
      <c r="F6" s="1393"/>
      <c r="G6" s="1393"/>
      <c r="H6" s="1393"/>
      <c r="I6" s="1393"/>
      <c r="J6" s="1393"/>
      <c r="K6" s="1393"/>
      <c r="L6" s="1393"/>
      <c r="M6" s="1393"/>
      <c r="N6" s="1393"/>
      <c r="O6" s="1393"/>
      <c r="P6" s="518"/>
      <c r="Q6" s="523"/>
      <c r="AD6" s="473"/>
      <c r="AE6" s="474"/>
      <c r="AF6" s="474"/>
      <c r="AG6" s="474"/>
      <c r="AH6" s="474"/>
      <c r="AI6" s="474"/>
      <c r="AJ6" s="474"/>
      <c r="AK6" s="474"/>
      <c r="AL6" s="474"/>
      <c r="AM6" s="474"/>
      <c r="AN6" s="474"/>
      <c r="AO6" s="474"/>
      <c r="AP6" s="474"/>
      <c r="AQ6" s="474"/>
      <c r="AR6" s="474"/>
      <c r="AS6" s="474"/>
      <c r="AT6" s="474"/>
      <c r="AU6" s="474"/>
      <c r="AV6" s="474"/>
      <c r="AW6" s="474"/>
      <c r="AX6" s="474"/>
      <c r="AY6" s="474"/>
      <c r="AZ6" s="474"/>
      <c r="BB6" s="477"/>
    </row>
    <row r="7" spans="2:54" ht="13.5" x14ac:dyDescent="0.15">
      <c r="B7" s="1607">
        <v>2</v>
      </c>
      <c r="C7" s="1614" t="s">
        <v>331</v>
      </c>
      <c r="D7" s="1568" t="s">
        <v>332</v>
      </c>
      <c r="E7" s="1568"/>
      <c r="F7" s="1568"/>
      <c r="G7" s="1568"/>
      <c r="H7" s="797" t="s">
        <v>114</v>
      </c>
      <c r="I7" s="1414" t="str">
        <f>IF('FICHA FUNCIONAL'!E16&gt;0,"NOME:","")</f>
        <v/>
      </c>
      <c r="J7" s="1415" t="str">
        <f>IF('FICHA FUNCIONAL'!$E$16&gt;0,'FICHA FUNCIONAL'!$E$16,"")</f>
        <v/>
      </c>
      <c r="K7" s="1416"/>
      <c r="L7" s="1417"/>
      <c r="M7" s="1418"/>
      <c r="N7" s="1422" t="s">
        <v>296</v>
      </c>
      <c r="O7" s="1418"/>
      <c r="P7" s="515"/>
      <c r="Q7" s="521"/>
      <c r="R7" s="524"/>
      <c r="S7" s="524"/>
      <c r="T7" s="524"/>
      <c r="U7" s="524"/>
      <c r="V7" s="524"/>
      <c r="W7" s="524"/>
      <c r="X7" s="524"/>
      <c r="Y7" s="524"/>
      <c r="Z7" s="524"/>
      <c r="AA7" s="524"/>
      <c r="AB7" s="524"/>
      <c r="AC7" s="524"/>
      <c r="AD7" s="524"/>
      <c r="AE7" s="524"/>
      <c r="AF7" s="524"/>
      <c r="AG7" s="524"/>
      <c r="AH7" s="524"/>
      <c r="AI7" s="524"/>
      <c r="AJ7" s="524"/>
      <c r="AK7" s="524"/>
      <c r="AL7" s="524"/>
      <c r="AM7" s="524"/>
      <c r="AN7" s="524"/>
      <c r="AO7" s="524"/>
      <c r="AP7" s="524"/>
      <c r="AQ7" s="524"/>
      <c r="AR7" s="524"/>
      <c r="AS7" s="524"/>
      <c r="AT7" s="524"/>
      <c r="AU7" s="524"/>
      <c r="AV7" s="524"/>
      <c r="AW7" s="524"/>
      <c r="AX7" s="524"/>
      <c r="AY7" s="524"/>
      <c r="AZ7" s="524"/>
      <c r="BB7" s="477"/>
    </row>
    <row r="8" spans="2:54" ht="13.5" x14ac:dyDescent="0.15">
      <c r="B8" s="1607"/>
      <c r="C8" s="1614"/>
      <c r="D8" s="792" t="s">
        <v>115</v>
      </c>
      <c r="E8" s="1546"/>
      <c r="F8" s="1548"/>
      <c r="G8" s="792" t="s">
        <v>116</v>
      </c>
      <c r="H8" s="798" t="s">
        <v>333</v>
      </c>
      <c r="I8" s="1414" t="str">
        <f>IF('FICHA FUNCIONAL'!E17&gt;0,"MATRÍCULA:","")</f>
        <v/>
      </c>
      <c r="J8" s="1417" t="str">
        <f>IF('FICHA FUNCIONAL'!$E$17&gt;0,'FICHA FUNCIONAL'!$E$17,"")</f>
        <v/>
      </c>
      <c r="K8" s="1417"/>
      <c r="L8" s="1418"/>
      <c r="M8" s="1418"/>
      <c r="N8" s="1422" t="s">
        <v>613</v>
      </c>
      <c r="O8" s="1418"/>
      <c r="P8" s="515"/>
      <c r="Q8" s="521"/>
      <c r="R8" s="524"/>
      <c r="S8" s="524"/>
      <c r="T8" s="524"/>
      <c r="U8" s="524"/>
      <c r="V8" s="524"/>
      <c r="W8" s="524"/>
      <c r="X8" s="524"/>
      <c r="Y8" s="524"/>
      <c r="Z8" s="524"/>
      <c r="AA8" s="524"/>
      <c r="AB8" s="524"/>
      <c r="AC8" s="524"/>
      <c r="AD8" s="524"/>
      <c r="AE8" s="524"/>
      <c r="AF8" s="524"/>
      <c r="AG8" s="524"/>
      <c r="AH8" s="524"/>
      <c r="AI8" s="524"/>
      <c r="AJ8" s="524"/>
      <c r="AK8" s="524"/>
      <c r="AL8" s="524"/>
      <c r="AM8" s="524"/>
      <c r="AN8" s="524"/>
      <c r="AO8" s="524"/>
      <c r="AP8" s="524"/>
      <c r="AQ8" s="524"/>
      <c r="AR8" s="524"/>
      <c r="AS8" s="524"/>
      <c r="AT8" s="524"/>
      <c r="AU8" s="524"/>
      <c r="AV8" s="524"/>
      <c r="AW8" s="524"/>
      <c r="AX8" s="524"/>
      <c r="AY8" s="524"/>
      <c r="AZ8" s="524"/>
      <c r="BB8" s="477"/>
    </row>
    <row r="9" spans="2:54" ht="13.5" x14ac:dyDescent="0.15">
      <c r="B9" s="1392">
        <v>3</v>
      </c>
      <c r="C9" s="799" t="s">
        <v>335</v>
      </c>
      <c r="D9" s="806"/>
      <c r="E9" s="1546" t="s">
        <v>336</v>
      </c>
      <c r="F9" s="1548"/>
      <c r="G9" s="806"/>
      <c r="H9" s="807"/>
      <c r="I9" s="1419" t="str">
        <f>IF(H9&gt;0,"COMUNICAR AO INSS TEMPO AVERBADO.","")</f>
        <v/>
      </c>
      <c r="J9" s="1418"/>
      <c r="K9" s="1418"/>
      <c r="L9" s="1418"/>
      <c r="M9" s="1418"/>
      <c r="N9" s="1418"/>
      <c r="O9" s="1418"/>
      <c r="P9" s="515"/>
      <c r="Q9" s="521"/>
      <c r="AE9" s="456"/>
      <c r="AF9" s="456"/>
      <c r="AG9" s="456"/>
      <c r="BB9" s="477"/>
    </row>
    <row r="10" spans="2:54" ht="13.5" x14ac:dyDescent="0.15">
      <c r="B10" s="1607">
        <v>4</v>
      </c>
      <c r="C10" s="1051" t="s">
        <v>20</v>
      </c>
      <c r="D10" s="806"/>
      <c r="E10" s="1546" t="s">
        <v>336</v>
      </c>
      <c r="F10" s="1548"/>
      <c r="G10" s="806"/>
      <c r="H10" s="807"/>
      <c r="I10" s="1419" t="str">
        <f>IF(H10&gt;0,"COMUNICAR AO RPPS DO ENTE TEMPO AVERBADO.","")</f>
        <v/>
      </c>
      <c r="J10" s="1418"/>
      <c r="K10" s="1418"/>
      <c r="L10" s="1418"/>
      <c r="M10" s="1418"/>
      <c r="N10" s="1418"/>
      <c r="O10" s="1418"/>
      <c r="P10" s="515"/>
      <c r="Q10" s="521"/>
      <c r="R10" s="525"/>
      <c r="S10" s="524"/>
      <c r="T10" s="525"/>
      <c r="U10" s="524"/>
      <c r="V10" s="525"/>
      <c r="W10" s="524"/>
      <c r="X10" s="525"/>
      <c r="Y10" s="524"/>
      <c r="Z10" s="525"/>
      <c r="AA10" s="524"/>
      <c r="AB10" s="525"/>
      <c r="AC10" s="524"/>
      <c r="AD10" s="525"/>
      <c r="AE10" s="524"/>
      <c r="AF10" s="525"/>
      <c r="AG10" s="524"/>
      <c r="AH10" s="525"/>
      <c r="AI10" s="524"/>
      <c r="AJ10" s="525"/>
      <c r="AK10" s="524"/>
      <c r="AL10" s="525"/>
      <c r="AM10" s="524"/>
      <c r="AN10" s="525"/>
      <c r="AO10" s="524"/>
      <c r="AP10" s="525"/>
      <c r="AQ10" s="524"/>
      <c r="AR10" s="525"/>
      <c r="AS10" s="524"/>
      <c r="AT10" s="525"/>
      <c r="AU10" s="524"/>
      <c r="BB10" s="477"/>
    </row>
    <row r="11" spans="2:54" ht="13.5" x14ac:dyDescent="0.15">
      <c r="B11" s="1607"/>
      <c r="C11" s="799" t="s">
        <v>338</v>
      </c>
      <c r="D11" s="806"/>
      <c r="E11" s="1546" t="s">
        <v>336</v>
      </c>
      <c r="F11" s="1548"/>
      <c r="G11" s="806"/>
      <c r="H11" s="808">
        <f>CRÍTICA_IGP1!F28</f>
        <v>0</v>
      </c>
      <c r="I11" s="1419" t="str">
        <f>IF(H11&gt;0,"COMUNICAR AO RPPS DO ENTE TEMPO AVERBADO.","")</f>
        <v/>
      </c>
      <c r="J11" s="1418"/>
      <c r="K11" s="1418"/>
      <c r="L11" s="1418"/>
      <c r="M11" s="1418"/>
      <c r="N11" s="1418"/>
      <c r="O11" s="1418"/>
      <c r="P11" s="515"/>
      <c r="AE11" s="456"/>
      <c r="AF11" s="456"/>
      <c r="AG11" s="456"/>
      <c r="AY11" s="474"/>
      <c r="BB11" s="477"/>
    </row>
    <row r="12" spans="2:54" ht="13.5" x14ac:dyDescent="0.15">
      <c r="B12" s="1392">
        <v>5</v>
      </c>
      <c r="C12" s="799" t="s">
        <v>691</v>
      </c>
      <c r="D12" s="806"/>
      <c r="E12" s="1546" t="s">
        <v>336</v>
      </c>
      <c r="F12" s="1548"/>
      <c r="G12" s="806"/>
      <c r="H12" s="807"/>
      <c r="I12" s="1420" t="str">
        <f>IF(H12&gt;0,"COMPROVAR CERTIDÃO E/OU CERTIFICADO DE RESERVISTA.","")</f>
        <v/>
      </c>
      <c r="J12" s="1420"/>
      <c r="K12" s="1418"/>
      <c r="L12" s="1418"/>
      <c r="M12" s="1418"/>
      <c r="N12" s="1418"/>
      <c r="O12" s="1418"/>
      <c r="P12" s="515"/>
      <c r="Q12" s="521"/>
      <c r="AD12" s="473"/>
      <c r="AE12" s="474"/>
      <c r="AF12" s="474"/>
      <c r="AG12" s="474"/>
      <c r="AV12" s="524"/>
      <c r="AW12" s="524"/>
      <c r="AX12" s="524"/>
      <c r="AY12" s="524"/>
      <c r="BB12" s="477"/>
    </row>
    <row r="13" spans="2:54" ht="13.5" x14ac:dyDescent="0.15">
      <c r="B13" s="1607">
        <v>6</v>
      </c>
      <c r="C13" s="799" t="s">
        <v>117</v>
      </c>
      <c r="D13" s="806"/>
      <c r="E13" s="1546" t="s">
        <v>336</v>
      </c>
      <c r="F13" s="1548"/>
      <c r="G13" s="806"/>
      <c r="H13" s="807"/>
      <c r="I13" s="1420"/>
      <c r="J13" s="1420"/>
      <c r="K13" s="1418"/>
      <c r="L13" s="1418"/>
      <c r="M13" s="1418"/>
      <c r="N13" s="1418"/>
      <c r="O13" s="1418"/>
      <c r="P13" s="518"/>
      <c r="Q13" s="521"/>
      <c r="R13" s="524"/>
      <c r="S13" s="524"/>
      <c r="T13" s="524"/>
      <c r="U13" s="524"/>
      <c r="V13" s="524"/>
      <c r="W13" s="524"/>
      <c r="X13" s="524"/>
      <c r="Y13" s="524"/>
      <c r="Z13" s="524"/>
      <c r="AA13" s="524"/>
      <c r="AB13" s="524"/>
      <c r="AC13" s="524"/>
      <c r="AD13" s="524"/>
      <c r="AE13" s="524"/>
      <c r="AF13" s="524"/>
      <c r="AG13" s="524"/>
      <c r="AH13" s="473"/>
      <c r="BB13" s="477"/>
    </row>
    <row r="14" spans="2:54" ht="13.5" x14ac:dyDescent="0.15">
      <c r="B14" s="1607"/>
      <c r="C14" s="799" t="s">
        <v>117</v>
      </c>
      <c r="D14" s="806"/>
      <c r="E14" s="1546" t="s">
        <v>336</v>
      </c>
      <c r="F14" s="1548"/>
      <c r="G14" s="1030"/>
      <c r="H14" s="808">
        <f>CRÍTICA_IGP1!F31</f>
        <v>0</v>
      </c>
      <c r="I14" s="1568" t="s">
        <v>118</v>
      </c>
      <c r="J14" s="1568"/>
      <c r="K14" s="1568"/>
      <c r="L14" s="1568"/>
      <c r="M14" s="1568"/>
      <c r="N14" s="1568"/>
      <c r="O14" s="1418"/>
      <c r="P14" s="515"/>
      <c r="AE14" s="456"/>
      <c r="AF14" s="456"/>
      <c r="AG14" s="456"/>
      <c r="AH14" s="473"/>
      <c r="BB14" s="477"/>
    </row>
    <row r="15" spans="2:54" ht="13.5" x14ac:dyDescent="0.15">
      <c r="B15" s="1607"/>
      <c r="C15" s="799" t="s">
        <v>117</v>
      </c>
      <c r="D15" s="1043">
        <f>IF('FICHA FUNCIONAL'!E20&lt;CRÍTICA_IGP1!Q11,'FICHA FUNCIONAL'!E20,0)</f>
        <v>0</v>
      </c>
      <c r="E15" s="1546" t="s">
        <v>336</v>
      </c>
      <c r="F15" s="1548"/>
      <c r="G15" s="1047">
        <f>IF(AND(CRÍTICA_IGP1!R22&lt;CRÍTICA_IGP1!Q11,CRÍTICA_IGP1!R22&lt;'FICHA FUNCIONAL'!E23),CRÍTICA_IGP1!R22-1,IF(D15=0,0,IF('FICHA FUNCIONAL'!E23&lt;CRÍTICA_IGP1!Q11,'FICHA FUNCIONAL'!E23-1,CRÍTICA_IGP1!Q11-1)))</f>
        <v>0</v>
      </c>
      <c r="H15" s="1029">
        <f>IF(AND(D15&lt;&gt;0,G15&lt;&gt;0),(G15-D15+1),0)</f>
        <v>0</v>
      </c>
      <c r="I15" s="1602" t="s">
        <v>140</v>
      </c>
      <c r="J15" s="1602"/>
      <c r="K15" s="1602"/>
      <c r="L15" s="1602"/>
      <c r="M15" s="1602"/>
      <c r="N15" s="1602"/>
      <c r="O15" s="1418"/>
      <c r="P15" s="515"/>
      <c r="Q15" s="521"/>
      <c r="AE15" s="456"/>
      <c r="AF15" s="456"/>
      <c r="AG15" s="456"/>
      <c r="BB15" s="477"/>
    </row>
    <row r="16" spans="2:54" x14ac:dyDescent="0.15">
      <c r="B16" s="1392">
        <v>7</v>
      </c>
      <c r="C16" s="799" t="s">
        <v>340</v>
      </c>
      <c r="D16" s="1568" t="s">
        <v>718</v>
      </c>
      <c r="E16" s="1568"/>
      <c r="F16" s="1568"/>
      <c r="G16" s="1031"/>
      <c r="H16" s="809">
        <f>CRÍTICA_IGP1!F33</f>
        <v>0</v>
      </c>
      <c r="I16" s="1602" t="str">
        <f>CRÍTICA_IGP1!G33</f>
        <v>Licença especial não gozada e computada em dobro.</v>
      </c>
      <c r="J16" s="1602"/>
      <c r="K16" s="1602"/>
      <c r="L16" s="1602"/>
      <c r="M16" s="1602"/>
      <c r="N16" s="1602"/>
      <c r="O16" s="1393"/>
      <c r="P16" s="515"/>
      <c r="Q16" s="521"/>
      <c r="R16" s="524"/>
      <c r="S16" s="524"/>
      <c r="T16" s="524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524"/>
      <c r="AJ16" s="524"/>
      <c r="AK16" s="524"/>
      <c r="AL16" s="524"/>
      <c r="AM16" s="524"/>
      <c r="AN16" s="524"/>
      <c r="AO16" s="524"/>
      <c r="AP16" s="524"/>
      <c r="AQ16" s="524"/>
      <c r="AR16" s="524"/>
      <c r="AS16" s="524"/>
      <c r="AT16" s="524"/>
      <c r="AU16" s="524"/>
      <c r="AV16" s="524"/>
      <c r="AW16" s="524"/>
      <c r="AX16" s="524"/>
      <c r="AY16" s="524"/>
      <c r="AZ16" s="524"/>
      <c r="BB16" s="477"/>
    </row>
    <row r="17" spans="2:54" x14ac:dyDescent="0.15">
      <c r="B17" s="1392">
        <v>8</v>
      </c>
      <c r="C17" s="799" t="s">
        <v>341</v>
      </c>
      <c r="D17" s="1634" t="s">
        <v>119</v>
      </c>
      <c r="E17" s="1634"/>
      <c r="F17" s="1634"/>
      <c r="G17" s="1032"/>
      <c r="H17" s="809">
        <f>CRÍTICA_IGP1!F34</f>
        <v>0</v>
      </c>
      <c r="I17" s="1602" t="str">
        <f>CRÍTICA_IGP1!G34</f>
        <v>Férias não gozadas e computadas em dobro.</v>
      </c>
      <c r="J17" s="1602"/>
      <c r="K17" s="1602"/>
      <c r="L17" s="1602"/>
      <c r="M17" s="1602"/>
      <c r="N17" s="1602"/>
      <c r="O17" s="1393"/>
      <c r="P17" s="515"/>
      <c r="AE17" s="456"/>
      <c r="AF17" s="456"/>
      <c r="AG17" s="456"/>
      <c r="BB17" s="477"/>
    </row>
    <row r="18" spans="2:54" ht="13.5" x14ac:dyDescent="0.15">
      <c r="B18" s="1392">
        <v>9</v>
      </c>
      <c r="C18" s="1603" t="s">
        <v>120</v>
      </c>
      <c r="D18" s="1603"/>
      <c r="E18" s="1603"/>
      <c r="F18" s="1603"/>
      <c r="G18" s="1603"/>
      <c r="H18" s="810">
        <f>CRÍTICA_IGP1!F35</f>
        <v>0</v>
      </c>
      <c r="I18" s="1602" t="str">
        <f>CRÍTICA_IGP1!G35</f>
        <v>Acréscimo constitucional para professores (EC 20/98 e EC 41/03).</v>
      </c>
      <c r="J18" s="1602"/>
      <c r="K18" s="1602"/>
      <c r="L18" s="1602"/>
      <c r="M18" s="1602"/>
      <c r="N18" s="1602"/>
      <c r="O18" s="1393"/>
      <c r="P18" s="515"/>
      <c r="Q18" s="521"/>
      <c r="R18" s="516"/>
      <c r="AE18" s="456"/>
      <c r="AF18" s="456"/>
      <c r="AG18" s="456"/>
      <c r="BB18" s="477"/>
    </row>
    <row r="19" spans="2:54" ht="13.5" x14ac:dyDescent="0.15">
      <c r="B19" s="1392">
        <v>10</v>
      </c>
      <c r="C19" s="1603" t="s">
        <v>121</v>
      </c>
      <c r="D19" s="1603"/>
      <c r="E19" s="1603"/>
      <c r="F19" s="1603"/>
      <c r="G19" s="1603"/>
      <c r="H19" s="807"/>
      <c r="I19" s="1602" t="s">
        <v>141</v>
      </c>
      <c r="J19" s="1602"/>
      <c r="K19" s="1602"/>
      <c r="L19" s="1602"/>
      <c r="M19" s="1602"/>
      <c r="N19" s="1602"/>
      <c r="O19" s="1393"/>
      <c r="P19" s="515"/>
      <c r="Q19" s="523"/>
      <c r="AE19" s="456"/>
      <c r="AF19" s="456"/>
      <c r="AG19" s="456"/>
      <c r="AH19" s="524"/>
      <c r="BB19" s="477"/>
    </row>
    <row r="20" spans="2:54" ht="13.5" x14ac:dyDescent="0.15">
      <c r="B20" s="1392">
        <v>11</v>
      </c>
      <c r="C20" s="1603" t="s">
        <v>122</v>
      </c>
      <c r="D20" s="1603"/>
      <c r="E20" s="1603"/>
      <c r="F20" s="1603"/>
      <c r="G20" s="1603"/>
      <c r="H20" s="807"/>
      <c r="I20" s="1604" t="s">
        <v>142</v>
      </c>
      <c r="J20" s="1605"/>
      <c r="K20" s="1605"/>
      <c r="L20" s="1605"/>
      <c r="M20" s="1605"/>
      <c r="N20" s="1606"/>
      <c r="O20" s="1393"/>
      <c r="P20" s="515"/>
      <c r="Q20" s="521"/>
      <c r="R20" s="524"/>
      <c r="S20" s="524"/>
      <c r="T20" s="524"/>
      <c r="U20" s="524"/>
      <c r="V20" s="524"/>
      <c r="W20" s="524"/>
      <c r="X20" s="524"/>
      <c r="Y20" s="524"/>
      <c r="Z20" s="524"/>
      <c r="AA20" s="524"/>
      <c r="AB20" s="524"/>
      <c r="AC20" s="524"/>
      <c r="AD20" s="473"/>
      <c r="AE20" s="474"/>
      <c r="AF20" s="474"/>
      <c r="AG20" s="456"/>
      <c r="BB20" s="477"/>
    </row>
    <row r="21" spans="2:54" ht="6" customHeight="1" x14ac:dyDescent="0.15">
      <c r="B21" s="1421"/>
      <c r="C21" s="1423"/>
      <c r="D21" s="1387"/>
      <c r="E21" s="1387"/>
      <c r="F21" s="1387"/>
      <c r="G21" s="1423"/>
      <c r="H21" s="1387"/>
      <c r="I21" s="1387"/>
      <c r="J21" s="1387"/>
      <c r="K21" s="1387"/>
      <c r="L21" s="1387"/>
      <c r="M21" s="1387"/>
      <c r="N21" s="1387"/>
      <c r="O21" s="1387"/>
      <c r="P21" s="515"/>
      <c r="AE21" s="456"/>
      <c r="AF21" s="456"/>
      <c r="AG21" s="456"/>
      <c r="BB21" s="477"/>
    </row>
    <row r="22" spans="2:54" ht="13.5" x14ac:dyDescent="0.15">
      <c r="B22" s="1607">
        <v>12</v>
      </c>
      <c r="C22" s="1610" t="s">
        <v>123</v>
      </c>
      <c r="D22" s="1568" t="s">
        <v>332</v>
      </c>
      <c r="E22" s="1568"/>
      <c r="F22" s="1568"/>
      <c r="G22" s="1568"/>
      <c r="H22" s="797" t="s">
        <v>114</v>
      </c>
      <c r="I22" s="1424"/>
      <c r="J22" s="1568" t="s">
        <v>124</v>
      </c>
      <c r="K22" s="1568"/>
      <c r="L22" s="1568"/>
      <c r="M22" s="1568"/>
      <c r="N22" s="1568"/>
      <c r="O22" s="1393"/>
      <c r="P22" s="515"/>
      <c r="Q22" s="521"/>
      <c r="AE22" s="456"/>
      <c r="AF22" s="456"/>
      <c r="AG22" s="456"/>
      <c r="BB22" s="477"/>
    </row>
    <row r="23" spans="2:54" ht="13.5" x14ac:dyDescent="0.15">
      <c r="B23" s="1607"/>
      <c r="C23" s="1611"/>
      <c r="D23" s="792" t="s">
        <v>115</v>
      </c>
      <c r="E23" s="1546"/>
      <c r="F23" s="1548"/>
      <c r="G23" s="792" t="s">
        <v>116</v>
      </c>
      <c r="H23" s="798" t="s">
        <v>333</v>
      </c>
      <c r="I23" s="1424"/>
      <c r="J23" s="793">
        <f>CRÍTICA_IGP1!K37</f>
        <v>0</v>
      </c>
      <c r="K23" s="1612" t="s">
        <v>125</v>
      </c>
      <c r="L23" s="1613"/>
      <c r="M23" s="793">
        <f>CRÍTICA_IGP1!M37</f>
        <v>0</v>
      </c>
      <c r="N23" s="802" t="s">
        <v>126</v>
      </c>
      <c r="O23" s="1393"/>
      <c r="P23" s="528"/>
      <c r="Q23" s="521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BB23" s="477"/>
    </row>
    <row r="24" spans="2:54" ht="13.5" x14ac:dyDescent="0.15">
      <c r="B24" s="1607"/>
      <c r="C24" s="803" t="s">
        <v>127</v>
      </c>
      <c r="D24" s="1026">
        <f>CRÍTICA_IGP1!C37</f>
        <v>0</v>
      </c>
      <c r="E24" s="1546" t="s">
        <v>336</v>
      </c>
      <c r="F24" s="1548"/>
      <c r="G24" s="1026">
        <f>CRÍTICA_IGP1!E37</f>
        <v>0</v>
      </c>
      <c r="H24" s="808">
        <f>CRÍTICA_IGP1!F37</f>
        <v>0</v>
      </c>
      <c r="I24" s="1393"/>
      <c r="J24" s="1393"/>
      <c r="K24" s="1393"/>
      <c r="L24" s="1393"/>
      <c r="M24" s="1393"/>
      <c r="N24" s="1393"/>
      <c r="O24" s="1393"/>
      <c r="P24" s="528"/>
      <c r="AE24" s="456"/>
      <c r="AF24" s="456"/>
      <c r="AG24" s="456"/>
      <c r="BB24" s="477"/>
    </row>
    <row r="25" spans="2:54" ht="6" customHeight="1" thickBot="1" x14ac:dyDescent="0.2">
      <c r="B25" s="1392"/>
      <c r="C25" s="1393"/>
      <c r="D25" s="1393"/>
      <c r="E25" s="1393"/>
      <c r="F25" s="1393"/>
      <c r="G25" s="1393"/>
      <c r="H25" s="1393"/>
      <c r="I25" s="1393"/>
      <c r="J25" s="1393"/>
      <c r="K25" s="1393"/>
      <c r="L25" s="1393"/>
      <c r="M25" s="1393"/>
      <c r="N25" s="1393"/>
      <c r="O25" s="1393"/>
      <c r="P25" s="515"/>
      <c r="Q25" s="521"/>
      <c r="AD25" s="473"/>
      <c r="AE25" s="474"/>
      <c r="AF25" s="474"/>
      <c r="AG25" s="474"/>
      <c r="AH25" s="473"/>
      <c r="BB25" s="477"/>
    </row>
    <row r="26" spans="2:54" thickTop="1" x14ac:dyDescent="0.15">
      <c r="B26" s="1392">
        <v>13</v>
      </c>
      <c r="C26" s="1635" t="s">
        <v>128</v>
      </c>
      <c r="D26" s="1636"/>
      <c r="E26" s="1636"/>
      <c r="F26" s="1636"/>
      <c r="G26" s="1636"/>
      <c r="H26" s="1636"/>
      <c r="I26" s="1636"/>
      <c r="J26" s="1636"/>
      <c r="K26" s="1636"/>
      <c r="L26" s="1636"/>
      <c r="M26" s="1636"/>
      <c r="N26" s="1637"/>
      <c r="O26" s="1393"/>
      <c r="P26" s="515"/>
      <c r="Q26" s="521"/>
      <c r="R26" s="524"/>
      <c r="S26" s="524"/>
      <c r="T26" s="524"/>
      <c r="U26" s="524"/>
      <c r="V26" s="524"/>
      <c r="W26" s="524"/>
      <c r="X26" s="524"/>
      <c r="Y26" s="524"/>
      <c r="Z26" s="524"/>
      <c r="AA26" s="524"/>
      <c r="AB26" s="524"/>
      <c r="AC26" s="524"/>
      <c r="AD26" s="473"/>
      <c r="AE26" s="474"/>
      <c r="AF26" s="474"/>
      <c r="AG26" s="474"/>
      <c r="AH26" s="473"/>
      <c r="BB26" s="477"/>
    </row>
    <row r="27" spans="2:54" ht="6" customHeight="1" x14ac:dyDescent="0.15">
      <c r="B27" s="1392"/>
      <c r="C27" s="1428"/>
      <c r="D27" s="1389"/>
      <c r="E27" s="1389"/>
      <c r="F27" s="1389"/>
      <c r="G27" s="1389"/>
      <c r="H27" s="1389"/>
      <c r="I27" s="1389"/>
      <c r="J27" s="1389"/>
      <c r="K27" s="1389"/>
      <c r="L27" s="1389"/>
      <c r="M27" s="1389"/>
      <c r="N27" s="1429"/>
      <c r="O27" s="1393"/>
      <c r="P27" s="515"/>
      <c r="Q27" s="521"/>
      <c r="R27" s="524"/>
      <c r="S27" s="524"/>
      <c r="T27" s="524"/>
      <c r="U27" s="524"/>
      <c r="V27" s="524"/>
      <c r="W27" s="524"/>
      <c r="X27" s="524"/>
      <c r="Y27" s="524"/>
      <c r="Z27" s="524"/>
      <c r="AA27" s="524"/>
      <c r="AB27" s="524"/>
      <c r="AD27" s="473"/>
      <c r="AE27" s="474"/>
      <c r="AF27" s="474"/>
      <c r="AG27" s="474"/>
      <c r="AH27" s="473"/>
      <c r="BB27" s="477"/>
    </row>
    <row r="28" spans="2:54" ht="13.5" x14ac:dyDescent="0.15">
      <c r="B28" s="1392"/>
      <c r="C28" s="1631" t="str">
        <f>CRÍTICA_IGP1!H42</f>
        <v>NÃO HÁ PEDÁGIO A CUMPRIR</v>
      </c>
      <c r="D28" s="1632"/>
      <c r="E28" s="1430"/>
      <c r="F28" s="1568" t="s">
        <v>333</v>
      </c>
      <c r="G28" s="1568"/>
      <c r="H28" s="1419"/>
      <c r="I28" s="1425"/>
      <c r="J28" s="1568" t="s">
        <v>124</v>
      </c>
      <c r="K28" s="1568"/>
      <c r="L28" s="1568"/>
      <c r="M28" s="1568"/>
      <c r="N28" s="1598"/>
      <c r="O28" s="1393"/>
      <c r="P28" s="515"/>
      <c r="Q28" s="521"/>
      <c r="AE28" s="456"/>
      <c r="AF28" s="456"/>
      <c r="AG28" s="456"/>
      <c r="BB28" s="477"/>
    </row>
    <row r="29" spans="2:54" ht="13.5" x14ac:dyDescent="0.15">
      <c r="B29" s="1392">
        <v>14</v>
      </c>
      <c r="C29" s="1594" t="s">
        <v>129</v>
      </c>
      <c r="D29" s="1595"/>
      <c r="E29" s="1431"/>
      <c r="F29" s="1630">
        <f>CRÍTICA_IGP1!E42</f>
        <v>0</v>
      </c>
      <c r="G29" s="1630"/>
      <c r="H29" s="1419"/>
      <c r="I29" s="1425"/>
      <c r="J29" s="938">
        <f>IF(F29&gt;0,ROUNDDOWN(F29/365,0),0)</f>
        <v>0</v>
      </c>
      <c r="K29" s="1595" t="s">
        <v>125</v>
      </c>
      <c r="L29" s="1595"/>
      <c r="M29" s="938">
        <f>(F29/365-J29)*365</f>
        <v>0</v>
      </c>
      <c r="N29" s="983" t="s">
        <v>126</v>
      </c>
      <c r="O29" s="1393"/>
      <c r="P29" s="515"/>
      <c r="Q29" s="521"/>
      <c r="R29" s="524"/>
      <c r="S29" s="524"/>
      <c r="T29" s="524"/>
      <c r="U29" s="524"/>
      <c r="V29" s="524"/>
      <c r="W29" s="524"/>
      <c r="X29" s="524"/>
      <c r="Y29" s="524"/>
      <c r="Z29" s="524"/>
      <c r="AA29" s="524"/>
      <c r="AB29" s="524"/>
      <c r="AC29" s="524"/>
      <c r="AD29" s="524"/>
      <c r="AE29" s="524"/>
      <c r="AF29" s="524"/>
      <c r="AG29" s="524"/>
      <c r="AH29" s="524"/>
      <c r="AI29" s="524"/>
      <c r="AJ29" s="524"/>
      <c r="AK29" s="524"/>
      <c r="BB29" s="477"/>
    </row>
    <row r="30" spans="2:54" ht="15.75" customHeight="1" x14ac:dyDescent="0.15">
      <c r="B30" s="1392">
        <v>15</v>
      </c>
      <c r="C30" s="1594" t="s">
        <v>130</v>
      </c>
      <c r="D30" s="1595"/>
      <c r="E30" s="1431"/>
      <c r="F30" s="1630">
        <f>CRÍTICA_IGP1!E43</f>
        <v>0</v>
      </c>
      <c r="G30" s="1630"/>
      <c r="H30" s="1419"/>
      <c r="I30" s="1425"/>
      <c r="J30" s="938">
        <f>IF(F30&gt;0,ROUNDDOWN(F30/365,0),0)</f>
        <v>0</v>
      </c>
      <c r="K30" s="1595" t="s">
        <v>125</v>
      </c>
      <c r="L30" s="1595"/>
      <c r="M30" s="938">
        <f>(F30/365-J30)*365</f>
        <v>0</v>
      </c>
      <c r="N30" s="983" t="s">
        <v>126</v>
      </c>
      <c r="O30" s="1393"/>
      <c r="P30" s="515"/>
      <c r="Q30" s="521"/>
      <c r="R30" s="524"/>
      <c r="S30" s="524"/>
      <c r="T30" s="524"/>
      <c r="U30" s="524"/>
      <c r="V30" s="524"/>
      <c r="W30" s="524"/>
      <c r="X30" s="524"/>
      <c r="Y30" s="524"/>
      <c r="Z30" s="524"/>
      <c r="AA30" s="524"/>
      <c r="AB30" s="524"/>
      <c r="AD30" s="473"/>
      <c r="AE30" s="474"/>
      <c r="AF30" s="474"/>
      <c r="AG30" s="474"/>
      <c r="AH30" s="473"/>
      <c r="BB30" s="477"/>
    </row>
    <row r="31" spans="2:54" thickBot="1" x14ac:dyDescent="0.2">
      <c r="B31" s="1392">
        <v>16</v>
      </c>
      <c r="C31" s="1626" t="s">
        <v>131</v>
      </c>
      <c r="D31" s="1627"/>
      <c r="E31" s="1432"/>
      <c r="F31" s="1628">
        <f>CRÍTICA_IGP1!E44</f>
        <v>0</v>
      </c>
      <c r="G31" s="1628"/>
      <c r="H31" s="1426"/>
      <c r="I31" s="1427"/>
      <c r="J31" s="984">
        <f>IF(F31&gt;0,ROUNDDOWN(F31/365,0),0)</f>
        <v>0</v>
      </c>
      <c r="K31" s="1627" t="s">
        <v>125</v>
      </c>
      <c r="L31" s="1627"/>
      <c r="M31" s="984">
        <f>(F31/365-J31)*365</f>
        <v>0</v>
      </c>
      <c r="N31" s="985" t="s">
        <v>126</v>
      </c>
      <c r="O31" s="1393"/>
      <c r="P31" s="515"/>
      <c r="Q31" s="521"/>
      <c r="AE31" s="456"/>
      <c r="AF31" s="456"/>
      <c r="AG31" s="456"/>
      <c r="BB31" s="477"/>
    </row>
    <row r="32" spans="2:54" ht="6" customHeight="1" thickTop="1" x14ac:dyDescent="0.15">
      <c r="B32" s="1392"/>
      <c r="C32" s="1393"/>
      <c r="D32" s="1393"/>
      <c r="E32" s="1393"/>
      <c r="F32" s="1393"/>
      <c r="G32" s="1393"/>
      <c r="H32" s="1393"/>
      <c r="I32" s="1393"/>
      <c r="J32" s="1393"/>
      <c r="K32" s="1393"/>
      <c r="L32" s="1393"/>
      <c r="M32" s="1393"/>
      <c r="N32" s="1393"/>
      <c r="O32" s="1393"/>
      <c r="P32" s="515"/>
      <c r="Q32" s="521"/>
      <c r="R32" s="524"/>
      <c r="S32" s="524"/>
      <c r="T32" s="524"/>
      <c r="U32" s="524"/>
      <c r="V32" s="524"/>
      <c r="W32" s="524"/>
      <c r="X32" s="524"/>
      <c r="Y32" s="524"/>
      <c r="Z32" s="524"/>
      <c r="AA32" s="524"/>
      <c r="AB32" s="524"/>
      <c r="AC32" s="524"/>
      <c r="AE32" s="456"/>
      <c r="AF32" s="456"/>
      <c r="AG32" s="456"/>
      <c r="BB32" s="477"/>
    </row>
    <row r="33" spans="2:54" ht="18" x14ac:dyDescent="0.2">
      <c r="B33" s="1392">
        <v>17</v>
      </c>
      <c r="C33" s="1555" t="s">
        <v>132</v>
      </c>
      <c r="D33" s="1555"/>
      <c r="E33" s="1555"/>
      <c r="F33" s="1555"/>
      <c r="G33" s="1555"/>
      <c r="H33" s="1555"/>
      <c r="I33" s="1555"/>
      <c r="J33" s="1555"/>
      <c r="K33" s="1555"/>
      <c r="L33" s="1555"/>
      <c r="M33" s="1555"/>
      <c r="N33" s="1555"/>
      <c r="O33" s="1393"/>
      <c r="P33" s="515"/>
      <c r="Q33" s="521"/>
      <c r="R33" s="524"/>
      <c r="S33" s="524"/>
      <c r="T33" s="524"/>
      <c r="U33" s="524"/>
      <c r="V33" s="524"/>
      <c r="W33" s="524"/>
      <c r="X33" s="524"/>
      <c r="Y33" s="524"/>
      <c r="Z33" s="524"/>
      <c r="AA33" s="524"/>
      <c r="AB33" s="524"/>
      <c r="AC33" s="524"/>
      <c r="AE33" s="456"/>
      <c r="AF33" s="456"/>
      <c r="AG33" s="456"/>
      <c r="BB33" s="477"/>
    </row>
    <row r="34" spans="2:54" ht="6" customHeight="1" x14ac:dyDescent="0.15">
      <c r="B34" s="1392"/>
      <c r="C34" s="1393"/>
      <c r="D34" s="1393"/>
      <c r="E34" s="1393"/>
      <c r="F34" s="1393"/>
      <c r="G34" s="1393"/>
      <c r="H34" s="1393"/>
      <c r="I34" s="1393"/>
      <c r="J34" s="1393"/>
      <c r="K34" s="1393"/>
      <c r="L34" s="1393"/>
      <c r="M34" s="1393"/>
      <c r="N34" s="1393"/>
      <c r="O34" s="1393"/>
      <c r="P34" s="515"/>
      <c r="Q34" s="521"/>
      <c r="AE34" s="456"/>
      <c r="AF34" s="456"/>
      <c r="AG34" s="456"/>
      <c r="BB34" s="477"/>
    </row>
    <row r="35" spans="2:54" ht="12.75" customHeight="1" x14ac:dyDescent="0.15">
      <c r="B35" s="1392"/>
      <c r="C35" s="1614" t="s">
        <v>331</v>
      </c>
      <c r="D35" s="1568" t="s">
        <v>332</v>
      </c>
      <c r="E35" s="1568"/>
      <c r="F35" s="1568"/>
      <c r="G35" s="1568"/>
      <c r="H35" s="1049" t="s">
        <v>114</v>
      </c>
      <c r="I35" s="1433"/>
      <c r="J35" s="1619" t="str">
        <f>IF($H$42&gt;0,"DURANTE O PERÍODO DE LICENÇA SEM VENCIMENTOS, HOUVE CONTRIBUIÇÃO PARA O RPPS?","")</f>
        <v/>
      </c>
      <c r="K35" s="1620"/>
      <c r="L35" s="1620"/>
      <c r="M35" s="1620"/>
      <c r="N35" s="1624" t="s">
        <v>537</v>
      </c>
      <c r="O35" s="1393"/>
      <c r="P35" s="515"/>
      <c r="Q35" s="521"/>
      <c r="R35" s="524"/>
      <c r="S35" s="524"/>
      <c r="T35" s="524"/>
      <c r="U35" s="524"/>
      <c r="V35" s="524"/>
      <c r="W35" s="524"/>
      <c r="X35" s="524"/>
      <c r="Y35" s="524"/>
      <c r="Z35" s="524"/>
      <c r="AA35" s="524"/>
      <c r="AB35" s="524"/>
      <c r="AC35" s="524"/>
      <c r="AD35" s="524"/>
      <c r="AE35" s="524"/>
      <c r="AF35" s="524"/>
      <c r="AG35" s="524"/>
      <c r="AH35" s="524"/>
      <c r="AI35" s="524"/>
      <c r="AJ35" s="524"/>
      <c r="AK35" s="524"/>
      <c r="AL35" s="524"/>
      <c r="AM35" s="524"/>
      <c r="AN35" s="524"/>
      <c r="AO35" s="524"/>
      <c r="AP35" s="524"/>
      <c r="AQ35" s="524"/>
      <c r="AR35" s="524"/>
      <c r="AS35" s="524"/>
      <c r="BB35" s="477"/>
    </row>
    <row r="36" spans="2:54" ht="16.5" customHeight="1" x14ac:dyDescent="0.15">
      <c r="B36" s="1392"/>
      <c r="C36" s="1614"/>
      <c r="D36" s="792" t="s">
        <v>115</v>
      </c>
      <c r="E36" s="1546"/>
      <c r="F36" s="1548"/>
      <c r="G36" s="792" t="s">
        <v>116</v>
      </c>
      <c r="H36" s="1050" t="s">
        <v>333</v>
      </c>
      <c r="I36" s="1433"/>
      <c r="J36" s="1620"/>
      <c r="K36" s="1620"/>
      <c r="L36" s="1620"/>
      <c r="M36" s="1620"/>
      <c r="N36" s="1625"/>
      <c r="O36" s="1393"/>
      <c r="P36" s="515"/>
      <c r="Q36" s="521"/>
      <c r="R36" s="524"/>
      <c r="S36" s="524"/>
      <c r="T36" s="524"/>
      <c r="U36" s="524"/>
      <c r="V36" s="524"/>
      <c r="W36" s="524"/>
      <c r="X36" s="524"/>
      <c r="Y36" s="524"/>
      <c r="Z36" s="524"/>
      <c r="AA36" s="524"/>
      <c r="AB36" s="524"/>
      <c r="AC36" s="524"/>
      <c r="AE36" s="456"/>
      <c r="AF36" s="456"/>
      <c r="AG36" s="456"/>
      <c r="BB36" s="477"/>
    </row>
    <row r="37" spans="2:54" ht="13.5" x14ac:dyDescent="0.15">
      <c r="B37" s="1392"/>
      <c r="C37" s="799" t="s">
        <v>335</v>
      </c>
      <c r="D37" s="806"/>
      <c r="E37" s="1546" t="s">
        <v>336</v>
      </c>
      <c r="F37" s="1548"/>
      <c r="G37" s="806"/>
      <c r="H37" s="807"/>
      <c r="I37" s="1434" t="str">
        <f>IF(H37&lt;&gt;0,"INSS: DESCONSIDERE OS PERÍODOS CONCOMITANTES. COMUNIQUE AO RGPS","")</f>
        <v/>
      </c>
      <c r="J37" s="1435"/>
      <c r="K37" s="1435"/>
      <c r="L37" s="1435"/>
      <c r="M37" s="1435"/>
      <c r="N37" s="1393"/>
      <c r="O37" s="1393"/>
      <c r="P37" s="515"/>
      <c r="Q37" s="521"/>
      <c r="AC37" s="524"/>
      <c r="AE37" s="456"/>
      <c r="AF37" s="456"/>
      <c r="AG37" s="456"/>
      <c r="BB37" s="477"/>
    </row>
    <row r="38" spans="2:54" ht="13.5" x14ac:dyDescent="0.15">
      <c r="B38" s="1392"/>
      <c r="C38" s="1051" t="s">
        <v>20</v>
      </c>
      <c r="D38" s="806"/>
      <c r="E38" s="1546" t="s">
        <v>336</v>
      </c>
      <c r="F38" s="1548"/>
      <c r="G38" s="806"/>
      <c r="H38" s="808">
        <f>CRÍTICA_IGP1!F48</f>
        <v>0</v>
      </c>
      <c r="I38" s="1436" t="str">
        <f>IF(H38&gt;0,"COMUNICAR AO RPPS DO ENTE TEMPO AVERBADO.","")</f>
        <v/>
      </c>
      <c r="J38" s="1435"/>
      <c r="K38" s="1393"/>
      <c r="L38" s="1393"/>
      <c r="M38" s="1393"/>
      <c r="N38" s="1393"/>
      <c r="O38" s="1393"/>
      <c r="P38" s="515"/>
      <c r="Q38" s="521"/>
      <c r="R38" s="524"/>
      <c r="S38" s="524"/>
      <c r="T38" s="524"/>
      <c r="U38" s="524"/>
      <c r="V38" s="524"/>
      <c r="W38" s="524"/>
      <c r="X38" s="524"/>
      <c r="Y38" s="524"/>
      <c r="Z38" s="524"/>
      <c r="AA38" s="524"/>
      <c r="AB38" s="524"/>
      <c r="AC38" s="435"/>
      <c r="AD38" s="473"/>
      <c r="AE38" s="474"/>
      <c r="AF38" s="474"/>
      <c r="AG38" s="474"/>
      <c r="AH38" s="473"/>
      <c r="BB38" s="477"/>
    </row>
    <row r="39" spans="2:54" ht="13.5" x14ac:dyDescent="0.15">
      <c r="B39" s="1392"/>
      <c r="C39" s="799" t="s">
        <v>117</v>
      </c>
      <c r="D39" s="806"/>
      <c r="E39" s="1546" t="s">
        <v>336</v>
      </c>
      <c r="F39" s="1548"/>
      <c r="G39" s="806"/>
      <c r="H39" s="808">
        <f>CRÍTICA_IGP1!F49</f>
        <v>0</v>
      </c>
      <c r="I39" s="1568" t="s">
        <v>118</v>
      </c>
      <c r="J39" s="1568"/>
      <c r="K39" s="1568"/>
      <c r="L39" s="1568"/>
      <c r="M39" s="1568"/>
      <c r="N39" s="1568"/>
      <c r="O39" s="1393"/>
      <c r="P39" s="518"/>
      <c r="AE39" s="456"/>
      <c r="AF39" s="456"/>
      <c r="AG39" s="456"/>
      <c r="BB39" s="477"/>
    </row>
    <row r="40" spans="2:54" ht="13.5" x14ac:dyDescent="0.15">
      <c r="B40" s="1392"/>
      <c r="C40" s="799" t="s">
        <v>117</v>
      </c>
      <c r="D40" s="811">
        <f>IF('FICHA FUNCIONAL'!E20=0,0,IF('FICHA FUNCIONAL'!E20&lt;CRÍTICA_IGP1!Q11,CRÍTICA_IGP1!Q11,IF(AND('FICHA FUNCIONAL'!E20&gt;=CRÍTICA_IGP1!Q11,'FICHA FUNCIONAL'!E20&lt;CRÍTICA_IGP1!Q12),'FICHA FUNCIONAL'!E20,0)))</f>
        <v>0</v>
      </c>
      <c r="E40" s="1546" t="s">
        <v>336</v>
      </c>
      <c r="F40" s="1548"/>
      <c r="G40" s="1048">
        <f>IF('FICHA FUNCIONAL'!E6='FICHA FUNCIONAL'!M47,0,IF(AND('FICHA FUNCIONAL'!E23&lt;CRÍTICA_IGP1!R22,'FICHA FUNCIONAL'!E23&lt;CRÍTICA_IGP1!Q12),'FICHA FUNCIONAL'!E23-1,I44))</f>
        <v>-1</v>
      </c>
      <c r="H40" s="808">
        <f>IF(AND(D40&lt;&gt;0,I45&lt;&gt;0,I44&gt;=CRÍTICA_IGP1!Q11),IF(G40&gt;=D40,(G40-D40+1-CRÍTICA_IGP1!N50),0),0)</f>
        <v>0</v>
      </c>
      <c r="I40" s="1629" t="str">
        <f>IF(CRÍTICA_IGP1!K2="TRANSIÇÃO EMENDA 20","A data máxima nessa situação é 30/12/2003 (Antes da Emenda nº 41/03).","A data máxima nessa situação é 19/02/2004 (Antes da MP nº 167/04).")</f>
        <v>A data máxima nessa situação é 19/02/2004 (Antes da MP nº 167/04).</v>
      </c>
      <c r="J40" s="1629"/>
      <c r="K40" s="1629"/>
      <c r="L40" s="1629"/>
      <c r="M40" s="1629"/>
      <c r="N40" s="1629"/>
      <c r="O40" s="1393"/>
      <c r="P40" s="515"/>
      <c r="Q40" s="521"/>
      <c r="AE40" s="456"/>
      <c r="AF40" s="456"/>
      <c r="AG40" s="456"/>
      <c r="AL40" s="524"/>
      <c r="AM40" s="524"/>
      <c r="AN40" s="524"/>
      <c r="AO40" s="524"/>
      <c r="BB40" s="477"/>
    </row>
    <row r="41" spans="2:54" ht="13.5" x14ac:dyDescent="0.15">
      <c r="B41" s="1392"/>
      <c r="C41" s="1603" t="s">
        <v>121</v>
      </c>
      <c r="D41" s="1603"/>
      <c r="E41" s="1603"/>
      <c r="F41" s="1603"/>
      <c r="G41" s="1603"/>
      <c r="H41" s="807"/>
      <c r="I41" s="1602" t="s">
        <v>143</v>
      </c>
      <c r="J41" s="1602"/>
      <c r="K41" s="1602"/>
      <c r="L41" s="1602"/>
      <c r="M41" s="1602"/>
      <c r="N41" s="1602"/>
      <c r="O41" s="1393"/>
      <c r="P41" s="515"/>
      <c r="Q41" s="521"/>
      <c r="R41" s="524"/>
      <c r="S41" s="524"/>
      <c r="T41" s="524"/>
      <c r="U41" s="524"/>
      <c r="V41" s="524"/>
      <c r="W41" s="524"/>
      <c r="X41" s="524"/>
      <c r="Y41" s="524"/>
      <c r="Z41" s="524"/>
      <c r="AA41" s="524"/>
      <c r="AB41" s="524"/>
      <c r="AC41" s="524"/>
      <c r="AD41" s="524"/>
      <c r="AE41" s="474"/>
      <c r="AF41" s="474"/>
      <c r="AG41" s="474"/>
      <c r="AH41" s="473"/>
      <c r="BB41" s="477"/>
    </row>
    <row r="42" spans="2:54" ht="13.5" x14ac:dyDescent="0.15">
      <c r="B42" s="1392"/>
      <c r="C42" s="1603" t="s">
        <v>122</v>
      </c>
      <c r="D42" s="1603"/>
      <c r="E42" s="1603"/>
      <c r="F42" s="1603"/>
      <c r="G42" s="1603"/>
      <c r="H42" s="807"/>
      <c r="I42" s="1615" t="s">
        <v>144</v>
      </c>
      <c r="J42" s="1616"/>
      <c r="K42" s="1616"/>
      <c r="L42" s="1616"/>
      <c r="M42" s="1616"/>
      <c r="N42" s="1617"/>
      <c r="O42" s="1393"/>
      <c r="P42" s="515"/>
      <c r="AE42" s="456"/>
      <c r="AF42" s="456"/>
      <c r="AG42" s="456"/>
      <c r="BB42" s="477"/>
    </row>
    <row r="43" spans="2:54" ht="6" customHeight="1" x14ac:dyDescent="0.15">
      <c r="B43" s="1392"/>
      <c r="C43" s="1393"/>
      <c r="D43" s="1393"/>
      <c r="E43" s="1393"/>
      <c r="F43" s="1393"/>
      <c r="G43" s="1393"/>
      <c r="H43" s="1393"/>
      <c r="I43" s="1393"/>
      <c r="J43" s="1393"/>
      <c r="K43" s="1393"/>
      <c r="L43" s="1393"/>
      <c r="M43" s="1393"/>
      <c r="N43" s="1393"/>
      <c r="O43" s="1393"/>
      <c r="P43" s="515"/>
      <c r="Q43" s="521"/>
      <c r="AE43" s="456"/>
      <c r="AF43" s="456"/>
      <c r="AG43" s="456"/>
      <c r="BB43" s="477"/>
    </row>
    <row r="44" spans="2:54" ht="13.5" x14ac:dyDescent="0.15">
      <c r="B44" s="1392"/>
      <c r="C44" s="1610" t="s">
        <v>123</v>
      </c>
      <c r="D44" s="1568" t="s">
        <v>332</v>
      </c>
      <c r="E44" s="1568"/>
      <c r="F44" s="1568"/>
      <c r="G44" s="1568"/>
      <c r="H44" s="797" t="s">
        <v>114</v>
      </c>
      <c r="I44" s="1437">
        <f>IF(CRÍTICA_IGP1!R22&lt;CRÍTICA_IGP1!Q11,0,IF(AND(CRÍTICA_IGP1!R22&lt;'FICHA FUNCIONAL'!E23,CRÍTICA_IGP1!R22&lt;CRÍTICA_IGP1!Q12),IF(AND('FICHA FUNCIONAL'!E6='FICHA FUNCIONAL'!M49,CRÍTICA_IGP1!R22&gt;CRÍTICA_IGP1!Q13),CRÍTICA_IGP1!Q13-1,IF(AND('FICHA FUNCIONAL'!E6='FICHA FUNCIONAL'!M48,'FICHA FUNCIONAL'!I29="X",CRÍTICA_IGP1!R22&gt;CRÍTICA_IGP1!Q12),I45,IF(AND(CRÍTICA_IGP1!R22&gt;=CRÍTICA_IGP1!Q11,CRÍTICA_IGP1!R22&lt;CRÍTICA_IGP1!Q13),CRÍTICA_IGP1!R22-1,IF(AND(CRÍTICA_IGP1!R22&gt;=CRÍTICA_IGP1!Q13,CRÍTICA_IGP1!R22&lt;CRÍTICA_IGP1!Q12),CRÍTICA_IGP1!R22-1,I45)))),I45))</f>
        <v>0</v>
      </c>
      <c r="J44" s="1393"/>
      <c r="K44" s="1393"/>
      <c r="L44" s="1393"/>
      <c r="M44" s="1393"/>
      <c r="N44" s="1393"/>
      <c r="O44" s="1393"/>
      <c r="P44" s="528"/>
      <c r="Q44" s="521"/>
      <c r="R44" s="524"/>
      <c r="S44" s="524"/>
      <c r="T44" s="524"/>
      <c r="U44" s="524"/>
      <c r="V44" s="524"/>
      <c r="W44" s="524"/>
      <c r="X44" s="524"/>
      <c r="Y44" s="524"/>
      <c r="Z44" s="524"/>
      <c r="AA44" s="524"/>
      <c r="AB44" s="524"/>
      <c r="AC44" s="524"/>
      <c r="AD44" s="524"/>
      <c r="AE44" s="524"/>
      <c r="AF44" s="524"/>
      <c r="AG44" s="524"/>
      <c r="AH44" s="524"/>
      <c r="BB44" s="477"/>
    </row>
    <row r="45" spans="2:54" ht="13.5" x14ac:dyDescent="0.15">
      <c r="B45" s="1392"/>
      <c r="C45" s="1611"/>
      <c r="D45" s="792" t="s">
        <v>115</v>
      </c>
      <c r="E45" s="1546"/>
      <c r="F45" s="1548"/>
      <c r="G45" s="792" t="s">
        <v>116</v>
      </c>
      <c r="H45" s="798" t="s">
        <v>333</v>
      </c>
      <c r="I45" s="1437">
        <f>IF('FICHA FUNCIONAL'!E6='FICHA FUNCIONAL'!M47,0,IF('FICHA FUNCIONAL'!E6='FICHA FUNCIONAL'!M49,IF(AND('FICHA FUNCIONAL'!E23&gt;=CRÍTICA_IGP1!Q11,'FICHA FUNCIONAL'!E23&lt;CRÍTICA_IGP1!Q13),'FICHA FUNCIONAL'!E23-1,CRÍTICA_IGP1!Q13-1),IF(AND('FICHA FUNCIONAL'!E6='FICHA FUNCIONAL'!M48,'FICHA FUNCIONAL'!I29="X"),IF(AND('FICHA FUNCIONAL'!E23&gt;=CRÍTICA_IGP1!Q11,'FICHA FUNCIONAL'!E23&lt;CRÍTICA_IGP1!Q12),'FICHA FUNCIONAL'!E23-1,CRÍTICA_IGP1!Q12-1),IF('FICHA FUNCIONAL'!E23&gt;=CRÍTICA_IGP1!Q12,CRÍTICA_IGP1!Q12-1,IF(CRÍTICA_IGP1!R22&lt;CRÍTICA_IGP1!N10,CRÍTICA_IGP1!R22-1,CRÍTICA_IGP1!N10-1)))))</f>
        <v>25567</v>
      </c>
      <c r="J45" s="1568" t="s">
        <v>124</v>
      </c>
      <c r="K45" s="1568"/>
      <c r="L45" s="1568"/>
      <c r="M45" s="1568"/>
      <c r="N45" s="1568"/>
      <c r="O45" s="1393"/>
      <c r="P45" s="528"/>
      <c r="AE45" s="456"/>
      <c r="AF45" s="456"/>
      <c r="AG45" s="456"/>
      <c r="BB45" s="477"/>
    </row>
    <row r="46" spans="2:54" ht="20.25" x14ac:dyDescent="0.15">
      <c r="B46" s="1392">
        <v>18</v>
      </c>
      <c r="C46" s="804" t="s">
        <v>133</v>
      </c>
      <c r="D46" s="1026">
        <f>CRÍTICA_IGP1!C45</f>
        <v>0</v>
      </c>
      <c r="E46" s="1560" t="s">
        <v>336</v>
      </c>
      <c r="F46" s="1562"/>
      <c r="G46" s="1270">
        <f>IF('FICHA FUNCIONAL'!E36&lt;36145,G24,IF('FICHA FUNCIONAL'!E36&lt;38037,IF(I45&lt;I44,I45,I44),I44))</f>
        <v>0</v>
      </c>
      <c r="H46" s="808">
        <f>IF(CRÍTICA_IGP1!F46&lt;&gt;0,CRÍTICA_IGP1!F46,'MTS - MAPA DE TEMPO DE SERVIÇO'!H24)</f>
        <v>0</v>
      </c>
      <c r="I46" s="1438"/>
      <c r="J46" s="793">
        <f>IF(H46&gt;0,ROUNDDOWN(H46/365,0),0)</f>
        <v>0</v>
      </c>
      <c r="K46" s="1612" t="s">
        <v>125</v>
      </c>
      <c r="L46" s="1613"/>
      <c r="M46" s="793">
        <f>(H46/365-J46)*365</f>
        <v>0</v>
      </c>
      <c r="N46" s="802" t="s">
        <v>126</v>
      </c>
      <c r="O46" s="1393"/>
      <c r="P46" s="515"/>
      <c r="Q46" s="521"/>
      <c r="AD46" s="473"/>
      <c r="AE46" s="474"/>
      <c r="AF46" s="474"/>
      <c r="AG46" s="474"/>
      <c r="AH46" s="473"/>
      <c r="BB46" s="477"/>
    </row>
    <row r="47" spans="2:54" ht="13.5" x14ac:dyDescent="0.15">
      <c r="B47" s="1392">
        <v>19</v>
      </c>
      <c r="C47" s="803" t="s">
        <v>134</v>
      </c>
      <c r="D47" s="1026">
        <f>IF(D24&lt;&gt;0,D24,D46)</f>
        <v>0</v>
      </c>
      <c r="E47" s="1546" t="s">
        <v>336</v>
      </c>
      <c r="F47" s="1548"/>
      <c r="G47" s="1026">
        <f>G46</f>
        <v>0</v>
      </c>
      <c r="H47" s="808">
        <f>CRÍTICA_IGP1!F52</f>
        <v>0</v>
      </c>
      <c r="I47" s="1438"/>
      <c r="J47" s="793">
        <f>IF(H47&gt;0,ROUNDDOWN(H47/365,0),0)</f>
        <v>0</v>
      </c>
      <c r="K47" s="1612" t="s">
        <v>125</v>
      </c>
      <c r="L47" s="1613"/>
      <c r="M47" s="792">
        <f>(H47/365-J47)*365</f>
        <v>0</v>
      </c>
      <c r="N47" s="802" t="s">
        <v>126</v>
      </c>
      <c r="O47" s="1393"/>
      <c r="P47" s="515"/>
      <c r="Q47" s="521"/>
      <c r="R47" s="524"/>
      <c r="S47" s="524"/>
      <c r="T47" s="524"/>
      <c r="U47" s="524"/>
      <c r="V47" s="524"/>
      <c r="W47" s="524"/>
      <c r="X47" s="524"/>
      <c r="Y47" s="524"/>
      <c r="Z47" s="524"/>
      <c r="AA47" s="524"/>
      <c r="AB47" s="524"/>
      <c r="AC47" s="524"/>
      <c r="AD47" s="473"/>
      <c r="AE47" s="474"/>
      <c r="AF47" s="474"/>
      <c r="AG47" s="474"/>
      <c r="AH47" s="473"/>
      <c r="BB47" s="477"/>
    </row>
    <row r="48" spans="2:54" ht="6" customHeight="1" x14ac:dyDescent="0.15">
      <c r="B48" s="1392"/>
      <c r="C48" s="1393"/>
      <c r="D48" s="1393"/>
      <c r="E48" s="1393"/>
      <c r="F48" s="1393"/>
      <c r="G48" s="1393"/>
      <c r="H48" s="1393"/>
      <c r="I48" s="1439"/>
      <c r="J48" s="1393"/>
      <c r="K48" s="1393"/>
      <c r="L48" s="1393"/>
      <c r="M48" s="1393"/>
      <c r="N48" s="1393"/>
      <c r="O48" s="1393"/>
      <c r="P48" s="515"/>
      <c r="Q48" s="521"/>
      <c r="R48" s="524"/>
      <c r="S48" s="524"/>
      <c r="T48" s="524"/>
      <c r="U48" s="524"/>
      <c r="V48" s="524"/>
      <c r="W48" s="524"/>
      <c r="X48" s="524"/>
      <c r="Y48" s="524"/>
      <c r="Z48" s="524"/>
      <c r="AA48" s="524"/>
      <c r="AB48" s="524"/>
      <c r="AD48" s="473"/>
      <c r="AE48" s="474"/>
      <c r="AF48" s="474"/>
      <c r="AG48" s="474"/>
      <c r="AH48" s="473"/>
      <c r="BB48" s="477"/>
    </row>
    <row r="49" spans="2:54" ht="18" x14ac:dyDescent="0.2">
      <c r="B49" s="1392">
        <v>20</v>
      </c>
      <c r="C49" s="1555" t="s">
        <v>135</v>
      </c>
      <c r="D49" s="1555"/>
      <c r="E49" s="1555"/>
      <c r="F49" s="1555"/>
      <c r="G49" s="1555"/>
      <c r="H49" s="1555"/>
      <c r="I49" s="1555"/>
      <c r="J49" s="1555"/>
      <c r="K49" s="1555"/>
      <c r="L49" s="1555"/>
      <c r="M49" s="1555"/>
      <c r="N49" s="1555"/>
      <c r="O49" s="1393"/>
      <c r="P49" s="515"/>
      <c r="Q49" s="521"/>
      <c r="AE49" s="456"/>
      <c r="AF49" s="456"/>
      <c r="AG49" s="456"/>
      <c r="BB49" s="477"/>
    </row>
    <row r="50" spans="2:54" ht="6" customHeight="1" x14ac:dyDescent="0.15">
      <c r="B50" s="1392"/>
      <c r="C50" s="1393"/>
      <c r="D50" s="1393"/>
      <c r="E50" s="1393"/>
      <c r="F50" s="1393"/>
      <c r="G50" s="1393"/>
      <c r="H50" s="1393"/>
      <c r="I50" s="1393"/>
      <c r="J50" s="1393"/>
      <c r="K50" s="1393"/>
      <c r="L50" s="1393"/>
      <c r="M50" s="1393"/>
      <c r="N50" s="1393"/>
      <c r="O50" s="1393"/>
      <c r="P50" s="515"/>
      <c r="Q50" s="521"/>
      <c r="R50" s="524"/>
      <c r="S50" s="524"/>
      <c r="T50" s="524"/>
      <c r="U50" s="524"/>
      <c r="V50" s="524"/>
      <c r="W50" s="524"/>
      <c r="X50" s="524"/>
      <c r="Y50" s="524"/>
      <c r="Z50" s="524"/>
      <c r="AA50" s="524"/>
      <c r="AB50" s="524"/>
      <c r="AC50" s="524"/>
      <c r="AD50" s="524"/>
      <c r="AE50" s="524"/>
      <c r="AF50" s="524"/>
      <c r="AG50" s="524"/>
      <c r="AH50" s="524"/>
      <c r="AI50" s="524"/>
      <c r="AJ50" s="524"/>
      <c r="AK50" s="524"/>
      <c r="BB50" s="477"/>
    </row>
    <row r="51" spans="2:54" ht="15.75" customHeight="1" x14ac:dyDescent="0.15">
      <c r="B51" s="1392"/>
      <c r="C51" s="1614" t="s">
        <v>331</v>
      </c>
      <c r="D51" s="1568" t="s">
        <v>332</v>
      </c>
      <c r="E51" s="1568"/>
      <c r="F51" s="1568"/>
      <c r="G51" s="1568"/>
      <c r="H51" s="797" t="s">
        <v>114</v>
      </c>
      <c r="I51" s="1440"/>
      <c r="J51" s="1621" t="str">
        <f>IF($H$58&gt;0,"DURANTE O PERÍODO DE LICENÇA SEM VENCIMENTOS, HOUVE CONTRIBUIÇÃO PARA O RPPS?","")</f>
        <v/>
      </c>
      <c r="K51" s="1622"/>
      <c r="L51" s="1622"/>
      <c r="M51" s="1623"/>
      <c r="N51" s="1624" t="s">
        <v>537</v>
      </c>
      <c r="O51" s="1393"/>
      <c r="P51" s="515"/>
      <c r="Q51" s="521"/>
      <c r="R51" s="524"/>
      <c r="S51" s="524"/>
      <c r="T51" s="524"/>
      <c r="U51" s="524"/>
      <c r="V51" s="524"/>
      <c r="W51" s="524"/>
      <c r="X51" s="524"/>
      <c r="Y51" s="524"/>
      <c r="Z51" s="524"/>
      <c r="AA51" s="524"/>
      <c r="AB51" s="524"/>
      <c r="AD51" s="473"/>
      <c r="AE51" s="474"/>
      <c r="AF51" s="474"/>
      <c r="AG51" s="474"/>
      <c r="AH51" s="473"/>
      <c r="BB51" s="477"/>
    </row>
    <row r="52" spans="2:54" ht="13.5" x14ac:dyDescent="0.15">
      <c r="B52" s="1392"/>
      <c r="C52" s="1614"/>
      <c r="D52" s="792" t="s">
        <v>115</v>
      </c>
      <c r="E52" s="1546"/>
      <c r="F52" s="1548"/>
      <c r="G52" s="792" t="s">
        <v>116</v>
      </c>
      <c r="H52" s="798" t="s">
        <v>333</v>
      </c>
      <c r="I52" s="1440"/>
      <c r="J52" s="1622"/>
      <c r="K52" s="1622"/>
      <c r="L52" s="1622"/>
      <c r="M52" s="1623"/>
      <c r="N52" s="1625"/>
      <c r="O52" s="1393"/>
      <c r="P52" s="515"/>
      <c r="Q52" s="521"/>
      <c r="AE52" s="456"/>
      <c r="AF52" s="456"/>
      <c r="AG52" s="456"/>
      <c r="BB52" s="477"/>
    </row>
    <row r="53" spans="2:54" ht="13.5" x14ac:dyDescent="0.15">
      <c r="B53" s="1392"/>
      <c r="C53" s="799" t="s">
        <v>335</v>
      </c>
      <c r="D53" s="806"/>
      <c r="E53" s="1546" t="s">
        <v>336</v>
      </c>
      <c r="F53" s="1548"/>
      <c r="G53" s="806"/>
      <c r="H53" s="807"/>
      <c r="I53" s="1441" t="str">
        <f>IF(H53&lt;&gt;0,"INSS: DESCONSIDERE OS PERÍODOS CONCOMITANTES. COMUNIQUE AO RGPS","")</f>
        <v/>
      </c>
      <c r="J53" s="1434"/>
      <c r="K53" s="1434"/>
      <c r="L53" s="1434"/>
      <c r="M53" s="1418"/>
      <c r="N53" s="1443"/>
      <c r="O53" s="1393"/>
      <c r="P53" s="515"/>
      <c r="Q53" s="521"/>
      <c r="R53" s="524"/>
      <c r="S53" s="524"/>
      <c r="T53" s="524"/>
      <c r="U53" s="524"/>
      <c r="V53" s="524"/>
      <c r="W53" s="524"/>
      <c r="X53" s="524"/>
      <c r="Y53" s="524"/>
      <c r="Z53" s="524"/>
      <c r="AA53" s="524"/>
      <c r="AB53" s="524"/>
      <c r="AC53" s="524"/>
      <c r="AE53" s="456"/>
      <c r="AF53" s="456"/>
      <c r="AG53" s="456"/>
      <c r="BB53" s="477"/>
    </row>
    <row r="54" spans="2:54" ht="13.5" x14ac:dyDescent="0.15">
      <c r="B54" s="1392"/>
      <c r="C54" s="1051" t="s">
        <v>20</v>
      </c>
      <c r="D54" s="806"/>
      <c r="E54" s="1546" t="s">
        <v>336</v>
      </c>
      <c r="F54" s="1548"/>
      <c r="G54" s="806"/>
      <c r="H54" s="808">
        <f>CRÍTICA_IGP1!F55</f>
        <v>0</v>
      </c>
      <c r="I54" s="1442">
        <f>IF(OR('FICHA FUNCIONAL'!E6='FICHA FUNCIONAL'!M47,'FICHA FUNCIONAL'!E6='FICHA FUNCIONAL'!M49,AND('FICHA FUNCIONAL'!E6='FICHA FUNCIONAL'!M48,'FICHA FUNCIONAL'!I29="X")),0,IF(AND('FICHA FUNCIONAL'!M21&gt;=70,CRÍTICA_IGP1!R22&gt;=CRÍTICA_IGP1!Q12,CRÍTICA_IGP1!R22&lt;'FICHA FUNCIONAL'!E23),CRÍTICA_IGP1!R22-1,IF(CRÍTICA_IGP1!R22&lt;'FICHA FUNCIONAL'!E23,CRÍTICA_IGP1!R22-1,IF(D56&gt;=CRÍTICA_IGP1!Q12,'FICHA FUNCIONAL'!E23-1,0))))</f>
        <v>0</v>
      </c>
      <c r="J54" s="1393"/>
      <c r="K54" s="1393"/>
      <c r="L54" s="1393"/>
      <c r="M54" s="1393"/>
      <c r="N54" s="1443"/>
      <c r="O54" s="1393"/>
      <c r="P54" s="515"/>
      <c r="Q54" s="521"/>
      <c r="R54" s="524"/>
      <c r="S54" s="524"/>
      <c r="T54" s="524"/>
      <c r="U54" s="524"/>
      <c r="V54" s="524"/>
      <c r="W54" s="524"/>
      <c r="X54" s="524"/>
      <c r="Y54" s="524"/>
      <c r="Z54" s="524"/>
      <c r="AA54" s="524"/>
      <c r="AB54" s="524"/>
      <c r="AC54" s="524"/>
      <c r="AE54" s="456"/>
      <c r="AF54" s="456"/>
      <c r="AG54" s="456"/>
      <c r="BB54" s="477"/>
    </row>
    <row r="55" spans="2:54" ht="13.5" x14ac:dyDescent="0.15">
      <c r="B55" s="1392"/>
      <c r="C55" s="799" t="s">
        <v>117</v>
      </c>
      <c r="D55" s="806"/>
      <c r="E55" s="1546" t="s">
        <v>336</v>
      </c>
      <c r="F55" s="1548"/>
      <c r="G55" s="806"/>
      <c r="H55" s="808">
        <f>CRÍTICA_IGP1!F56</f>
        <v>0</v>
      </c>
      <c r="I55" s="1548" t="s">
        <v>118</v>
      </c>
      <c r="J55" s="1568"/>
      <c r="K55" s="1568"/>
      <c r="L55" s="1568"/>
      <c r="M55" s="1568"/>
      <c r="N55" s="1568"/>
      <c r="O55" s="1393"/>
      <c r="P55" s="515"/>
      <c r="Q55" s="521"/>
      <c r="AE55" s="456"/>
      <c r="AF55" s="456"/>
      <c r="AG55" s="456"/>
      <c r="BB55" s="477"/>
    </row>
    <row r="56" spans="2:54" ht="13.5" x14ac:dyDescent="0.15">
      <c r="B56" s="1392"/>
      <c r="C56" s="799" t="s">
        <v>117</v>
      </c>
      <c r="D56" s="1048">
        <f>IF('FICHA FUNCIONAL'!E20=0,0,IF('FICHA FUNCIONAL'!E20&gt;=CRÍTICA_IGP1!Q12,'FICHA FUNCIONAL'!E20,CRÍTICA_IGP1!Q12))</f>
        <v>0</v>
      </c>
      <c r="E56" s="1546" t="s">
        <v>336</v>
      </c>
      <c r="F56" s="1548"/>
      <c r="G56" s="1048">
        <f>IF(OR('FICHA FUNCIONAL'!E6='FICHA FUNCIONAL'!M47,'FICHA FUNCIONAL'!E6='FICHA FUNCIONAL'!M49,'FICHA FUNCIONAL'!I29="X"),0,I54)</f>
        <v>0</v>
      </c>
      <c r="H56" s="808">
        <f>IF(AND(D56&lt;&gt;0,G56&lt;&gt;0),IF(I54&gt;=D56,(I54-D56+1-CRÍTICA_IGP1!N57),0),0)</f>
        <v>0</v>
      </c>
      <c r="I56" s="1618" t="s">
        <v>145</v>
      </c>
      <c r="J56" s="1602"/>
      <c r="K56" s="1602"/>
      <c r="L56" s="1602"/>
      <c r="M56" s="1602"/>
      <c r="N56" s="1602"/>
      <c r="O56" s="1393"/>
      <c r="P56" s="515"/>
      <c r="Q56" s="521"/>
      <c r="R56" s="524"/>
      <c r="S56" s="524"/>
      <c r="T56" s="524"/>
      <c r="U56" s="524"/>
      <c r="V56" s="524"/>
      <c r="W56" s="524"/>
      <c r="X56" s="524"/>
      <c r="Y56" s="524"/>
      <c r="Z56" s="524"/>
      <c r="AA56" s="524"/>
      <c r="AB56" s="524"/>
      <c r="AC56" s="524"/>
      <c r="AD56" s="524"/>
      <c r="AE56" s="524"/>
      <c r="AF56" s="524"/>
      <c r="AG56" s="524"/>
      <c r="AH56" s="524"/>
      <c r="AI56" s="524"/>
      <c r="AJ56" s="524"/>
      <c r="AK56" s="524"/>
      <c r="AL56" s="524"/>
      <c r="AM56" s="524"/>
      <c r="AN56" s="524"/>
      <c r="AO56" s="524"/>
      <c r="AP56" s="524"/>
      <c r="AQ56" s="524"/>
      <c r="AR56" s="524"/>
      <c r="AS56" s="524"/>
      <c r="BB56" s="477"/>
    </row>
    <row r="57" spans="2:54" ht="13.5" x14ac:dyDescent="0.15">
      <c r="B57" s="1392"/>
      <c r="C57" s="1603" t="s">
        <v>121</v>
      </c>
      <c r="D57" s="1603"/>
      <c r="E57" s="1603"/>
      <c r="F57" s="1603"/>
      <c r="G57" s="1603"/>
      <c r="H57" s="807"/>
      <c r="I57" s="1602" t="s">
        <v>146</v>
      </c>
      <c r="J57" s="1602"/>
      <c r="K57" s="1602"/>
      <c r="L57" s="1602"/>
      <c r="M57" s="1602"/>
      <c r="N57" s="1602"/>
      <c r="O57" s="1393"/>
      <c r="P57" s="515"/>
      <c r="Q57" s="521"/>
      <c r="R57" s="524"/>
      <c r="S57" s="524"/>
      <c r="T57" s="524"/>
      <c r="U57" s="524"/>
      <c r="V57" s="524"/>
      <c r="W57" s="524"/>
      <c r="X57" s="524"/>
      <c r="Y57" s="524"/>
      <c r="Z57" s="524"/>
      <c r="AA57" s="524"/>
      <c r="AB57" s="524"/>
      <c r="AC57" s="524"/>
      <c r="AE57" s="456"/>
      <c r="AF57" s="456"/>
      <c r="AG57" s="456"/>
      <c r="BB57" s="477"/>
    </row>
    <row r="58" spans="2:54" ht="13.5" x14ac:dyDescent="0.15">
      <c r="B58" s="1392"/>
      <c r="C58" s="1603" t="s">
        <v>122</v>
      </c>
      <c r="D58" s="1603"/>
      <c r="E58" s="1603"/>
      <c r="F58" s="1603"/>
      <c r="G58" s="1603"/>
      <c r="H58" s="807"/>
      <c r="I58" s="1604" t="s">
        <v>147</v>
      </c>
      <c r="J58" s="1605"/>
      <c r="K58" s="1605"/>
      <c r="L58" s="1605"/>
      <c r="M58" s="1605"/>
      <c r="N58" s="1606"/>
      <c r="O58" s="1393"/>
      <c r="P58" s="515"/>
      <c r="Q58" s="521"/>
      <c r="AC58" s="524"/>
      <c r="AE58" s="456"/>
      <c r="AF58" s="456"/>
      <c r="AG58" s="456"/>
      <c r="BB58" s="477"/>
    </row>
    <row r="59" spans="2:54" ht="6" customHeight="1" x14ac:dyDescent="0.15">
      <c r="B59" s="1392"/>
      <c r="C59" s="1443"/>
      <c r="D59" s="1443"/>
      <c r="E59" s="1443"/>
      <c r="F59" s="1443"/>
      <c r="G59" s="1443"/>
      <c r="H59" s="1443"/>
      <c r="I59" s="1443"/>
      <c r="J59" s="1443"/>
      <c r="K59" s="1443"/>
      <c r="L59" s="1443"/>
      <c r="M59" s="1443"/>
      <c r="N59" s="1443"/>
      <c r="O59" s="1393"/>
      <c r="P59" s="515"/>
      <c r="Q59" s="521"/>
      <c r="R59" s="524"/>
      <c r="S59" s="524"/>
      <c r="T59" s="524"/>
      <c r="U59" s="524"/>
      <c r="V59" s="524"/>
      <c r="W59" s="524"/>
      <c r="X59" s="524"/>
      <c r="Y59" s="524"/>
      <c r="Z59" s="524"/>
      <c r="AA59" s="524"/>
      <c r="AB59" s="524"/>
      <c r="AC59" s="435"/>
      <c r="AD59" s="473"/>
      <c r="AE59" s="474"/>
      <c r="AF59" s="474"/>
      <c r="AG59" s="474"/>
      <c r="AH59" s="473"/>
      <c r="BB59" s="477"/>
    </row>
    <row r="60" spans="2:54" ht="13.5" x14ac:dyDescent="0.15">
      <c r="B60" s="1607">
        <v>21</v>
      </c>
      <c r="C60" s="1610" t="s">
        <v>123</v>
      </c>
      <c r="D60" s="1568" t="s">
        <v>332</v>
      </c>
      <c r="E60" s="1568"/>
      <c r="F60" s="1568"/>
      <c r="G60" s="1568"/>
      <c r="H60" s="797" t="s">
        <v>114</v>
      </c>
      <c r="I60" s="1444"/>
      <c r="J60" s="1445"/>
      <c r="K60" s="1445"/>
      <c r="L60" s="1445"/>
      <c r="M60" s="1445"/>
      <c r="N60" s="1445"/>
      <c r="O60" s="1393"/>
      <c r="P60" s="518"/>
      <c r="AE60" s="456"/>
      <c r="AF60" s="456"/>
      <c r="AG60" s="456"/>
      <c r="BB60" s="477"/>
    </row>
    <row r="61" spans="2:54" ht="13.5" x14ac:dyDescent="0.15">
      <c r="B61" s="1607"/>
      <c r="C61" s="1611"/>
      <c r="D61" s="792" t="s">
        <v>115</v>
      </c>
      <c r="E61" s="1546"/>
      <c r="F61" s="1548"/>
      <c r="G61" s="792" t="s">
        <v>116</v>
      </c>
      <c r="H61" s="798" t="s">
        <v>333</v>
      </c>
      <c r="I61" s="1444"/>
      <c r="J61" s="1568" t="s">
        <v>124</v>
      </c>
      <c r="K61" s="1568"/>
      <c r="L61" s="1568"/>
      <c r="M61" s="1568"/>
      <c r="N61" s="1568"/>
      <c r="O61" s="1393"/>
      <c r="P61" s="515"/>
      <c r="Q61" s="521"/>
      <c r="AE61" s="456"/>
      <c r="AF61" s="456"/>
      <c r="AG61" s="456"/>
      <c r="AL61" s="524"/>
      <c r="AM61" s="524"/>
      <c r="AN61" s="524"/>
      <c r="AO61" s="524"/>
      <c r="BB61" s="477"/>
    </row>
    <row r="62" spans="2:54" ht="13.5" x14ac:dyDescent="0.15">
      <c r="B62" s="1607"/>
      <c r="C62" s="805" t="s">
        <v>136</v>
      </c>
      <c r="D62" s="1026" t="str">
        <f>CRÍTICA_IGP1!C59</f>
        <v>REVER</v>
      </c>
      <c r="E62" s="1560" t="s">
        <v>336</v>
      </c>
      <c r="F62" s="1562"/>
      <c r="G62" s="1276" t="str">
        <f>IF(CRÍTICA_IGP1!E59&lt;&gt;"REVER",CRÍTICA_IGP1!E59,"")</f>
        <v/>
      </c>
      <c r="H62" s="808">
        <f>CRÍTICA_IGP1!F59</f>
        <v>0</v>
      </c>
      <c r="I62" s="1457"/>
      <c r="J62" s="793">
        <f>IF(H62&gt;0,ROUNDDOWN(H62/365,0),0)</f>
        <v>0</v>
      </c>
      <c r="K62" s="800" t="s">
        <v>125</v>
      </c>
      <c r="L62" s="801"/>
      <c r="M62" s="792">
        <f>(H62/365-J62)*365</f>
        <v>0</v>
      </c>
      <c r="N62" s="802" t="s">
        <v>126</v>
      </c>
      <c r="O62" s="1393"/>
      <c r="P62" s="515"/>
      <c r="Q62" s="521"/>
      <c r="R62" s="524"/>
      <c r="S62" s="524"/>
      <c r="T62" s="524"/>
      <c r="U62" s="524"/>
      <c r="V62" s="524"/>
      <c r="W62" s="524"/>
      <c r="X62" s="524"/>
      <c r="Y62" s="524"/>
      <c r="Z62" s="524"/>
      <c r="AA62" s="524"/>
      <c r="AB62" s="524"/>
      <c r="AC62" s="524"/>
      <c r="AD62" s="524"/>
      <c r="AE62" s="474"/>
      <c r="AF62" s="474"/>
      <c r="AG62" s="474"/>
      <c r="AH62" s="473"/>
      <c r="BB62" s="477"/>
    </row>
    <row r="63" spans="2:54" ht="6" customHeight="1" x14ac:dyDescent="0.15">
      <c r="B63" s="1392"/>
      <c r="C63" s="1393"/>
      <c r="D63" s="1393"/>
      <c r="E63" s="1393"/>
      <c r="F63" s="1393"/>
      <c r="G63" s="1393"/>
      <c r="H63" s="1393"/>
      <c r="I63" s="1439"/>
      <c r="J63" s="1393"/>
      <c r="K63" s="1393"/>
      <c r="L63" s="1393"/>
      <c r="M63" s="1393"/>
      <c r="N63" s="1393"/>
      <c r="O63" s="1393"/>
      <c r="P63" s="515"/>
      <c r="AE63" s="474"/>
      <c r="AF63" s="474"/>
      <c r="AG63" s="474"/>
      <c r="AH63" s="473"/>
      <c r="BB63" s="477"/>
    </row>
    <row r="64" spans="2:54" ht="18" x14ac:dyDescent="0.2">
      <c r="B64" s="1392">
        <v>22</v>
      </c>
      <c r="C64" s="1555" t="s">
        <v>137</v>
      </c>
      <c r="D64" s="1555"/>
      <c r="E64" s="1555"/>
      <c r="F64" s="1555"/>
      <c r="G64" s="1555"/>
      <c r="H64" s="1555"/>
      <c r="I64" s="1555"/>
      <c r="J64" s="1555"/>
      <c r="K64" s="1555"/>
      <c r="L64" s="1555"/>
      <c r="M64" s="1555"/>
      <c r="N64" s="1555"/>
      <c r="O64" s="1393"/>
      <c r="P64" s="515"/>
      <c r="Q64" s="523"/>
      <c r="AE64" s="474"/>
      <c r="AF64" s="474"/>
      <c r="AG64" s="474"/>
      <c r="AH64" s="473"/>
      <c r="BB64" s="477"/>
    </row>
    <row r="65" spans="2:54" ht="6" customHeight="1" x14ac:dyDescent="0.15">
      <c r="B65" s="1392"/>
      <c r="C65" s="1393"/>
      <c r="D65" s="1393"/>
      <c r="E65" s="1393"/>
      <c r="F65" s="1393"/>
      <c r="G65" s="1393"/>
      <c r="H65" s="1393"/>
      <c r="I65" s="1393"/>
      <c r="J65" s="1393"/>
      <c r="K65" s="1393"/>
      <c r="L65" s="1393"/>
      <c r="M65" s="1393"/>
      <c r="N65" s="1393"/>
      <c r="O65" s="1393"/>
      <c r="P65" s="427"/>
      <c r="Q65" s="521"/>
      <c r="R65" s="524"/>
      <c r="S65" s="524"/>
      <c r="T65" s="524"/>
      <c r="U65" s="524"/>
      <c r="V65" s="524"/>
      <c r="W65" s="524"/>
      <c r="X65" s="524"/>
      <c r="Y65" s="524"/>
      <c r="Z65" s="524"/>
      <c r="AA65" s="524"/>
      <c r="AB65" s="524"/>
      <c r="AD65" s="473"/>
      <c r="AE65" s="474"/>
      <c r="AF65" s="474"/>
      <c r="AG65" s="474"/>
      <c r="AH65" s="473"/>
      <c r="BB65" s="477"/>
    </row>
    <row r="66" spans="2:54" ht="13.5" x14ac:dyDescent="0.15">
      <c r="B66" s="1607">
        <v>23</v>
      </c>
      <c r="C66" s="1608" t="s">
        <v>740</v>
      </c>
      <c r="D66" s="1568" t="s">
        <v>332</v>
      </c>
      <c r="E66" s="1568"/>
      <c r="F66" s="1568"/>
      <c r="G66" s="1568"/>
      <c r="H66" s="797" t="s">
        <v>114</v>
      </c>
      <c r="I66" s="1424"/>
      <c r="J66" s="1391"/>
      <c r="K66" s="1391"/>
      <c r="L66" s="1391"/>
      <c r="M66" s="1391"/>
      <c r="N66" s="1391"/>
      <c r="O66" s="1393"/>
      <c r="P66" s="427"/>
      <c r="AD66" s="473"/>
      <c r="AE66" s="456"/>
      <c r="AF66" s="456"/>
      <c r="AG66" s="456"/>
      <c r="BB66" s="477"/>
    </row>
    <row r="67" spans="2:54" ht="13.5" x14ac:dyDescent="0.15">
      <c r="B67" s="1607"/>
      <c r="C67" s="1609"/>
      <c r="D67" s="792" t="s">
        <v>115</v>
      </c>
      <c r="E67" s="1546"/>
      <c r="F67" s="1548"/>
      <c r="G67" s="792" t="s">
        <v>116</v>
      </c>
      <c r="H67" s="798" t="s">
        <v>333</v>
      </c>
      <c r="I67" s="1456"/>
      <c r="J67" s="1568" t="s">
        <v>124</v>
      </c>
      <c r="K67" s="1568"/>
      <c r="L67" s="1568"/>
      <c r="M67" s="1568"/>
      <c r="N67" s="1568"/>
      <c r="O67" s="1393"/>
      <c r="P67" s="365"/>
      <c r="Q67" s="523"/>
      <c r="AE67" s="456"/>
      <c r="AF67" s="456"/>
      <c r="AG67" s="456"/>
      <c r="BB67" s="477"/>
    </row>
    <row r="68" spans="2:54" ht="13.5" x14ac:dyDescent="0.15">
      <c r="B68" s="1607"/>
      <c r="C68" s="803" t="s">
        <v>134</v>
      </c>
      <c r="D68" s="1026" t="str">
        <f>IF(D24&lt;&gt;0,D24,IF(D46&lt;&gt;0,D46,D62))</f>
        <v>REVER</v>
      </c>
      <c r="E68" s="1546" t="s">
        <v>336</v>
      </c>
      <c r="F68" s="1548"/>
      <c r="G68" s="1276">
        <f>IF('FICHA FUNCIONAL'!E20=0,0,IF(OR(G62="REVER",G62=0),G47,G62))</f>
        <v>0</v>
      </c>
      <c r="H68" s="808">
        <f>CRÍTICA_IGP1!F61</f>
        <v>0</v>
      </c>
      <c r="I68" s="1455"/>
      <c r="J68" s="793">
        <f>IF(H68&gt;0,ROUNDDOWN(H68/365,0),0)</f>
        <v>0</v>
      </c>
      <c r="K68" s="800" t="s">
        <v>125</v>
      </c>
      <c r="L68" s="801"/>
      <c r="M68" s="792">
        <f>(H68/365-J68)*365</f>
        <v>0</v>
      </c>
      <c r="N68" s="802" t="s">
        <v>126</v>
      </c>
      <c r="O68" s="1393"/>
      <c r="P68" s="438"/>
      <c r="Q68" s="521"/>
      <c r="R68" s="524"/>
      <c r="S68" s="524"/>
      <c r="T68" s="524"/>
      <c r="U68" s="524"/>
      <c r="V68" s="524"/>
      <c r="W68" s="524"/>
      <c r="X68" s="524"/>
      <c r="Y68" s="524"/>
      <c r="Z68" s="524"/>
      <c r="AA68" s="524"/>
      <c r="AB68" s="524"/>
      <c r="AC68" s="524"/>
      <c r="AD68" s="524"/>
      <c r="AE68" s="474"/>
      <c r="AF68" s="474"/>
      <c r="AG68" s="474"/>
      <c r="AH68" s="473"/>
      <c r="BB68" s="477"/>
    </row>
    <row r="69" spans="2:54" ht="6" customHeight="1" thickBot="1" x14ac:dyDescent="0.2">
      <c r="B69" s="1392"/>
      <c r="C69" s="1393"/>
      <c r="D69" s="1393"/>
      <c r="E69" s="1393"/>
      <c r="F69" s="1393"/>
      <c r="G69" s="1393"/>
      <c r="H69" s="1393"/>
      <c r="I69" s="1393"/>
      <c r="J69" s="1393"/>
      <c r="K69" s="1393"/>
      <c r="L69" s="1393"/>
      <c r="M69" s="1393"/>
      <c r="N69" s="1393"/>
      <c r="O69" s="1393"/>
      <c r="P69" s="515"/>
      <c r="AD69" s="473"/>
      <c r="AE69" s="474"/>
      <c r="AF69" s="474"/>
      <c r="AG69" s="474"/>
      <c r="AH69" s="473"/>
      <c r="BB69" s="477"/>
    </row>
    <row r="70" spans="2:54" ht="18.75" thickTop="1" x14ac:dyDescent="0.2">
      <c r="B70" s="1392">
        <v>24</v>
      </c>
      <c r="C70" s="1563" t="s">
        <v>138</v>
      </c>
      <c r="D70" s="1564"/>
      <c r="E70" s="1564"/>
      <c r="F70" s="1564"/>
      <c r="G70" s="1564"/>
      <c r="H70" s="1564"/>
      <c r="I70" s="1564"/>
      <c r="J70" s="1564"/>
      <c r="K70" s="1564"/>
      <c r="L70" s="1564"/>
      <c r="M70" s="1564"/>
      <c r="N70" s="1565"/>
      <c r="O70" s="1393"/>
      <c r="P70" s="438"/>
      <c r="Q70" s="521"/>
      <c r="AE70" s="474"/>
      <c r="AF70" s="474"/>
      <c r="AG70" s="474"/>
      <c r="AH70" s="473"/>
      <c r="BB70" s="477"/>
    </row>
    <row r="71" spans="2:54" ht="6" customHeight="1" x14ac:dyDescent="0.15">
      <c r="B71" s="1392"/>
      <c r="C71" s="1446"/>
      <c r="D71" s="1447"/>
      <c r="E71" s="1420"/>
      <c r="F71" s="1420"/>
      <c r="G71" s="1420"/>
      <c r="H71" s="1420"/>
      <c r="I71" s="1420"/>
      <c r="J71" s="1420"/>
      <c r="K71" s="1420"/>
      <c r="L71" s="1420"/>
      <c r="M71" s="1420"/>
      <c r="N71" s="1448"/>
      <c r="O71" s="1393"/>
      <c r="P71" s="440"/>
      <c r="Q71" s="521"/>
      <c r="R71" s="525"/>
      <c r="S71" s="525"/>
      <c r="T71" s="525"/>
      <c r="U71" s="525"/>
      <c r="V71" s="525"/>
      <c r="W71" s="525"/>
      <c r="X71" s="525"/>
      <c r="Y71" s="525"/>
      <c r="Z71" s="525"/>
      <c r="AA71" s="525"/>
      <c r="AB71" s="525"/>
      <c r="AC71" s="525"/>
      <c r="AD71" s="525"/>
      <c r="AE71" s="474"/>
      <c r="AF71" s="474"/>
      <c r="AG71" s="474"/>
      <c r="AH71" s="473"/>
      <c r="BA71" s="457"/>
      <c r="BB71" s="556"/>
    </row>
    <row r="72" spans="2:54" x14ac:dyDescent="0.15">
      <c r="B72" s="1392"/>
      <c r="C72" s="1596"/>
      <c r="D72" s="1597"/>
      <c r="E72" s="1420"/>
      <c r="F72" s="1546" t="s">
        <v>333</v>
      </c>
      <c r="G72" s="1547"/>
      <c r="H72" s="1548"/>
      <c r="I72" s="1450"/>
      <c r="J72" s="1568" t="s">
        <v>124</v>
      </c>
      <c r="K72" s="1568"/>
      <c r="L72" s="1568"/>
      <c r="M72" s="1568"/>
      <c r="N72" s="1598"/>
      <c r="O72" s="1393"/>
      <c r="AD72" s="473"/>
      <c r="AE72" s="474"/>
      <c r="AF72" s="474"/>
      <c r="AG72" s="474"/>
      <c r="AH72" s="473"/>
      <c r="BA72" s="457"/>
      <c r="BB72" s="556"/>
    </row>
    <row r="73" spans="2:54" ht="13.5" x14ac:dyDescent="0.15">
      <c r="B73" s="1392">
        <v>25</v>
      </c>
      <c r="C73" s="1594" t="s">
        <v>129</v>
      </c>
      <c r="D73" s="1595"/>
      <c r="E73" s="1402"/>
      <c r="F73" s="1599" t="e">
        <f>IF(OR(CRÍTICA_IGP1!C65&gt;0,CRÍTICA_IGP1!E65&gt;0),CRÍTICA_IGP1!E65,MAX(CRÍTICA_IGP1!X97:X101))</f>
        <v>#VALUE!</v>
      </c>
      <c r="G73" s="1600"/>
      <c r="H73" s="1601"/>
      <c r="I73" s="1451"/>
      <c r="J73" s="939" t="e">
        <f>IF(OR(F73="NADA A CUMPRIR",F73="NÃO CABE",F73="NÃO CUMPRE TEMPO MÍNIMO DE CONTRIBUIÇÃO"),0,ROUNDDOWN($F$73/365,0))</f>
        <v>#VALUE!</v>
      </c>
      <c r="K73" s="1595" t="s">
        <v>125</v>
      </c>
      <c r="L73" s="1595"/>
      <c r="M73" s="939" t="e">
        <f>IF(OR(F73="NADA A CUMPRIR",F73="NÃO CABE",F73="NÃO CUMPRE TEMPO MÍNIMO DE CONTRIBUIÇÃO"),0,($F$73/365-$J$73)*365)</f>
        <v>#VALUE!</v>
      </c>
      <c r="N73" s="983" t="s">
        <v>126</v>
      </c>
      <c r="O73" s="1393"/>
      <c r="Q73" s="521"/>
      <c r="AB73" s="524"/>
      <c r="AD73" s="473"/>
      <c r="AE73" s="456"/>
      <c r="AF73" s="456"/>
      <c r="AG73" s="456"/>
      <c r="AY73" s="457"/>
      <c r="AZ73" s="457"/>
      <c r="BA73" s="457"/>
      <c r="BB73" s="556"/>
    </row>
    <row r="74" spans="2:54" ht="6" customHeight="1" thickBot="1" x14ac:dyDescent="0.2">
      <c r="B74" s="1392"/>
      <c r="C74" s="1449"/>
      <c r="D74" s="1420"/>
      <c r="E74" s="1420"/>
      <c r="F74" s="1420"/>
      <c r="G74" s="1420"/>
      <c r="H74" s="1420"/>
      <c r="I74" s="1420"/>
      <c r="J74" s="1420"/>
      <c r="K74" s="1420"/>
      <c r="L74" s="1420"/>
      <c r="M74" s="1420"/>
      <c r="N74" s="1448"/>
      <c r="O74" s="1393"/>
      <c r="Q74" s="523"/>
      <c r="AD74" s="473"/>
      <c r="AE74" s="456"/>
      <c r="AF74" s="456"/>
      <c r="AG74" s="456"/>
      <c r="BA74" s="457"/>
      <c r="BB74" s="556"/>
    </row>
    <row r="75" spans="2:54" ht="15" thickBot="1" x14ac:dyDescent="0.2">
      <c r="B75" s="1392">
        <v>26</v>
      </c>
      <c r="C75" s="1009" t="s">
        <v>165</v>
      </c>
      <c r="D75" s="1420"/>
      <c r="E75" s="1420"/>
      <c r="F75" s="1420"/>
      <c r="G75" s="1420"/>
      <c r="H75" s="1420"/>
      <c r="I75" s="1420"/>
      <c r="J75" s="1452" t="str">
        <f>IF($N$8&gt;0,"ADICIONAL POR TEMPO DE SERVIÇO","")</f>
        <v>ADICIONAL POR TEMPO DE SERVIÇO</v>
      </c>
      <c r="K75" s="1453"/>
      <c r="L75" s="1453"/>
      <c r="M75" s="1453"/>
      <c r="N75" s="1454">
        <f>IF($N$8&gt;0,CRÍTICA_IGP1!$I$67,"")</f>
        <v>0</v>
      </c>
      <c r="O75" s="1393"/>
      <c r="Q75" s="521"/>
      <c r="R75" s="524"/>
      <c r="S75" s="524"/>
      <c r="T75" s="524"/>
      <c r="U75" s="524"/>
      <c r="V75" s="524"/>
      <c r="W75" s="524"/>
      <c r="X75" s="524"/>
      <c r="Y75" s="524"/>
      <c r="Z75" s="524"/>
      <c r="AA75" s="524"/>
      <c r="AB75" s="524"/>
      <c r="AC75" s="524"/>
      <c r="AD75" s="473"/>
      <c r="AE75" s="456"/>
      <c r="AF75" s="456"/>
      <c r="AG75" s="456"/>
      <c r="AT75" s="524"/>
      <c r="AU75" s="524"/>
      <c r="AV75" s="524"/>
      <c r="AW75" s="524"/>
      <c r="AX75" s="524"/>
      <c r="AY75" s="524"/>
      <c r="AZ75" s="524"/>
      <c r="BA75" s="457"/>
      <c r="BB75" s="457"/>
    </row>
    <row r="76" spans="2:54" ht="13.5" x14ac:dyDescent="0.15">
      <c r="B76" s="1392"/>
      <c r="C76" s="1010" t="s">
        <v>111</v>
      </c>
      <c r="D76" s="1005"/>
      <c r="E76" s="1005"/>
      <c r="F76" s="1005"/>
      <c r="G76" s="1005"/>
      <c r="H76" s="1006"/>
      <c r="I76" s="1007"/>
      <c r="J76" s="1005" t="s">
        <v>148</v>
      </c>
      <c r="K76" s="1005"/>
      <c r="L76" s="1008" t="str">
        <f>CRÍTICA_IGP1!N75</f>
        <v>NÃO CABE</v>
      </c>
      <c r="M76" s="1005"/>
      <c r="N76" s="1011"/>
      <c r="O76" s="1393"/>
      <c r="P76" s="545"/>
      <c r="Q76" s="445"/>
      <c r="R76" s="437"/>
      <c r="T76" s="446"/>
      <c r="U76" s="445"/>
      <c r="V76" s="446"/>
      <c r="W76" s="445"/>
      <c r="X76" s="446"/>
      <c r="Y76" s="435"/>
      <c r="Z76" s="557"/>
      <c r="AA76" s="512"/>
      <c r="AB76" s="435"/>
      <c r="AC76" s="435"/>
      <c r="AD76" s="473"/>
      <c r="AE76" s="474"/>
      <c r="AF76" s="474"/>
      <c r="AG76" s="474"/>
      <c r="AH76" s="473"/>
      <c r="AY76" s="457"/>
      <c r="AZ76" s="457"/>
      <c r="BA76" s="457"/>
      <c r="BB76" s="457"/>
    </row>
    <row r="77" spans="2:54" ht="13.5" x14ac:dyDescent="0.15">
      <c r="B77" s="1392"/>
      <c r="C77" s="1012" t="b">
        <f>CRÍTICA_IGP1!E70</f>
        <v>0</v>
      </c>
      <c r="D77" s="1000"/>
      <c r="E77" s="1000"/>
      <c r="F77" s="1000"/>
      <c r="G77" s="1000"/>
      <c r="H77" s="1001"/>
      <c r="I77" s="1002"/>
      <c r="J77" s="1000" t="str">
        <f>CRÍTICA_IGP1!K76</f>
        <v>ANTES MP 167/04</v>
      </c>
      <c r="K77" s="1000"/>
      <c r="L77" s="1003">
        <f>CRÍTICA_IGP1!N76</f>
        <v>0</v>
      </c>
      <c r="M77" s="1000"/>
      <c r="N77" s="1013"/>
      <c r="O77" s="1393"/>
      <c r="P77" s="515"/>
      <c r="AD77" s="473"/>
      <c r="AE77" s="474"/>
      <c r="AF77" s="474"/>
      <c r="AG77" s="474"/>
      <c r="AH77" s="473"/>
      <c r="AY77" s="457"/>
      <c r="AZ77" s="457"/>
      <c r="BA77" s="457"/>
      <c r="BB77" s="457"/>
    </row>
    <row r="78" spans="2:54" ht="3" customHeight="1" x14ac:dyDescent="0.15">
      <c r="B78" s="1392"/>
      <c r="C78" s="1014"/>
      <c r="D78" s="988"/>
      <c r="E78" s="988"/>
      <c r="F78" s="988"/>
      <c r="G78" s="988"/>
      <c r="H78" s="988"/>
      <c r="I78" s="988"/>
      <c r="J78" s="988"/>
      <c r="K78" s="988"/>
      <c r="L78" s="989"/>
      <c r="M78" s="988"/>
      <c r="N78" s="1015"/>
      <c r="O78" s="1393"/>
      <c r="P78" s="515"/>
      <c r="AD78" s="473"/>
      <c r="AE78" s="474"/>
      <c r="AF78" s="474"/>
      <c r="AG78" s="474"/>
      <c r="AH78" s="473"/>
      <c r="AY78" s="457"/>
      <c r="AZ78" s="457"/>
      <c r="BA78" s="457"/>
      <c r="BB78" s="457"/>
    </row>
    <row r="79" spans="2:54" ht="13.5" x14ac:dyDescent="0.15">
      <c r="B79" s="1392"/>
      <c r="C79" s="1016" t="s">
        <v>151</v>
      </c>
      <c r="D79" s="986"/>
      <c r="E79" s="986"/>
      <c r="F79" s="986"/>
      <c r="G79" s="986"/>
      <c r="H79" s="999"/>
      <c r="I79" s="998"/>
      <c r="J79" s="1004" t="s">
        <v>152</v>
      </c>
      <c r="K79" s="986"/>
      <c r="L79" s="986"/>
      <c r="M79" s="986"/>
      <c r="N79" s="1017"/>
      <c r="O79" s="1393"/>
      <c r="P79" s="545"/>
      <c r="Q79" s="521"/>
      <c r="AD79" s="473"/>
      <c r="AE79" s="474"/>
      <c r="AF79" s="474"/>
      <c r="AG79" s="474"/>
      <c r="AH79" s="473"/>
      <c r="AY79" s="457"/>
      <c r="AZ79" s="457"/>
      <c r="BA79" s="457"/>
      <c r="BB79" s="457"/>
    </row>
    <row r="80" spans="2:54" ht="13.5" x14ac:dyDescent="0.15">
      <c r="B80" s="1392"/>
      <c r="C80" s="1018" t="e">
        <f>IF(OR(F73="NADA A CUMPRIR",F73="NÃO CABE",F73=0),"NÃO HÁ TEMPO A CUMPRIR","NÃO COMPUTA TEMPO DE CONTRIBUIÇÃO/SERVIÇO")</f>
        <v>#VALUE!</v>
      </c>
      <c r="D80" s="1000"/>
      <c r="E80" s="1000"/>
      <c r="F80" s="1000"/>
      <c r="G80" s="1000"/>
      <c r="H80" s="1001"/>
      <c r="I80" s="1002"/>
      <c r="J80" s="1592" t="str">
        <f>CRÍTICA_IGP1!AB22</f>
        <v>NÃO SATISFAZ TEMPO DE CONTRIBUIÇÃO E/OU IDADE</v>
      </c>
      <c r="K80" s="1592"/>
      <c r="L80" s="1592"/>
      <c r="M80" s="1592"/>
      <c r="N80" s="1593"/>
      <c r="O80" s="1393"/>
      <c r="P80" s="545"/>
      <c r="Q80" s="521"/>
      <c r="AD80" s="473"/>
      <c r="AE80" s="474"/>
      <c r="AF80" s="474"/>
      <c r="AG80" s="474"/>
      <c r="AH80" s="473"/>
      <c r="AY80" s="457"/>
      <c r="AZ80" s="457"/>
      <c r="BA80" s="457"/>
      <c r="BB80" s="457"/>
    </row>
    <row r="81" spans="2:54" ht="3" customHeight="1" x14ac:dyDescent="0.15">
      <c r="B81" s="1392"/>
      <c r="C81" s="1019"/>
      <c r="D81" s="988"/>
      <c r="E81" s="988"/>
      <c r="F81" s="988"/>
      <c r="G81" s="988"/>
      <c r="H81" s="988"/>
      <c r="I81" s="988"/>
      <c r="J81" s="988"/>
      <c r="K81" s="988"/>
      <c r="L81" s="988"/>
      <c r="M81" s="988"/>
      <c r="N81" s="1015"/>
      <c r="O81" s="1393"/>
      <c r="P81" s="545"/>
      <c r="Q81" s="521"/>
      <c r="AD81" s="473"/>
      <c r="AE81" s="474"/>
      <c r="AF81" s="474"/>
      <c r="AG81" s="474"/>
      <c r="AH81" s="473"/>
      <c r="AY81" s="457"/>
      <c r="AZ81" s="457"/>
      <c r="BA81" s="457"/>
      <c r="BB81" s="457"/>
    </row>
    <row r="82" spans="2:54" ht="13.5" x14ac:dyDescent="0.15">
      <c r="B82" s="1392"/>
      <c r="C82" s="1016" t="s">
        <v>150</v>
      </c>
      <c r="D82" s="986"/>
      <c r="E82" s="986"/>
      <c r="F82" s="986"/>
      <c r="G82" s="986"/>
      <c r="H82" s="999"/>
      <c r="I82" s="998"/>
      <c r="J82" s="986" t="s">
        <v>149</v>
      </c>
      <c r="K82" s="986"/>
      <c r="L82" s="987" t="str">
        <f>CRÍTICA_IGP1!N77</f>
        <v>NÃO CABE</v>
      </c>
      <c r="M82" s="986"/>
      <c r="N82" s="1017"/>
      <c r="O82" s="1393"/>
      <c r="P82" s="545"/>
      <c r="Q82" s="521"/>
      <c r="AD82" s="473"/>
      <c r="AE82" s="474"/>
      <c r="AF82" s="474"/>
      <c r="AG82" s="474"/>
      <c r="AH82" s="473"/>
      <c r="AY82" s="457"/>
      <c r="AZ82" s="457"/>
      <c r="BA82" s="457"/>
      <c r="BB82" s="457"/>
    </row>
    <row r="83" spans="2:54" thickBot="1" x14ac:dyDescent="0.2">
      <c r="B83" s="1392"/>
      <c r="C83" s="1020" t="str">
        <f>CRÍTICA_IGP1!D73</f>
        <v>REVER FUNDAMENTAÇÃO E/OU MODALIDADE</v>
      </c>
      <c r="D83" s="1021"/>
      <c r="E83" s="1021"/>
      <c r="F83" s="1021"/>
      <c r="G83" s="1021"/>
      <c r="H83" s="1022"/>
      <c r="I83" s="1023"/>
      <c r="J83" s="1021" t="str">
        <f>CRÍTICA_IGP1!K78</f>
        <v>APÓS MP 167/04</v>
      </c>
      <c r="K83" s="1021"/>
      <c r="L83" s="1024">
        <f>CRÍTICA_IGP1!N78</f>
        <v>0</v>
      </c>
      <c r="M83" s="1021"/>
      <c r="N83" s="1025"/>
      <c r="O83" s="1393"/>
      <c r="P83" s="545"/>
      <c r="Q83" s="521"/>
      <c r="R83" s="524"/>
      <c r="S83" s="524"/>
      <c r="T83" s="524"/>
      <c r="U83" s="524"/>
      <c r="V83" s="524"/>
      <c r="W83" s="524"/>
      <c r="X83" s="524"/>
      <c r="Y83" s="524"/>
      <c r="Z83" s="524"/>
      <c r="AA83" s="524"/>
      <c r="AB83" s="524"/>
      <c r="AC83" s="524"/>
      <c r="AD83" s="473"/>
      <c r="AE83" s="474"/>
      <c r="AF83" s="474"/>
      <c r="AG83" s="474"/>
      <c r="AH83" s="473"/>
      <c r="AY83" s="457"/>
      <c r="AZ83" s="457"/>
      <c r="BA83" s="457"/>
      <c r="BB83" s="457"/>
    </row>
    <row r="84" spans="2:54" ht="18.75" thickTop="1" x14ac:dyDescent="0.2">
      <c r="B84" s="1392"/>
      <c r="C84" s="1569" t="s">
        <v>23</v>
      </c>
      <c r="D84" s="1569"/>
      <c r="E84" s="1569"/>
      <c r="F84" s="1569"/>
      <c r="G84" s="1569"/>
      <c r="H84" s="1569"/>
      <c r="I84" s="1569"/>
      <c r="J84" s="1569"/>
      <c r="K84" s="1569"/>
      <c r="L84" s="1569"/>
      <c r="M84" s="1569"/>
      <c r="N84" s="1569"/>
      <c r="O84" s="1393"/>
      <c r="P84" s="545"/>
      <c r="AD84" s="473"/>
      <c r="AE84" s="474"/>
      <c r="AF84" s="474"/>
      <c r="AG84" s="474"/>
      <c r="AH84" s="473"/>
      <c r="AY84" s="457"/>
      <c r="AZ84" s="457"/>
      <c r="BA84" s="457"/>
      <c r="BB84" s="457"/>
    </row>
    <row r="85" spans="2:54" x14ac:dyDescent="0.15">
      <c r="B85" s="972"/>
      <c r="C85" s="967" t="s">
        <v>32</v>
      </c>
      <c r="D85" s="967"/>
      <c r="E85" s="973"/>
      <c r="F85" s="515"/>
      <c r="G85" s="967"/>
      <c r="H85" s="230"/>
      <c r="I85" s="967" t="s">
        <v>33</v>
      </c>
      <c r="J85" s="230"/>
      <c r="K85" s="2"/>
      <c r="L85" s="230"/>
      <c r="M85" s="230"/>
      <c r="N85" s="974"/>
      <c r="O85" s="278"/>
      <c r="P85" s="545"/>
      <c r="Q85" s="521"/>
      <c r="AD85" s="473"/>
      <c r="AE85" s="474"/>
      <c r="AF85" s="474"/>
      <c r="AG85" s="474"/>
      <c r="AH85" s="473"/>
      <c r="AY85" s="457"/>
      <c r="AZ85" s="457"/>
      <c r="BA85" s="457"/>
      <c r="BB85" s="457"/>
    </row>
    <row r="86" spans="2:54" hidden="1" x14ac:dyDescent="0.15">
      <c r="B86" s="420"/>
      <c r="C86" s="25" t="s">
        <v>527</v>
      </c>
      <c r="D86" s="759" t="s">
        <v>446</v>
      </c>
      <c r="E86" s="759"/>
      <c r="F86" s="759"/>
      <c r="G86" s="459"/>
      <c r="H86" s="459"/>
      <c r="I86" s="766"/>
      <c r="J86" s="414"/>
      <c r="K86" s="414"/>
      <c r="L86" s="424"/>
      <c r="M86" s="517"/>
      <c r="N86" s="517"/>
      <c r="O86" s="490"/>
      <c r="P86" s="545"/>
      <c r="Q86" s="521"/>
      <c r="R86" s="524"/>
      <c r="S86" s="524"/>
      <c r="T86" s="524"/>
      <c r="U86" s="524"/>
      <c r="V86" s="524"/>
      <c r="W86" s="524"/>
      <c r="X86" s="524"/>
      <c r="Y86" s="524"/>
      <c r="Z86" s="524"/>
      <c r="AA86" s="524"/>
      <c r="AB86" s="524"/>
      <c r="AC86" s="524"/>
      <c r="AD86" s="473"/>
      <c r="AE86" s="474"/>
      <c r="AF86" s="474"/>
      <c r="AG86" s="474"/>
      <c r="AH86" s="473"/>
      <c r="AY86" s="457"/>
      <c r="AZ86" s="457"/>
      <c r="BA86" s="457"/>
      <c r="BB86" s="457"/>
    </row>
    <row r="87" spans="2:54" hidden="1" x14ac:dyDescent="0.15">
      <c r="B87" s="420"/>
      <c r="C87" s="14" t="s">
        <v>613</v>
      </c>
      <c r="D87" s="759" t="s">
        <v>447</v>
      </c>
      <c r="E87" s="759"/>
      <c r="F87" s="759"/>
      <c r="G87" s="459"/>
      <c r="H87" s="459"/>
      <c r="I87" s="766"/>
      <c r="J87" s="414"/>
      <c r="K87" s="414"/>
      <c r="L87" s="424"/>
      <c r="M87" s="424"/>
      <c r="N87" s="491"/>
      <c r="O87" s="519"/>
      <c r="P87" s="545"/>
      <c r="Q87" s="445"/>
      <c r="R87" s="437"/>
      <c r="T87" s="446"/>
      <c r="U87" s="445"/>
      <c r="V87" s="446"/>
      <c r="W87" s="445"/>
      <c r="X87" s="446"/>
      <c r="Y87" s="435"/>
      <c r="Z87" s="557"/>
      <c r="AA87" s="512"/>
      <c r="AB87" s="435"/>
      <c r="AC87" s="435"/>
      <c r="AD87" s="473"/>
      <c r="AE87" s="474"/>
      <c r="AF87" s="474"/>
      <c r="AG87" s="474"/>
      <c r="AH87" s="473"/>
      <c r="AY87" s="457"/>
      <c r="AZ87" s="457"/>
      <c r="BA87" s="457"/>
      <c r="BB87" s="457"/>
    </row>
    <row r="88" spans="2:54" hidden="1" x14ac:dyDescent="0.15">
      <c r="B88" s="420"/>
      <c r="C88" s="14" t="s">
        <v>547</v>
      </c>
      <c r="D88" s="759" t="str">
        <f>IF(OR(H42&lt;&gt;0,H58&lt;&gt;0),"NÃO CABE","")</f>
        <v/>
      </c>
      <c r="E88" s="759"/>
      <c r="F88" s="759"/>
      <c r="G88" s="459"/>
      <c r="H88" s="459"/>
      <c r="I88" s="766"/>
      <c r="J88" s="414"/>
      <c r="K88" s="414"/>
      <c r="L88" s="424"/>
      <c r="M88" s="424"/>
      <c r="N88" s="491"/>
      <c r="O88" s="519"/>
      <c r="P88" s="545"/>
      <c r="Q88" s="445"/>
      <c r="R88" s="437"/>
      <c r="T88" s="446"/>
      <c r="U88" s="445"/>
      <c r="V88" s="446"/>
      <c r="W88" s="445"/>
      <c r="X88" s="446"/>
      <c r="Y88" s="435"/>
      <c r="Z88" s="557"/>
      <c r="AA88" s="512"/>
      <c r="AB88" s="435"/>
      <c r="AC88" s="435"/>
      <c r="AD88" s="473"/>
      <c r="AE88" s="474"/>
      <c r="AF88" s="474"/>
      <c r="AG88" s="474"/>
      <c r="AH88" s="473"/>
      <c r="AY88" s="457"/>
      <c r="AZ88" s="457"/>
      <c r="BA88" s="457"/>
      <c r="BB88" s="457"/>
    </row>
    <row r="89" spans="2:54" hidden="1" x14ac:dyDescent="0.15">
      <c r="B89" s="420"/>
      <c r="C89" s="14" t="s">
        <v>702</v>
      </c>
      <c r="D89" s="759"/>
      <c r="E89" s="759"/>
      <c r="F89" s="759"/>
      <c r="G89" s="459"/>
      <c r="H89" s="459"/>
      <c r="I89" s="766"/>
      <c r="J89" s="414"/>
      <c r="K89" s="414"/>
      <c r="L89" s="424"/>
      <c r="M89" s="424"/>
      <c r="N89" s="491"/>
      <c r="O89" s="519"/>
      <c r="P89" s="545"/>
      <c r="Q89" s="445"/>
      <c r="R89" s="437"/>
      <c r="T89" s="446"/>
      <c r="U89" s="445"/>
      <c r="V89" s="446"/>
      <c r="W89" s="445"/>
      <c r="X89" s="446"/>
      <c r="Y89" s="435"/>
      <c r="Z89" s="557"/>
      <c r="AA89" s="512"/>
      <c r="AB89" s="435"/>
      <c r="AC89" s="435"/>
      <c r="AD89" s="473"/>
      <c r="AE89" s="474"/>
      <c r="AF89" s="474"/>
      <c r="AG89" s="474"/>
      <c r="AH89" s="473"/>
      <c r="AY89" s="457"/>
      <c r="AZ89" s="457"/>
      <c r="BA89" s="457"/>
      <c r="BB89" s="457"/>
    </row>
    <row r="90" spans="2:54" hidden="1" x14ac:dyDescent="0.15">
      <c r="B90" s="420"/>
      <c r="C90" s="454"/>
      <c r="D90" s="759"/>
      <c r="E90" s="759"/>
      <c r="F90" s="759"/>
      <c r="G90" s="459"/>
      <c r="H90" s="459"/>
      <c r="I90" s="766"/>
      <c r="J90" s="414"/>
      <c r="K90" s="414"/>
      <c r="L90" s="424"/>
      <c r="M90" s="424"/>
      <c r="N90" s="491"/>
      <c r="O90" s="519"/>
      <c r="P90" s="545"/>
      <c r="Q90" s="445"/>
      <c r="R90" s="437"/>
      <c r="T90" s="446"/>
      <c r="U90" s="445"/>
      <c r="V90" s="446"/>
      <c r="W90" s="445"/>
      <c r="X90" s="446"/>
      <c r="Y90" s="435"/>
      <c r="Z90" s="557"/>
      <c r="AA90" s="512"/>
      <c r="AB90" s="435"/>
      <c r="AC90" s="435"/>
      <c r="AD90" s="473"/>
      <c r="AE90" s="474"/>
      <c r="AF90" s="474"/>
      <c r="AG90" s="474"/>
      <c r="AH90" s="473"/>
      <c r="AY90" s="457"/>
      <c r="AZ90" s="457"/>
      <c r="BA90" s="457"/>
      <c r="BB90" s="457"/>
    </row>
    <row r="91" spans="2:54" hidden="1" x14ac:dyDescent="0.15">
      <c r="B91" s="420"/>
      <c r="C91" s="454"/>
      <c r="D91" s="759"/>
      <c r="E91" s="759"/>
      <c r="F91" s="759"/>
      <c r="G91" s="459"/>
      <c r="H91" s="459"/>
      <c r="I91" s="766"/>
      <c r="J91" s="414"/>
      <c r="K91" s="414"/>
      <c r="L91" s="424"/>
      <c r="M91" s="424"/>
      <c r="N91" s="491"/>
      <c r="O91" s="519"/>
      <c r="P91" s="545"/>
      <c r="Q91" s="445"/>
      <c r="R91" s="437"/>
      <c r="T91" s="446"/>
      <c r="U91" s="445"/>
      <c r="V91" s="446"/>
      <c r="W91" s="445"/>
      <c r="X91" s="446"/>
      <c r="Y91" s="435"/>
      <c r="Z91" s="557"/>
      <c r="AA91" s="512"/>
      <c r="AB91" s="435"/>
      <c r="AC91" s="435"/>
      <c r="AD91" s="473"/>
      <c r="AE91" s="474"/>
      <c r="AF91" s="474"/>
      <c r="AG91" s="474"/>
      <c r="AH91" s="473"/>
      <c r="AY91" s="457"/>
      <c r="AZ91" s="457"/>
      <c r="BA91" s="457"/>
      <c r="BB91" s="457"/>
    </row>
    <row r="92" spans="2:54" hidden="1" x14ac:dyDescent="0.15">
      <c r="B92" s="420"/>
      <c r="C92" s="454"/>
      <c r="D92" s="759"/>
      <c r="E92" s="759"/>
      <c r="F92" s="759"/>
      <c r="G92" s="459"/>
      <c r="H92" s="459"/>
      <c r="I92" s="766"/>
      <c r="J92" s="414"/>
      <c r="K92" s="414"/>
      <c r="L92" s="424"/>
      <c r="M92" s="424"/>
      <c r="N92" s="491"/>
      <c r="O92" s="519"/>
      <c r="P92" s="545"/>
      <c r="Q92" s="445"/>
      <c r="R92" s="437"/>
      <c r="T92" s="446"/>
      <c r="U92" s="445"/>
      <c r="V92" s="446"/>
      <c r="W92" s="445"/>
      <c r="X92" s="446"/>
      <c r="Y92" s="435"/>
      <c r="Z92" s="557"/>
      <c r="AA92" s="512"/>
      <c r="AB92" s="435"/>
      <c r="AC92" s="435"/>
      <c r="AD92" s="473"/>
      <c r="AE92" s="474"/>
      <c r="AF92" s="474"/>
      <c r="AG92" s="474"/>
      <c r="AH92" s="473"/>
      <c r="AY92" s="457"/>
      <c r="AZ92" s="457"/>
      <c r="BA92" s="457"/>
      <c r="BB92" s="457"/>
    </row>
    <row r="93" spans="2:54" hidden="1" x14ac:dyDescent="0.15">
      <c r="B93" s="420"/>
      <c r="C93" s="454"/>
      <c r="D93" s="759"/>
      <c r="E93" s="759"/>
      <c r="F93" s="759"/>
      <c r="G93" s="459"/>
      <c r="H93" s="459"/>
      <c r="I93" s="766"/>
      <c r="J93" s="414"/>
      <c r="K93" s="414"/>
      <c r="L93" s="424"/>
      <c r="M93" s="424"/>
      <c r="N93" s="491"/>
      <c r="O93" s="519"/>
      <c r="P93" s="545"/>
      <c r="Q93" s="445"/>
      <c r="R93" s="437"/>
      <c r="T93" s="446"/>
      <c r="U93" s="445"/>
      <c r="V93" s="446"/>
      <c r="W93" s="445"/>
      <c r="X93" s="446"/>
      <c r="Y93" s="435"/>
      <c r="Z93" s="557"/>
      <c r="AA93" s="512"/>
      <c r="AB93" s="435"/>
      <c r="AC93" s="435"/>
      <c r="AD93" s="473"/>
      <c r="AE93" s="474"/>
      <c r="AF93" s="474"/>
      <c r="AG93" s="474"/>
      <c r="AH93" s="473"/>
      <c r="AY93" s="457"/>
      <c r="AZ93" s="457"/>
      <c r="BA93" s="457"/>
      <c r="BB93" s="457"/>
    </row>
    <row r="94" spans="2:54" hidden="1" x14ac:dyDescent="0.15">
      <c r="B94" s="420"/>
      <c r="C94" s="454"/>
      <c r="D94" s="759"/>
      <c r="E94" s="759"/>
      <c r="F94" s="759"/>
      <c r="G94" s="459"/>
      <c r="H94" s="459"/>
      <c r="I94" s="766"/>
      <c r="J94" s="414"/>
      <c r="K94" s="414"/>
      <c r="L94" s="424"/>
      <c r="M94" s="424"/>
      <c r="N94" s="491"/>
      <c r="O94" s="519"/>
      <c r="P94" s="545"/>
      <c r="Q94" s="445"/>
      <c r="R94" s="437"/>
      <c r="T94" s="446"/>
      <c r="U94" s="445"/>
      <c r="V94" s="446"/>
      <c r="W94" s="445"/>
      <c r="X94" s="446"/>
      <c r="Y94" s="435"/>
      <c r="Z94" s="557"/>
      <c r="AA94" s="512"/>
      <c r="AB94" s="435"/>
      <c r="AC94" s="435"/>
      <c r="AD94" s="473"/>
      <c r="AE94" s="474"/>
      <c r="AF94" s="474"/>
      <c r="AG94" s="474"/>
      <c r="AH94" s="473"/>
      <c r="AY94" s="457"/>
      <c r="AZ94" s="457"/>
      <c r="BA94" s="457"/>
      <c r="BB94" s="457"/>
    </row>
    <row r="95" spans="2:54" hidden="1" x14ac:dyDescent="0.15">
      <c r="B95" s="420"/>
      <c r="C95" s="454"/>
      <c r="D95" s="759"/>
      <c r="E95" s="759"/>
      <c r="F95" s="759"/>
      <c r="G95" s="459"/>
      <c r="H95" s="459"/>
      <c r="I95" s="766"/>
      <c r="J95" s="414"/>
      <c r="K95" s="414"/>
      <c r="L95" s="424"/>
      <c r="M95" s="424"/>
      <c r="N95" s="491"/>
      <c r="O95" s="519"/>
      <c r="P95" s="545"/>
      <c r="Q95" s="445"/>
      <c r="R95" s="437"/>
      <c r="T95" s="446"/>
      <c r="U95" s="445"/>
      <c r="V95" s="446"/>
      <c r="W95" s="445"/>
      <c r="X95" s="446"/>
      <c r="Y95" s="435"/>
      <c r="Z95" s="557"/>
      <c r="AA95" s="512"/>
      <c r="AB95" s="435"/>
      <c r="AC95" s="435"/>
      <c r="AD95" s="473"/>
      <c r="AE95" s="474"/>
      <c r="AF95" s="474"/>
      <c r="AG95" s="474"/>
      <c r="AH95" s="473"/>
      <c r="AY95" s="457"/>
      <c r="AZ95" s="457"/>
      <c r="BA95" s="457"/>
      <c r="BB95" s="457"/>
    </row>
    <row r="96" spans="2:54" hidden="1" x14ac:dyDescent="0.15">
      <c r="B96" s="420"/>
      <c r="C96" s="454"/>
      <c r="D96" s="759"/>
      <c r="E96" s="759"/>
      <c r="F96" s="759"/>
      <c r="G96" s="459"/>
      <c r="H96" s="459"/>
      <c r="I96" s="766"/>
      <c r="J96" s="414"/>
      <c r="K96" s="414"/>
      <c r="L96" s="424"/>
      <c r="M96" s="424"/>
      <c r="N96" s="491"/>
      <c r="O96" s="519"/>
      <c r="P96" s="545"/>
      <c r="Q96" s="445"/>
      <c r="R96" s="437"/>
      <c r="T96" s="446"/>
      <c r="U96" s="445"/>
      <c r="V96" s="446"/>
      <c r="W96" s="445"/>
      <c r="X96" s="446"/>
      <c r="Y96" s="435"/>
      <c r="Z96" s="557"/>
      <c r="AA96" s="512"/>
      <c r="AB96" s="435"/>
      <c r="AC96" s="435"/>
      <c r="AD96" s="473"/>
      <c r="AE96" s="474"/>
      <c r="AF96" s="474"/>
      <c r="AG96" s="474"/>
      <c r="AH96" s="473"/>
      <c r="AY96" s="457"/>
      <c r="AZ96" s="457"/>
      <c r="BA96" s="457"/>
      <c r="BB96" s="457"/>
    </row>
    <row r="97" spans="2:54" hidden="1" x14ac:dyDescent="0.15">
      <c r="B97" s="420"/>
      <c r="C97" s="492"/>
      <c r="D97" s="424"/>
      <c r="E97" s="493"/>
      <c r="F97" s="424"/>
      <c r="G97" s="424"/>
      <c r="H97" s="424"/>
      <c r="I97" s="424"/>
      <c r="J97" s="424"/>
      <c r="L97" s="424"/>
      <c r="M97" s="424"/>
      <c r="N97" s="491"/>
      <c r="O97" s="519"/>
      <c r="P97" s="545"/>
      <c r="Q97" s="445"/>
      <c r="R97" s="437"/>
      <c r="T97" s="446"/>
      <c r="U97" s="445"/>
      <c r="V97" s="446"/>
      <c r="W97" s="445"/>
      <c r="X97" s="446"/>
      <c r="Y97" s="435"/>
      <c r="Z97" s="557"/>
      <c r="AA97" s="512"/>
      <c r="AB97" s="435"/>
      <c r="AC97" s="435"/>
      <c r="AD97" s="473"/>
      <c r="AE97" s="474"/>
      <c r="AF97" s="474"/>
      <c r="AG97" s="474"/>
      <c r="AH97" s="473"/>
      <c r="AY97" s="457"/>
      <c r="AZ97" s="457"/>
      <c r="BA97" s="457"/>
      <c r="BB97" s="457"/>
    </row>
    <row r="98" spans="2:54" hidden="1" x14ac:dyDescent="0.15">
      <c r="B98" s="420"/>
      <c r="C98" s="492"/>
      <c r="D98" s="424"/>
      <c r="E98" s="493"/>
      <c r="F98" s="424"/>
      <c r="G98" s="424"/>
      <c r="H98" s="424"/>
      <c r="I98" s="424"/>
      <c r="J98" s="424"/>
      <c r="L98" s="424"/>
      <c r="M98" s="424"/>
      <c r="N98" s="491"/>
      <c r="O98" s="519"/>
      <c r="P98" s="545"/>
      <c r="Q98" s="445"/>
      <c r="R98" s="437"/>
      <c r="T98" s="446"/>
      <c r="U98" s="445"/>
      <c r="V98" s="446"/>
      <c r="W98" s="445"/>
      <c r="X98" s="446"/>
      <c r="Y98" s="435"/>
      <c r="Z98" s="557"/>
      <c r="AA98" s="512"/>
      <c r="AB98" s="435"/>
      <c r="AC98" s="435"/>
      <c r="AD98" s="473"/>
      <c r="AE98" s="474"/>
      <c r="AF98" s="474"/>
      <c r="AG98" s="474"/>
      <c r="AH98" s="473"/>
      <c r="AY98" s="457"/>
      <c r="AZ98" s="457"/>
      <c r="BA98" s="457"/>
      <c r="BB98" s="457"/>
    </row>
    <row r="99" spans="2:54" ht="20.100000000000001" hidden="1" customHeight="1" x14ac:dyDescent="0.15">
      <c r="B99" s="35"/>
      <c r="C99" s="35"/>
      <c r="D99" s="516"/>
      <c r="E99" s="516"/>
      <c r="F99" s="35"/>
      <c r="G99" s="413"/>
      <c r="H99" s="516"/>
      <c r="I99" s="35"/>
      <c r="J99" s="413"/>
      <c r="K99" s="516"/>
      <c r="L99" s="558"/>
      <c r="M99" s="413"/>
      <c r="N99" s="516"/>
      <c r="O99" s="413"/>
      <c r="P99" s="515"/>
      <c r="U99" s="445"/>
      <c r="V99" s="446"/>
      <c r="W99" s="445"/>
      <c r="X99" s="446"/>
      <c r="Y99" s="435"/>
      <c r="Z99" s="557"/>
      <c r="AA99" s="512"/>
      <c r="AB99" s="435"/>
      <c r="AC99" s="435"/>
      <c r="AD99" s="473"/>
      <c r="AE99" s="474"/>
      <c r="AF99" s="474"/>
      <c r="AG99" s="474"/>
      <c r="AH99" s="473"/>
      <c r="AY99" s="457"/>
      <c r="AZ99" s="457"/>
      <c r="BA99" s="457"/>
      <c r="BB99" s="457"/>
    </row>
    <row r="100" spans="2:54" ht="20.100000000000001" hidden="1" customHeight="1" x14ac:dyDescent="0.15">
      <c r="B100" s="453"/>
      <c r="D100" s="456"/>
      <c r="E100" s="415"/>
      <c r="F100" s="414"/>
      <c r="G100" s="416"/>
      <c r="H100" s="414"/>
      <c r="I100" s="414"/>
      <c r="J100" s="414"/>
      <c r="K100" s="414"/>
      <c r="L100" s="414"/>
      <c r="M100" s="414"/>
      <c r="O100" s="457"/>
      <c r="P100" s="515"/>
      <c r="Q100" s="558"/>
      <c r="U100" s="445"/>
      <c r="V100" s="446"/>
      <c r="W100" s="445"/>
      <c r="X100" s="446"/>
      <c r="Y100" s="435"/>
      <c r="Z100" s="557"/>
      <c r="AA100" s="512"/>
      <c r="AB100" s="435"/>
      <c r="AC100" s="435"/>
      <c r="AD100" s="473"/>
      <c r="AE100" s="474"/>
      <c r="AF100" s="474"/>
      <c r="AG100" s="474"/>
      <c r="AH100" s="473"/>
      <c r="AY100" s="457"/>
      <c r="AZ100" s="457"/>
      <c r="BA100" s="457"/>
      <c r="BB100" s="457"/>
    </row>
    <row r="101" spans="2:54" ht="20.100000000000001" hidden="1" customHeight="1" x14ac:dyDescent="0.15">
      <c r="B101" s="453"/>
      <c r="D101" s="456"/>
      <c r="E101" s="415"/>
      <c r="F101" s="414"/>
      <c r="G101" s="416"/>
      <c r="H101" s="414"/>
      <c r="I101" s="414"/>
      <c r="J101" s="414"/>
      <c r="K101" s="414"/>
      <c r="L101" s="414"/>
      <c r="M101" s="414"/>
      <c r="O101" s="457"/>
      <c r="P101" s="515"/>
      <c r="Q101" s="558"/>
      <c r="U101" s="445"/>
      <c r="V101" s="446"/>
      <c r="W101" s="445"/>
      <c r="X101" s="446"/>
      <c r="Y101" s="435"/>
      <c r="Z101" s="557"/>
      <c r="AA101" s="512"/>
      <c r="AB101" s="435"/>
      <c r="AC101" s="435"/>
      <c r="AD101" s="473"/>
      <c r="AE101" s="474"/>
      <c r="AF101" s="474"/>
      <c r="AG101" s="474"/>
      <c r="AH101" s="473"/>
      <c r="AY101" s="457"/>
      <c r="AZ101" s="457"/>
      <c r="BA101" s="457"/>
      <c r="BB101" s="457"/>
    </row>
    <row r="102" spans="2:54" ht="20.100000000000001" hidden="1" customHeight="1" x14ac:dyDescent="0.15">
      <c r="B102" s="453"/>
      <c r="D102" s="456"/>
      <c r="E102" s="415"/>
      <c r="F102" s="414"/>
      <c r="G102" s="416"/>
      <c r="H102" s="414"/>
      <c r="I102" s="414"/>
      <c r="J102" s="414"/>
      <c r="K102" s="414"/>
      <c r="L102" s="414"/>
      <c r="M102" s="414"/>
      <c r="O102" s="457"/>
      <c r="P102" s="515"/>
      <c r="Q102" s="558"/>
      <c r="U102" s="445"/>
      <c r="V102" s="446"/>
      <c r="W102" s="445"/>
      <c r="X102" s="446"/>
      <c r="Y102" s="435"/>
      <c r="Z102" s="557"/>
      <c r="AA102" s="512"/>
      <c r="AB102" s="435"/>
      <c r="AC102" s="435"/>
      <c r="AD102" s="473"/>
      <c r="AE102" s="474"/>
      <c r="AF102" s="474"/>
      <c r="AG102" s="474"/>
      <c r="AH102" s="473"/>
      <c r="AY102" s="457"/>
      <c r="AZ102" s="457"/>
      <c r="BA102" s="457"/>
      <c r="BB102" s="457"/>
    </row>
    <row r="103" spans="2:54" ht="20.100000000000001" hidden="1" customHeight="1" x14ac:dyDescent="0.15">
      <c r="B103" s="453"/>
      <c r="D103" s="456"/>
      <c r="E103" s="415"/>
      <c r="F103" s="414"/>
      <c r="G103" s="416"/>
      <c r="H103" s="414"/>
      <c r="I103" s="414"/>
      <c r="J103" s="414"/>
      <c r="K103" s="414"/>
      <c r="L103" s="414"/>
      <c r="M103" s="414"/>
      <c r="O103" s="457"/>
      <c r="P103" s="515"/>
      <c r="Q103" s="558"/>
      <c r="U103" s="445"/>
      <c r="V103" s="446"/>
      <c r="W103" s="445"/>
      <c r="X103" s="446"/>
      <c r="Y103" s="435"/>
      <c r="Z103" s="557"/>
      <c r="AA103" s="512"/>
      <c r="AB103" s="435"/>
      <c r="AC103" s="435"/>
      <c r="AD103" s="473"/>
      <c r="AE103" s="474"/>
      <c r="AF103" s="474"/>
      <c r="AG103" s="474"/>
      <c r="AH103" s="473"/>
      <c r="AY103" s="457"/>
      <c r="AZ103" s="457"/>
      <c r="BA103" s="457"/>
      <c r="BB103" s="457"/>
    </row>
    <row r="104" spans="2:54" ht="20.100000000000001" hidden="1" customHeight="1" x14ac:dyDescent="0.15">
      <c r="B104" s="453"/>
      <c r="D104" s="456"/>
      <c r="E104" s="415"/>
      <c r="F104" s="414"/>
      <c r="G104" s="416"/>
      <c r="H104" s="414"/>
      <c r="I104" s="414"/>
      <c r="J104" s="414"/>
      <c r="K104" s="414"/>
      <c r="L104" s="414"/>
      <c r="M104" s="414"/>
      <c r="O104" s="457"/>
      <c r="P104" s="515"/>
      <c r="Q104" s="558"/>
      <c r="R104" s="524"/>
      <c r="S104" s="524"/>
      <c r="T104" s="524"/>
      <c r="U104" s="445"/>
      <c r="V104" s="446"/>
      <c r="W104" s="445"/>
      <c r="X104" s="446"/>
      <c r="Y104" s="435"/>
      <c r="Z104" s="557"/>
      <c r="AA104" s="512"/>
      <c r="AB104" s="435"/>
      <c r="AC104" s="435"/>
      <c r="AD104" s="473"/>
      <c r="AE104" s="474"/>
      <c r="AF104" s="474"/>
      <c r="AG104" s="474"/>
      <c r="AH104" s="473"/>
      <c r="AY104" s="457"/>
      <c r="AZ104" s="457"/>
      <c r="BA104" s="457"/>
      <c r="BB104" s="457"/>
    </row>
    <row r="105" spans="2:54" ht="20.100000000000001" hidden="1" customHeight="1" x14ac:dyDescent="0.15">
      <c r="B105" s="453"/>
      <c r="D105" s="456"/>
      <c r="E105" s="415"/>
      <c r="F105" s="414"/>
      <c r="G105" s="416"/>
      <c r="H105" s="414"/>
      <c r="I105" s="414"/>
      <c r="J105" s="414"/>
      <c r="K105" s="414"/>
      <c r="L105" s="414"/>
      <c r="M105" s="414"/>
      <c r="O105" s="457"/>
      <c r="P105" s="515"/>
      <c r="Q105" s="558"/>
      <c r="R105" s="524"/>
      <c r="S105" s="524"/>
      <c r="T105" s="524"/>
      <c r="U105" s="445"/>
      <c r="V105" s="446"/>
      <c r="W105" s="445"/>
      <c r="X105" s="446"/>
      <c r="Y105" s="435"/>
      <c r="Z105" s="557"/>
      <c r="AA105" s="512"/>
      <c r="AB105" s="435"/>
      <c r="AC105" s="435"/>
      <c r="AD105" s="473"/>
      <c r="AE105" s="474"/>
      <c r="AF105" s="474"/>
      <c r="AG105" s="474"/>
      <c r="AH105" s="473"/>
      <c r="AY105" s="457"/>
      <c r="AZ105" s="457"/>
      <c r="BA105" s="457"/>
      <c r="BB105" s="457"/>
    </row>
    <row r="106" spans="2:54" ht="20.100000000000001" hidden="1" customHeight="1" x14ac:dyDescent="0.15">
      <c r="B106" s="453"/>
      <c r="D106" s="456"/>
      <c r="E106" s="415"/>
      <c r="F106" s="414"/>
      <c r="G106" s="416"/>
      <c r="H106" s="414"/>
      <c r="I106" s="414"/>
      <c r="J106" s="414"/>
      <c r="K106" s="414"/>
      <c r="L106" s="414"/>
      <c r="M106" s="414"/>
      <c r="O106" s="457"/>
      <c r="P106" s="515"/>
      <c r="Q106" s="558"/>
      <c r="R106" s="524"/>
      <c r="S106" s="524"/>
      <c r="T106" s="524"/>
      <c r="U106" s="445"/>
      <c r="V106" s="446"/>
      <c r="W106" s="445"/>
      <c r="X106" s="446"/>
      <c r="Y106" s="435"/>
      <c r="Z106" s="557"/>
      <c r="AA106" s="512"/>
      <c r="AB106" s="435"/>
      <c r="AC106" s="435"/>
      <c r="AD106" s="473"/>
      <c r="AE106" s="474"/>
      <c r="AF106" s="474"/>
      <c r="AG106" s="474"/>
      <c r="AH106" s="473"/>
      <c r="AY106" s="457"/>
      <c r="AZ106" s="457"/>
      <c r="BA106" s="457"/>
      <c r="BB106" s="457"/>
    </row>
    <row r="107" spans="2:54" ht="20.100000000000001" hidden="1" customHeight="1" x14ac:dyDescent="0.15">
      <c r="B107" s="453"/>
      <c r="D107" s="456"/>
      <c r="E107" s="415"/>
      <c r="F107" s="414"/>
      <c r="G107" s="416"/>
      <c r="H107" s="414"/>
      <c r="I107" s="414"/>
      <c r="J107" s="414"/>
      <c r="K107" s="414"/>
      <c r="L107" s="414"/>
      <c r="M107" s="414"/>
      <c r="O107" s="457"/>
      <c r="P107" s="515"/>
      <c r="Q107" s="558"/>
      <c r="R107" s="524"/>
      <c r="S107" s="524"/>
      <c r="T107" s="524"/>
      <c r="U107" s="445"/>
      <c r="V107" s="446"/>
      <c r="W107" s="445"/>
      <c r="X107" s="446"/>
      <c r="Y107" s="435"/>
      <c r="Z107" s="557"/>
      <c r="AA107" s="512"/>
      <c r="AB107" s="435"/>
      <c r="AC107" s="435"/>
      <c r="AD107" s="473"/>
      <c r="AE107" s="474"/>
      <c r="AF107" s="474"/>
      <c r="AG107" s="474"/>
      <c r="AH107" s="473"/>
      <c r="AY107" s="457"/>
      <c r="AZ107" s="457"/>
      <c r="BA107" s="457"/>
      <c r="BB107" s="457"/>
    </row>
    <row r="108" spans="2:54" ht="20.100000000000001" hidden="1" customHeight="1" x14ac:dyDescent="0.15">
      <c r="B108" s="453"/>
      <c r="D108" s="456"/>
      <c r="E108" s="424"/>
      <c r="F108" s="414"/>
      <c r="G108" s="416"/>
      <c r="H108" s="414"/>
      <c r="I108" s="414"/>
      <c r="J108" s="414"/>
      <c r="K108" s="414"/>
      <c r="L108" s="414"/>
      <c r="M108" s="414"/>
      <c r="O108" s="457"/>
      <c r="P108" s="515"/>
      <c r="Q108" s="558"/>
      <c r="R108" s="524"/>
      <c r="S108" s="524"/>
      <c r="T108" s="524"/>
      <c r="U108" s="445"/>
      <c r="V108" s="446"/>
      <c r="W108" s="445"/>
      <c r="X108" s="446"/>
      <c r="Y108" s="435"/>
      <c r="Z108" s="557"/>
      <c r="AA108" s="512"/>
      <c r="AB108" s="435"/>
      <c r="AC108" s="435"/>
      <c r="AD108" s="473"/>
      <c r="AE108" s="474"/>
      <c r="AF108" s="474"/>
      <c r="AG108" s="474"/>
      <c r="AH108" s="473"/>
      <c r="AY108" s="457"/>
      <c r="AZ108" s="457"/>
      <c r="BA108" s="457"/>
      <c r="BB108" s="457"/>
    </row>
    <row r="109" spans="2:54" ht="20.100000000000001" hidden="1" customHeight="1" x14ac:dyDescent="0.15">
      <c r="B109" s="453"/>
      <c r="D109" s="456"/>
      <c r="E109" s="424"/>
      <c r="F109" s="414"/>
      <c r="G109" s="416"/>
      <c r="H109" s="414"/>
      <c r="I109" s="414"/>
      <c r="J109" s="414"/>
      <c r="K109" s="414"/>
      <c r="L109" s="414"/>
      <c r="M109" s="414"/>
      <c r="O109" s="457"/>
      <c r="P109" s="515"/>
      <c r="Q109" s="558"/>
      <c r="R109" s="524"/>
      <c r="S109" s="524"/>
      <c r="T109" s="524"/>
      <c r="U109" s="445"/>
      <c r="V109" s="446"/>
      <c r="W109" s="445"/>
      <c r="X109" s="446"/>
      <c r="Y109" s="435"/>
      <c r="Z109" s="557"/>
      <c r="AA109" s="512"/>
      <c r="AB109" s="435"/>
      <c r="AC109" s="435"/>
      <c r="AD109" s="473"/>
      <c r="AE109" s="474"/>
      <c r="AF109" s="474"/>
      <c r="AG109" s="474"/>
      <c r="AH109" s="473"/>
      <c r="AY109" s="457"/>
      <c r="AZ109" s="457"/>
      <c r="BA109" s="457"/>
      <c r="BB109" s="457"/>
    </row>
    <row r="110" spans="2:54" ht="20.100000000000001" hidden="1" customHeight="1" x14ac:dyDescent="0.15">
      <c r="B110" s="453"/>
      <c r="D110" s="456"/>
      <c r="E110" s="415"/>
      <c r="F110" s="414"/>
      <c r="G110" s="416"/>
      <c r="H110" s="416"/>
      <c r="I110" s="414"/>
      <c r="J110" s="414"/>
      <c r="K110" s="414"/>
      <c r="L110" s="414"/>
      <c r="M110" s="414"/>
      <c r="O110" s="457"/>
      <c r="P110" s="515"/>
      <c r="Q110" s="558"/>
      <c r="R110" s="524"/>
      <c r="S110" s="524"/>
      <c r="T110" s="524"/>
      <c r="U110" s="445"/>
      <c r="V110" s="446"/>
      <c r="W110" s="445"/>
      <c r="X110" s="446"/>
      <c r="Y110" s="435"/>
      <c r="Z110" s="557"/>
      <c r="AA110" s="512"/>
      <c r="AB110" s="435"/>
      <c r="AC110" s="435"/>
      <c r="AD110" s="473"/>
      <c r="AE110" s="474"/>
      <c r="AF110" s="474"/>
      <c r="AG110" s="474"/>
      <c r="AH110" s="473"/>
      <c r="AY110" s="457"/>
      <c r="AZ110" s="457"/>
      <c r="BA110" s="457"/>
      <c r="BB110" s="457"/>
    </row>
    <row r="111" spans="2:54" ht="20.100000000000001" hidden="1" customHeight="1" x14ac:dyDescent="0.15">
      <c r="B111" s="453"/>
      <c r="C111" s="457"/>
      <c r="D111" s="456"/>
      <c r="E111" s="415"/>
      <c r="F111" s="414"/>
      <c r="G111" s="416"/>
      <c r="H111" s="414"/>
      <c r="I111" s="414"/>
      <c r="J111" s="414"/>
      <c r="K111" s="414"/>
      <c r="L111" s="414"/>
      <c r="M111" s="414"/>
      <c r="O111" s="457"/>
      <c r="P111" s="515"/>
      <c r="Q111" s="558"/>
      <c r="R111" s="524"/>
      <c r="S111" s="524"/>
      <c r="T111" s="524"/>
      <c r="U111" s="445"/>
      <c r="V111" s="446"/>
      <c r="W111" s="445"/>
      <c r="X111" s="446"/>
      <c r="Y111" s="435"/>
      <c r="Z111" s="557"/>
      <c r="AA111" s="512"/>
      <c r="AB111" s="435"/>
      <c r="AC111" s="435"/>
      <c r="AD111" s="473"/>
      <c r="AE111" s="474"/>
      <c r="AF111" s="474"/>
      <c r="AG111" s="474"/>
      <c r="AH111" s="473"/>
      <c r="AY111" s="457"/>
      <c r="AZ111" s="457"/>
      <c r="BA111" s="457"/>
      <c r="BB111" s="457"/>
    </row>
    <row r="112" spans="2:54" ht="20.100000000000001" hidden="1" customHeight="1" x14ac:dyDescent="0.15">
      <c r="B112" s="453"/>
      <c r="C112" s="457"/>
      <c r="D112" s="456"/>
      <c r="E112" s="415"/>
      <c r="F112" s="414"/>
      <c r="G112" s="416"/>
      <c r="H112" s="414"/>
      <c r="I112" s="414"/>
      <c r="J112" s="414"/>
      <c r="K112" s="414"/>
      <c r="L112" s="414"/>
      <c r="M112" s="414"/>
      <c r="O112" s="457"/>
      <c r="P112" s="515"/>
      <c r="Q112" s="558"/>
      <c r="R112" s="524"/>
      <c r="S112" s="524"/>
      <c r="T112" s="524"/>
      <c r="U112" s="445"/>
      <c r="V112" s="446"/>
      <c r="W112" s="445"/>
      <c r="X112" s="446"/>
      <c r="Y112" s="435"/>
      <c r="Z112" s="557"/>
      <c r="AA112" s="512"/>
      <c r="AB112" s="435"/>
      <c r="AC112" s="435"/>
      <c r="AD112" s="473"/>
      <c r="AE112" s="474"/>
      <c r="AF112" s="474"/>
      <c r="AG112" s="474"/>
      <c r="AH112" s="473"/>
      <c r="AY112" s="457"/>
      <c r="AZ112" s="457"/>
      <c r="BA112" s="457"/>
      <c r="BB112" s="457"/>
    </row>
    <row r="113" spans="2:65" ht="20.100000000000001" hidden="1" customHeight="1" x14ac:dyDescent="0.15">
      <c r="B113" s="453"/>
      <c r="D113" s="456"/>
      <c r="E113" s="415"/>
      <c r="F113" s="414"/>
      <c r="G113" s="416"/>
      <c r="H113" s="414"/>
      <c r="I113" s="414"/>
      <c r="J113" s="414"/>
      <c r="K113" s="414"/>
      <c r="L113" s="414"/>
      <c r="M113" s="414"/>
      <c r="O113" s="457"/>
      <c r="P113" s="515"/>
      <c r="Q113" s="558"/>
      <c r="R113" s="524"/>
      <c r="S113" s="524"/>
      <c r="T113" s="524"/>
      <c r="U113" s="445"/>
      <c r="V113" s="446"/>
      <c r="W113" s="445"/>
      <c r="X113" s="446"/>
      <c r="Y113" s="435"/>
      <c r="Z113" s="557"/>
      <c r="AA113" s="512"/>
      <c r="AB113" s="435"/>
      <c r="AC113" s="435"/>
      <c r="AD113" s="473"/>
      <c r="AE113" s="474"/>
      <c r="AF113" s="474"/>
      <c r="AG113" s="474"/>
      <c r="AH113" s="473"/>
      <c r="AY113" s="457"/>
      <c r="AZ113" s="457"/>
      <c r="BA113" s="457"/>
      <c r="BB113" s="457"/>
    </row>
    <row r="114" spans="2:65" ht="20.100000000000001" hidden="1" customHeight="1" x14ac:dyDescent="0.15">
      <c r="B114" s="453"/>
      <c r="D114" s="456"/>
      <c r="E114" s="415"/>
      <c r="F114" s="414"/>
      <c r="G114" s="416"/>
      <c r="H114" s="414"/>
      <c r="I114" s="414"/>
      <c r="J114" s="414"/>
      <c r="K114" s="414"/>
      <c r="L114" s="414"/>
      <c r="M114" s="414"/>
      <c r="O114" s="457"/>
      <c r="P114" s="515"/>
      <c r="Q114" s="558"/>
      <c r="U114" s="445"/>
      <c r="V114" s="446"/>
      <c r="W114" s="445"/>
      <c r="X114" s="446"/>
      <c r="Y114" s="435"/>
      <c r="Z114" s="557"/>
      <c r="AA114" s="512"/>
      <c r="AB114" s="435"/>
      <c r="AC114" s="435"/>
      <c r="AD114" s="473"/>
      <c r="AE114" s="474"/>
      <c r="AF114" s="474"/>
      <c r="AG114" s="474"/>
      <c r="AH114" s="473"/>
      <c r="AY114" s="457"/>
      <c r="AZ114" s="457"/>
      <c r="BA114" s="457"/>
      <c r="BB114" s="457"/>
    </row>
    <row r="115" spans="2:65" ht="20.100000000000001" hidden="1" customHeight="1" x14ac:dyDescent="0.15">
      <c r="B115" s="453"/>
      <c r="C115" s="457"/>
      <c r="D115" s="33"/>
      <c r="E115" s="415"/>
      <c r="F115" s="414"/>
      <c r="G115" s="416"/>
      <c r="H115" s="414"/>
      <c r="I115" s="414"/>
      <c r="J115" s="414"/>
      <c r="K115" s="414"/>
      <c r="L115" s="414"/>
      <c r="M115" s="414"/>
      <c r="O115" s="457"/>
      <c r="P115" s="515"/>
      <c r="Q115" s="584"/>
      <c r="U115" s="445"/>
      <c r="V115" s="446"/>
      <c r="W115" s="445"/>
      <c r="X115" s="446"/>
      <c r="Y115" s="435"/>
      <c r="Z115" s="557"/>
      <c r="AA115" s="512"/>
      <c r="AB115" s="435"/>
      <c r="AC115" s="435"/>
      <c r="AD115" s="473"/>
      <c r="AE115" s="474"/>
      <c r="AF115" s="474"/>
      <c r="AG115" s="474"/>
      <c r="AH115" s="473"/>
      <c r="AY115" s="457"/>
      <c r="AZ115" s="457"/>
      <c r="BA115" s="457"/>
      <c r="BB115" s="457"/>
    </row>
    <row r="116" spans="2:65" hidden="1" x14ac:dyDescent="0.15">
      <c r="B116" s="420"/>
      <c r="C116" s="492"/>
      <c r="D116" s="424"/>
      <c r="E116" s="493"/>
      <c r="F116" s="424"/>
      <c r="G116" s="424"/>
      <c r="H116" s="424"/>
      <c r="I116" s="424"/>
      <c r="J116" s="424"/>
      <c r="L116" s="424"/>
      <c r="M116" s="424"/>
      <c r="N116" s="491"/>
      <c r="O116" s="519"/>
      <c r="P116" s="545"/>
      <c r="Q116" s="445"/>
      <c r="R116" s="437"/>
      <c r="T116" s="446"/>
      <c r="U116" s="445"/>
      <c r="V116" s="446"/>
      <c r="W116" s="445"/>
      <c r="X116" s="446"/>
      <c r="Y116" s="435"/>
      <c r="Z116" s="557"/>
      <c r="AA116" s="512"/>
      <c r="AB116" s="435"/>
      <c r="AC116" s="435"/>
      <c r="AD116" s="473"/>
      <c r="AE116" s="474"/>
      <c r="AF116" s="474"/>
      <c r="AG116" s="474"/>
      <c r="AH116" s="473"/>
      <c r="AY116" s="457"/>
      <c r="AZ116" s="457"/>
      <c r="BA116" s="457"/>
      <c r="BB116" s="457"/>
    </row>
    <row r="117" spans="2:65" ht="15.95" hidden="1" customHeight="1" x14ac:dyDescent="0.15">
      <c r="D117" s="456"/>
      <c r="E117" s="456"/>
      <c r="N117" s="515"/>
      <c r="P117" s="456"/>
      <c r="AD117" s="473"/>
      <c r="AE117" s="474"/>
      <c r="AF117" s="474"/>
      <c r="AG117" s="474"/>
      <c r="AH117" s="473"/>
      <c r="BA117" s="457"/>
      <c r="BB117" s="457"/>
      <c r="BC117" s="464"/>
      <c r="BD117" s="781"/>
      <c r="BE117" s="781"/>
      <c r="BF117" s="781"/>
      <c r="BG117" s="781"/>
      <c r="BH117" s="464"/>
      <c r="BI117" s="464"/>
      <c r="BJ117" s="782"/>
      <c r="BK117" s="782"/>
      <c r="BL117" s="782"/>
      <c r="BM117" s="783"/>
    </row>
    <row r="118" spans="2:65" ht="15.95" hidden="1" customHeight="1" x14ac:dyDescent="0.15">
      <c r="D118" s="516"/>
      <c r="E118" s="558"/>
      <c r="F118" s="513"/>
      <c r="G118" s="513"/>
      <c r="N118" s="515"/>
      <c r="P118" s="456"/>
      <c r="AD118" s="473"/>
      <c r="AE118" s="474"/>
      <c r="AF118" s="474"/>
      <c r="AG118" s="474"/>
      <c r="AH118" s="473"/>
      <c r="BA118" s="457"/>
      <c r="BB118" s="457"/>
      <c r="BC118" s="464"/>
      <c r="BD118" s="781"/>
      <c r="BE118" s="781"/>
      <c r="BF118" s="781"/>
      <c r="BG118" s="781"/>
      <c r="BH118" s="464"/>
      <c r="BI118" s="464"/>
      <c r="BJ118" s="782"/>
      <c r="BK118" s="782"/>
      <c r="BL118" s="782"/>
      <c r="BM118" s="783"/>
    </row>
    <row r="119" spans="2:65" ht="15.95" hidden="1" customHeight="1" x14ac:dyDescent="0.15">
      <c r="D119" s="456"/>
      <c r="E119" s="456"/>
      <c r="N119" s="515"/>
      <c r="P119" s="456"/>
      <c r="AD119" s="473"/>
      <c r="AE119" s="456"/>
      <c r="AF119" s="456"/>
      <c r="AG119" s="456"/>
      <c r="BA119" s="457"/>
      <c r="BB119" s="457"/>
      <c r="BC119" s="464"/>
      <c r="BD119" s="784"/>
      <c r="BE119" s="781"/>
      <c r="BF119" s="781"/>
      <c r="BG119" s="781"/>
      <c r="BH119" s="781"/>
      <c r="BI119" s="781"/>
      <c r="BJ119" s="464"/>
      <c r="BK119" s="464"/>
      <c r="BL119" s="464"/>
      <c r="BM119" s="785"/>
    </row>
    <row r="120" spans="2:65" ht="15.95" hidden="1" customHeight="1" x14ac:dyDescent="0.15">
      <c r="D120" s="456"/>
      <c r="E120" s="456"/>
      <c r="N120" s="515"/>
      <c r="P120" s="545"/>
      <c r="AE120" s="474"/>
      <c r="AF120" s="474"/>
      <c r="AG120" s="474"/>
      <c r="AH120" s="473"/>
      <c r="BA120" s="457"/>
      <c r="BB120" s="457"/>
      <c r="BC120" s="567"/>
      <c r="BD120" s="463"/>
      <c r="BE120" s="463"/>
      <c r="BF120" s="463"/>
      <c r="BG120" s="463"/>
      <c r="BH120" s="463"/>
      <c r="BI120" s="463"/>
      <c r="BJ120" s="465"/>
      <c r="BK120" s="568"/>
      <c r="BL120" s="569"/>
      <c r="BM120" s="570"/>
    </row>
    <row r="121" spans="2:65" ht="15.95" hidden="1" customHeight="1" x14ac:dyDescent="0.15">
      <c r="D121" s="456"/>
      <c r="E121" s="456"/>
      <c r="N121" s="515"/>
      <c r="P121" s="545"/>
      <c r="AE121" s="474"/>
      <c r="AF121" s="474"/>
      <c r="AG121" s="474"/>
      <c r="AH121" s="473"/>
      <c r="BA121" s="457"/>
      <c r="BB121" s="457"/>
      <c r="BC121" s="567"/>
      <c r="BD121" s="463"/>
      <c r="BE121" s="463"/>
      <c r="BF121" s="463"/>
      <c r="BG121" s="463"/>
      <c r="BH121" s="463"/>
      <c r="BI121" s="463"/>
      <c r="BJ121" s="465"/>
      <c r="BK121" s="568"/>
      <c r="BL121" s="569"/>
      <c r="BM121" s="570"/>
    </row>
    <row r="122" spans="2:65" ht="15.95" hidden="1" customHeight="1" x14ac:dyDescent="0.15">
      <c r="D122" s="456"/>
      <c r="E122" s="456"/>
      <c r="N122" s="515"/>
      <c r="P122" s="545"/>
      <c r="AE122" s="474"/>
      <c r="AF122" s="474"/>
      <c r="AG122" s="474"/>
      <c r="AH122" s="473"/>
      <c r="BA122" s="457"/>
      <c r="BB122" s="457"/>
      <c r="BC122" s="567"/>
      <c r="BD122" s="463"/>
      <c r="BE122" s="463"/>
      <c r="BF122" s="463"/>
      <c r="BG122" s="463"/>
      <c r="BH122" s="463"/>
      <c r="BI122" s="463"/>
      <c r="BJ122" s="465"/>
      <c r="BK122" s="568"/>
      <c r="BL122" s="569"/>
      <c r="BM122" s="570"/>
    </row>
    <row r="123" spans="2:65" ht="15.95" hidden="1" customHeight="1" x14ac:dyDescent="0.15">
      <c r="D123" s="456"/>
      <c r="E123" s="456"/>
      <c r="N123" s="515"/>
      <c r="P123" s="545"/>
      <c r="AE123" s="474"/>
      <c r="AF123" s="474"/>
      <c r="AG123" s="474"/>
      <c r="AH123" s="473"/>
      <c r="BA123" s="457"/>
      <c r="BB123" s="457"/>
      <c r="BC123" s="567"/>
      <c r="BD123" s="463"/>
      <c r="BE123" s="463"/>
      <c r="BF123" s="463"/>
      <c r="BG123" s="463"/>
      <c r="BH123" s="463"/>
      <c r="BI123" s="463"/>
      <c r="BJ123" s="465"/>
      <c r="BK123" s="568"/>
      <c r="BL123" s="569"/>
      <c r="BM123" s="570"/>
    </row>
    <row r="124" spans="2:65" ht="15.95" hidden="1" customHeight="1" x14ac:dyDescent="0.15">
      <c r="D124" s="456"/>
      <c r="E124" s="456"/>
      <c r="N124" s="515"/>
      <c r="P124" s="545"/>
      <c r="AE124" s="474"/>
      <c r="AF124" s="474"/>
      <c r="AG124" s="474"/>
      <c r="AH124" s="473"/>
      <c r="BA124" s="457"/>
      <c r="BB124" s="457"/>
      <c r="BC124" s="567"/>
      <c r="BD124" s="463"/>
      <c r="BE124" s="463"/>
      <c r="BF124" s="463"/>
      <c r="BG124" s="463"/>
      <c r="BH124" s="463"/>
      <c r="BI124" s="463"/>
      <c r="BJ124" s="465"/>
      <c r="BK124" s="568"/>
      <c r="BL124" s="569"/>
      <c r="BM124" s="570"/>
    </row>
    <row r="125" spans="2:65" ht="15.95" hidden="1" customHeight="1" x14ac:dyDescent="0.15">
      <c r="C125" s="457"/>
      <c r="D125" s="456"/>
      <c r="E125" s="456"/>
      <c r="N125" s="515"/>
      <c r="P125" s="545"/>
      <c r="AE125" s="474"/>
      <c r="AF125" s="474"/>
      <c r="AG125" s="474"/>
      <c r="AH125" s="473"/>
      <c r="BA125" s="457"/>
      <c r="BB125" s="457"/>
      <c r="BC125" s="567"/>
      <c r="BD125" s="463"/>
      <c r="BE125" s="463"/>
      <c r="BF125" s="463"/>
      <c r="BG125" s="463"/>
      <c r="BH125" s="463"/>
      <c r="BI125" s="463"/>
      <c r="BJ125" s="465"/>
      <c r="BK125" s="568"/>
      <c r="BL125" s="569"/>
      <c r="BM125" s="570"/>
    </row>
    <row r="126" spans="2:65" ht="15.95" hidden="1" customHeight="1" x14ac:dyDescent="0.15">
      <c r="C126" s="457"/>
      <c r="D126" s="456"/>
      <c r="E126" s="456"/>
      <c r="N126" s="515"/>
      <c r="P126" s="545"/>
      <c r="AE126" s="474"/>
      <c r="AF126" s="474"/>
      <c r="AG126" s="474"/>
      <c r="AH126" s="473"/>
      <c r="BA126" s="457"/>
      <c r="BB126" s="457"/>
      <c r="BC126" s="567"/>
      <c r="BD126" s="463"/>
      <c r="BE126" s="463"/>
      <c r="BF126" s="463"/>
      <c r="BG126" s="463"/>
      <c r="BH126" s="463"/>
      <c r="BI126" s="463"/>
      <c r="BJ126" s="465"/>
      <c r="BK126" s="568"/>
      <c r="BL126" s="569"/>
      <c r="BM126" s="570"/>
    </row>
    <row r="127" spans="2:65" ht="15.95" hidden="1" customHeight="1" x14ac:dyDescent="0.15">
      <c r="C127" s="457"/>
      <c r="D127" s="456"/>
      <c r="E127" s="456"/>
      <c r="N127" s="515"/>
      <c r="P127" s="545"/>
      <c r="AE127" s="474"/>
      <c r="AF127" s="474"/>
      <c r="AG127" s="474"/>
      <c r="AH127" s="473"/>
      <c r="BA127" s="457"/>
      <c r="BB127" s="457"/>
      <c r="BC127" s="567"/>
      <c r="BD127" s="463"/>
      <c r="BE127" s="463"/>
      <c r="BF127" s="463"/>
      <c r="BG127" s="463"/>
      <c r="BH127" s="463"/>
      <c r="BI127" s="463"/>
      <c r="BJ127" s="465"/>
      <c r="BK127" s="568"/>
      <c r="BL127" s="569"/>
      <c r="BM127" s="570"/>
    </row>
    <row r="128" spans="2:65" ht="15.95" hidden="1" customHeight="1" x14ac:dyDescent="0.15">
      <c r="C128" s="365"/>
      <c r="D128" s="456"/>
      <c r="E128" s="456"/>
      <c r="N128" s="515"/>
      <c r="P128" s="545"/>
      <c r="AE128" s="474"/>
      <c r="AF128" s="474"/>
      <c r="AG128" s="474"/>
      <c r="AH128" s="473"/>
      <c r="BA128" s="457"/>
      <c r="BB128" s="457"/>
      <c r="BC128" s="567"/>
      <c r="BD128" s="463"/>
      <c r="BE128" s="463"/>
      <c r="BF128" s="463"/>
      <c r="BG128" s="463"/>
      <c r="BH128" s="463"/>
      <c r="BI128" s="463"/>
      <c r="BJ128" s="465"/>
      <c r="BK128" s="568"/>
      <c r="BL128" s="569"/>
      <c r="BM128" s="570"/>
    </row>
    <row r="129" spans="3:65" ht="13.5" hidden="1" x14ac:dyDescent="0.15">
      <c r="C129" s="365"/>
      <c r="D129" s="456"/>
      <c r="E129" s="456"/>
      <c r="K129" s="558"/>
      <c r="N129" s="515"/>
      <c r="P129" s="545"/>
      <c r="AE129" s="474"/>
      <c r="AF129" s="474"/>
      <c r="AG129" s="474"/>
      <c r="AH129" s="473"/>
      <c r="BA129" s="457"/>
      <c r="BB129" s="457"/>
      <c r="BC129" s="567"/>
      <c r="BD129" s="463"/>
      <c r="BE129" s="463"/>
      <c r="BF129" s="463"/>
      <c r="BG129" s="463"/>
      <c r="BH129" s="463"/>
      <c r="BI129" s="463"/>
      <c r="BJ129" s="465"/>
      <c r="BK129" s="568"/>
      <c r="BL129" s="569"/>
      <c r="BM129" s="570"/>
    </row>
    <row r="130" spans="3:65" ht="13.5" hidden="1" x14ac:dyDescent="0.15">
      <c r="C130" s="413"/>
      <c r="D130" s="413"/>
      <c r="E130" s="413"/>
      <c r="F130" s="413"/>
      <c r="J130" s="447"/>
      <c r="L130" s="446"/>
      <c r="M130" s="458"/>
      <c r="N130" s="446"/>
      <c r="O130" s="448"/>
      <c r="P130" s="545"/>
      <c r="AE130" s="474"/>
      <c r="AF130" s="474"/>
      <c r="AG130" s="474"/>
      <c r="AH130" s="473"/>
      <c r="BA130" s="457"/>
      <c r="BB130" s="457"/>
      <c r="BC130" s="567"/>
      <c r="BD130" s="463"/>
      <c r="BE130" s="463"/>
      <c r="BF130" s="463"/>
      <c r="BG130" s="463"/>
      <c r="BH130" s="463"/>
      <c r="BI130" s="463"/>
      <c r="BJ130" s="465"/>
      <c r="BK130" s="568"/>
      <c r="BL130" s="569"/>
      <c r="BM130" s="570"/>
    </row>
    <row r="131" spans="3:65" ht="13.5" hidden="1" x14ac:dyDescent="0.15">
      <c r="C131" s="516"/>
      <c r="D131" s="456"/>
      <c r="E131" s="456"/>
      <c r="F131" s="449"/>
      <c r="H131" s="445"/>
      <c r="L131" s="446"/>
      <c r="M131" s="458"/>
      <c r="N131" s="446"/>
      <c r="O131" s="448"/>
      <c r="P131" s="545"/>
      <c r="Y131" s="457"/>
      <c r="Z131" s="457"/>
      <c r="AA131" s="457"/>
      <c r="AB131" s="457"/>
      <c r="AC131" s="457"/>
      <c r="AD131" s="473"/>
      <c r="AE131" s="474"/>
      <c r="AF131" s="474"/>
      <c r="AG131" s="474"/>
      <c r="AH131" s="473"/>
      <c r="BA131" s="457"/>
      <c r="BB131" s="457"/>
      <c r="BC131" s="567"/>
      <c r="BD131" s="463"/>
      <c r="BE131" s="463"/>
      <c r="BF131" s="463"/>
      <c r="BG131" s="463"/>
      <c r="BH131" s="463"/>
      <c r="BI131" s="463"/>
      <c r="BJ131" s="465"/>
      <c r="BK131" s="568"/>
      <c r="BL131" s="569"/>
      <c r="BM131" s="570"/>
    </row>
    <row r="132" spans="3:65" ht="13.5" hidden="1" x14ac:dyDescent="0.15">
      <c r="C132" s="516"/>
      <c r="D132" s="456"/>
      <c r="E132" s="450"/>
      <c r="F132" s="494"/>
      <c r="G132" s="451"/>
      <c r="H132" s="445"/>
      <c r="I132" s="516"/>
      <c r="L132" s="446"/>
      <c r="M132" s="494"/>
      <c r="N132" s="516"/>
      <c r="P132" s="545"/>
      <c r="Y132" s="457"/>
      <c r="Z132" s="457"/>
      <c r="AA132" s="457"/>
      <c r="AB132" s="457"/>
      <c r="AC132" s="457"/>
      <c r="AD132" s="473"/>
      <c r="AE132" s="474"/>
      <c r="AF132" s="474"/>
      <c r="AG132" s="474"/>
      <c r="AH132" s="473"/>
      <c r="BA132" s="457"/>
      <c r="BB132" s="457"/>
      <c r="BC132" s="567"/>
      <c r="BD132" s="463"/>
      <c r="BE132" s="463"/>
      <c r="BF132" s="463"/>
      <c r="BG132" s="463"/>
      <c r="BH132" s="463"/>
      <c r="BI132" s="463"/>
      <c r="BJ132" s="465"/>
      <c r="BK132" s="568"/>
      <c r="BL132" s="569"/>
      <c r="BM132" s="570"/>
    </row>
    <row r="133" spans="3:65" ht="13.5" hidden="1" x14ac:dyDescent="0.15">
      <c r="C133" s="516"/>
      <c r="D133" s="456"/>
      <c r="E133" s="450"/>
      <c r="F133" s="446"/>
      <c r="G133" s="451"/>
      <c r="H133" s="445"/>
      <c r="L133" s="446"/>
      <c r="M133" s="559"/>
      <c r="N133" s="452"/>
      <c r="O133" s="448"/>
      <c r="P133" s="545"/>
      <c r="Y133" s="457"/>
      <c r="Z133" s="457"/>
      <c r="AA133" s="457"/>
      <c r="AB133" s="457"/>
      <c r="AC133" s="457"/>
      <c r="AD133" s="473"/>
      <c r="AE133" s="474"/>
      <c r="AF133" s="474"/>
      <c r="AG133" s="474"/>
      <c r="AH133" s="473"/>
      <c r="BA133" s="457"/>
      <c r="BB133" s="457"/>
      <c r="BC133" s="567"/>
      <c r="BD133" s="463"/>
      <c r="BE133" s="463"/>
      <c r="BF133" s="463"/>
      <c r="BG133" s="463"/>
      <c r="BH133" s="463"/>
      <c r="BI133" s="463"/>
      <c r="BJ133" s="465"/>
      <c r="BK133" s="568"/>
      <c r="BL133" s="569"/>
      <c r="BM133" s="570"/>
    </row>
    <row r="134" spans="3:65" ht="13.5" hidden="1" x14ac:dyDescent="0.15">
      <c r="C134" s="35"/>
      <c r="D134" s="33"/>
      <c r="E134" s="450"/>
      <c r="F134" s="449"/>
      <c r="H134" s="445"/>
      <c r="I134" s="516"/>
      <c r="J134" s="33"/>
      <c r="K134" s="453"/>
      <c r="L134" s="446"/>
      <c r="M134" s="458"/>
      <c r="N134" s="446"/>
      <c r="O134" s="448"/>
      <c r="P134" s="545"/>
      <c r="Y134" s="457"/>
      <c r="Z134" s="457"/>
      <c r="AA134" s="457"/>
      <c r="AB134" s="457"/>
      <c r="AC134" s="457"/>
      <c r="AD134" s="473"/>
      <c r="AE134" s="474"/>
      <c r="AF134" s="474"/>
      <c r="AG134" s="474"/>
      <c r="AH134" s="473"/>
      <c r="AY134" s="457"/>
      <c r="AZ134" s="457"/>
      <c r="BA134" s="457"/>
      <c r="BB134" s="457"/>
      <c r="BC134" s="567"/>
      <c r="BD134" s="463"/>
      <c r="BE134" s="463"/>
      <c r="BF134" s="463"/>
      <c r="BG134" s="463"/>
      <c r="BH134" s="463"/>
      <c r="BI134" s="463"/>
      <c r="BJ134" s="465"/>
      <c r="BK134" s="568"/>
      <c r="BL134" s="569"/>
      <c r="BM134" s="570"/>
    </row>
    <row r="135" spans="3:65" ht="13.5" hidden="1" x14ac:dyDescent="0.15">
      <c r="C135" s="39"/>
      <c r="D135" s="457"/>
      <c r="E135" s="450"/>
      <c r="F135" s="449"/>
      <c r="H135" s="445"/>
      <c r="I135" s="516"/>
      <c r="L135" s="446"/>
      <c r="M135" s="458"/>
      <c r="N135" s="446"/>
      <c r="O135" s="448"/>
      <c r="P135" s="545"/>
      <c r="Y135" s="457"/>
      <c r="Z135" s="457"/>
      <c r="AA135" s="457"/>
      <c r="AB135" s="457"/>
      <c r="AC135" s="457"/>
      <c r="AD135" s="473"/>
      <c r="AE135" s="474"/>
      <c r="AF135" s="474"/>
      <c r="AG135" s="474"/>
      <c r="AH135" s="473"/>
      <c r="AT135" s="473"/>
      <c r="AY135" s="457"/>
      <c r="AZ135" s="457"/>
      <c r="BA135" s="457"/>
      <c r="BB135" s="457"/>
      <c r="BC135" s="567"/>
      <c r="BD135" s="463"/>
      <c r="BE135" s="463"/>
      <c r="BF135" s="463"/>
      <c r="BG135" s="463"/>
      <c r="BH135" s="463"/>
      <c r="BI135" s="463"/>
      <c r="BJ135" s="465"/>
      <c r="BK135" s="568"/>
      <c r="BL135" s="569"/>
      <c r="BM135" s="570"/>
    </row>
    <row r="136" spans="3:65" ht="13.5" hidden="1" x14ac:dyDescent="0.15">
      <c r="C136" s="39"/>
      <c r="D136" s="457"/>
      <c r="E136" s="437"/>
      <c r="F136" s="560"/>
      <c r="G136" s="458"/>
      <c r="H136" s="458"/>
      <c r="I136" s="458"/>
      <c r="K136" s="414"/>
      <c r="M136" s="458"/>
      <c r="N136" s="451"/>
      <c r="O136" s="457"/>
      <c r="P136" s="545"/>
      <c r="Y136" s="457"/>
      <c r="Z136" s="457"/>
      <c r="AA136" s="457"/>
      <c r="AB136" s="457"/>
      <c r="AC136" s="457"/>
      <c r="AD136" s="473"/>
      <c r="AE136" s="474"/>
      <c r="AF136" s="474"/>
      <c r="AG136" s="474"/>
      <c r="AH136" s="473"/>
      <c r="AY136" s="457"/>
      <c r="AZ136" s="457"/>
      <c r="BA136" s="457"/>
      <c r="BB136" s="457"/>
      <c r="BC136" s="567"/>
      <c r="BD136" s="463"/>
      <c r="BE136" s="463"/>
      <c r="BF136" s="463"/>
      <c r="BG136" s="463"/>
      <c r="BH136" s="463"/>
      <c r="BI136" s="463"/>
      <c r="BJ136" s="465"/>
      <c r="BK136" s="568"/>
      <c r="BL136" s="569"/>
      <c r="BM136" s="570"/>
    </row>
    <row r="137" spans="3:65" ht="13.5" hidden="1" x14ac:dyDescent="0.15">
      <c r="C137" s="561"/>
      <c r="D137" s="454"/>
      <c r="E137" s="437"/>
      <c r="G137" s="458"/>
      <c r="H137" s="458"/>
      <c r="I137" s="458"/>
      <c r="J137" s="458"/>
      <c r="K137" s="414"/>
      <c r="M137" s="458"/>
      <c r="N137" s="451"/>
      <c r="O137" s="457"/>
      <c r="P137" s="545"/>
      <c r="Y137" s="457"/>
      <c r="Z137" s="457"/>
      <c r="AA137" s="457"/>
      <c r="AB137" s="457"/>
      <c r="AC137" s="457"/>
      <c r="AD137" s="473"/>
      <c r="AE137" s="474"/>
      <c r="AF137" s="474"/>
      <c r="AG137" s="474"/>
      <c r="AH137" s="473"/>
      <c r="AY137" s="457"/>
      <c r="AZ137" s="457"/>
      <c r="BA137" s="457"/>
      <c r="BB137" s="457"/>
      <c r="BC137" s="567"/>
      <c r="BD137" s="463"/>
      <c r="BE137" s="463"/>
      <c r="BF137" s="463"/>
      <c r="BG137" s="463"/>
      <c r="BH137" s="463"/>
      <c r="BI137" s="463"/>
      <c r="BJ137" s="465"/>
      <c r="BK137" s="568"/>
      <c r="BL137" s="569"/>
      <c r="BM137" s="570"/>
    </row>
    <row r="138" spans="3:65" ht="13.5" hidden="1" x14ac:dyDescent="0.15">
      <c r="C138" s="458"/>
      <c r="D138" s="454"/>
      <c r="E138" s="437"/>
      <c r="G138" s="458"/>
      <c r="H138" s="458"/>
      <c r="I138" s="458"/>
      <c r="J138" s="458"/>
      <c r="K138" s="414"/>
      <c r="M138" s="458"/>
      <c r="N138" s="451"/>
      <c r="O138" s="457"/>
      <c r="P138" s="545"/>
      <c r="Y138" s="457"/>
      <c r="Z138" s="457"/>
      <c r="AA138" s="457"/>
      <c r="AB138" s="457"/>
      <c r="AC138" s="457"/>
      <c r="AD138" s="473"/>
      <c r="AE138" s="474"/>
      <c r="AF138" s="474"/>
      <c r="AG138" s="474"/>
      <c r="AH138" s="473"/>
      <c r="AY138" s="457"/>
      <c r="AZ138" s="457"/>
      <c r="BA138" s="457"/>
      <c r="BB138" s="457"/>
      <c r="BC138" s="567"/>
      <c r="BD138" s="463"/>
      <c r="BE138" s="463"/>
      <c r="BF138" s="463"/>
      <c r="BG138" s="463"/>
      <c r="BH138" s="463"/>
      <c r="BI138" s="463"/>
      <c r="BJ138" s="465"/>
      <c r="BK138" s="568"/>
      <c r="BL138" s="569"/>
      <c r="BM138" s="570"/>
    </row>
    <row r="139" spans="3:65" ht="13.5" hidden="1" x14ac:dyDescent="0.15">
      <c r="C139" s="413"/>
      <c r="D139" s="413"/>
      <c r="E139" s="413"/>
      <c r="F139" s="413"/>
      <c r="G139" s="413"/>
      <c r="H139" s="413"/>
      <c r="I139" s="413"/>
      <c r="J139" s="413"/>
      <c r="K139" s="413"/>
      <c r="L139" s="413"/>
      <c r="M139" s="413"/>
      <c r="N139" s="413"/>
      <c r="O139" s="413"/>
      <c r="P139" s="413"/>
      <c r="Q139" s="413"/>
      <c r="R139" s="413"/>
      <c r="S139" s="413"/>
      <c r="T139" s="413"/>
      <c r="U139" s="457"/>
      <c r="V139" s="457"/>
      <c r="W139" s="457"/>
      <c r="X139" s="457"/>
      <c r="Y139" s="457"/>
      <c r="Z139" s="457"/>
      <c r="AA139" s="457"/>
      <c r="AB139" s="457"/>
      <c r="AC139" s="457"/>
      <c r="AD139" s="473"/>
      <c r="AE139" s="474"/>
      <c r="AF139" s="474"/>
      <c r="AG139" s="474"/>
      <c r="AH139" s="473"/>
      <c r="AY139" s="457"/>
      <c r="AZ139" s="457"/>
      <c r="BA139" s="457"/>
      <c r="BB139" s="457"/>
      <c r="BC139" s="567"/>
      <c r="BD139" s="463"/>
      <c r="BE139" s="463"/>
      <c r="BF139" s="463"/>
      <c r="BG139" s="463"/>
      <c r="BH139" s="463"/>
      <c r="BI139" s="463"/>
      <c r="BJ139" s="465"/>
      <c r="BK139" s="568"/>
      <c r="BL139" s="569"/>
      <c r="BM139" s="570"/>
    </row>
    <row r="140" spans="3:65" ht="13.5" hidden="1" x14ac:dyDescent="0.15">
      <c r="C140" s="562"/>
      <c r="D140" s="437"/>
      <c r="E140" s="437"/>
      <c r="G140" s="458"/>
      <c r="H140" s="458"/>
      <c r="I140" s="458"/>
      <c r="J140" s="458"/>
      <c r="K140" s="414"/>
      <c r="M140" s="33"/>
      <c r="N140" s="451"/>
      <c r="O140" s="457"/>
      <c r="P140" s="545"/>
      <c r="Q140" s="457"/>
      <c r="R140" s="457"/>
      <c r="S140" s="457"/>
      <c r="T140" s="457"/>
      <c r="U140" s="457"/>
      <c r="V140" s="457"/>
      <c r="W140" s="457"/>
      <c r="X140" s="457"/>
      <c r="Y140" s="457"/>
      <c r="Z140" s="457"/>
      <c r="AA140" s="457"/>
      <c r="AB140" s="457"/>
      <c r="AC140" s="457"/>
      <c r="AD140" s="473"/>
      <c r="AE140" s="474"/>
      <c r="AF140" s="474"/>
      <c r="AG140" s="474"/>
      <c r="AH140" s="473"/>
      <c r="AY140" s="457"/>
      <c r="AZ140" s="457"/>
      <c r="BA140" s="457"/>
      <c r="BB140" s="457"/>
      <c r="BC140" s="567"/>
      <c r="BD140" s="463"/>
      <c r="BE140" s="463"/>
      <c r="BF140" s="463"/>
      <c r="BG140" s="463"/>
      <c r="BH140" s="463"/>
      <c r="BI140" s="463"/>
      <c r="BJ140" s="465"/>
      <c r="BK140" s="568"/>
      <c r="BL140" s="569"/>
      <c r="BM140" s="570"/>
    </row>
    <row r="141" spans="3:65" ht="13.5" hidden="1" x14ac:dyDescent="0.15">
      <c r="C141" s="458"/>
      <c r="E141" s="451"/>
      <c r="F141" s="457"/>
      <c r="G141" s="458"/>
      <c r="H141" s="458"/>
      <c r="I141" s="458"/>
      <c r="J141" s="458"/>
      <c r="K141" s="414"/>
      <c r="M141" s="33"/>
      <c r="P141" s="545"/>
      <c r="Q141" s="457"/>
      <c r="R141" s="457"/>
      <c r="S141" s="457"/>
      <c r="T141" s="457"/>
      <c r="U141" s="457"/>
      <c r="V141" s="457"/>
      <c r="W141" s="457"/>
      <c r="X141" s="457"/>
      <c r="Y141" s="457"/>
      <c r="Z141" s="457"/>
      <c r="AA141" s="457"/>
      <c r="AB141" s="457"/>
      <c r="AC141" s="457"/>
      <c r="AD141" s="473"/>
      <c r="AE141" s="474"/>
      <c r="AF141" s="474"/>
      <c r="AG141" s="474"/>
      <c r="AH141" s="473"/>
      <c r="AY141" s="457"/>
      <c r="AZ141" s="457"/>
      <c r="BA141" s="457"/>
      <c r="BB141" s="457"/>
      <c r="BC141" s="567"/>
      <c r="BD141" s="463"/>
      <c r="BE141" s="463"/>
      <c r="BF141" s="463"/>
      <c r="BG141" s="463"/>
      <c r="BH141" s="463"/>
      <c r="BI141" s="463"/>
      <c r="BJ141" s="465"/>
      <c r="BK141" s="568"/>
      <c r="BL141" s="569"/>
      <c r="BM141" s="570"/>
    </row>
    <row r="142" spans="3:65" ht="13.5" hidden="1" x14ac:dyDescent="0.15">
      <c r="C142" s="563"/>
      <c r="G142" s="458"/>
      <c r="M142" s="33"/>
      <c r="Q142" s="457"/>
      <c r="R142" s="457"/>
      <c r="S142" s="457"/>
      <c r="T142" s="457"/>
      <c r="U142" s="457"/>
      <c r="V142" s="457"/>
      <c r="W142" s="457"/>
      <c r="X142" s="457"/>
      <c r="Y142" s="457"/>
      <c r="Z142" s="457"/>
      <c r="AA142" s="457"/>
      <c r="AB142" s="457"/>
      <c r="AC142" s="457"/>
      <c r="AD142" s="473"/>
      <c r="AE142" s="474"/>
      <c r="AF142" s="474"/>
      <c r="AG142" s="474"/>
      <c r="AH142" s="473"/>
      <c r="AY142" s="457"/>
      <c r="AZ142" s="457"/>
      <c r="BA142" s="457"/>
      <c r="BB142" s="457"/>
      <c r="BC142" s="503"/>
      <c r="BD142" s="463"/>
      <c r="BE142" s="463"/>
      <c r="BF142" s="463"/>
      <c r="BG142" s="463"/>
      <c r="BH142" s="463"/>
      <c r="BI142" s="463"/>
      <c r="BJ142" s="465"/>
      <c r="BK142" s="568"/>
      <c r="BL142" s="569"/>
      <c r="BM142" s="570"/>
    </row>
    <row r="143" spans="3:65" ht="13.5" hidden="1" x14ac:dyDescent="0.15">
      <c r="C143" s="458"/>
      <c r="D143" s="437"/>
      <c r="E143" s="437"/>
      <c r="G143" s="458"/>
      <c r="H143" s="458"/>
      <c r="I143" s="458"/>
      <c r="J143" s="458"/>
      <c r="K143" s="414"/>
      <c r="M143" s="457"/>
      <c r="N143" s="451"/>
      <c r="O143" s="457"/>
      <c r="P143" s="545"/>
      <c r="Q143" s="457"/>
      <c r="R143" s="457"/>
      <c r="S143" s="457"/>
      <c r="T143" s="457"/>
      <c r="U143" s="457"/>
      <c r="V143" s="457"/>
      <c r="W143" s="457"/>
      <c r="X143" s="457"/>
      <c r="Y143" s="457"/>
      <c r="Z143" s="457"/>
      <c r="AA143" s="457"/>
      <c r="AB143" s="457"/>
      <c r="AC143" s="457"/>
      <c r="AD143" s="473"/>
      <c r="AE143" s="474"/>
      <c r="AF143" s="474"/>
      <c r="AG143" s="474"/>
      <c r="AH143" s="473"/>
      <c r="AY143" s="457"/>
      <c r="AZ143" s="457"/>
      <c r="BA143" s="457"/>
      <c r="BB143" s="457"/>
      <c r="BC143" s="567"/>
      <c r="BD143" s="463"/>
      <c r="BE143" s="463"/>
      <c r="BF143" s="463"/>
      <c r="BG143" s="463"/>
      <c r="BH143" s="463"/>
      <c r="BI143" s="463"/>
      <c r="BJ143" s="465"/>
      <c r="BK143" s="568"/>
      <c r="BL143" s="569"/>
      <c r="BM143" s="570"/>
    </row>
    <row r="144" spans="3:65" ht="13.5" hidden="1" x14ac:dyDescent="0.15">
      <c r="C144" s="458"/>
      <c r="D144" s="437"/>
      <c r="E144" s="437"/>
      <c r="G144" s="458"/>
      <c r="H144" s="458"/>
      <c r="I144" s="458"/>
      <c r="J144" s="458"/>
      <c r="K144" s="414"/>
      <c r="M144" s="455"/>
      <c r="N144" s="451"/>
      <c r="O144" s="457"/>
      <c r="P144" s="545"/>
      <c r="Q144" s="457"/>
      <c r="R144" s="457"/>
      <c r="S144" s="457"/>
      <c r="T144" s="457"/>
      <c r="U144" s="457"/>
      <c r="V144" s="457"/>
      <c r="W144" s="457"/>
      <c r="X144" s="457"/>
      <c r="Y144" s="457"/>
      <c r="Z144" s="457"/>
      <c r="AA144" s="457"/>
      <c r="AB144" s="457"/>
      <c r="AC144" s="457"/>
      <c r="AD144" s="473"/>
      <c r="AE144" s="474"/>
      <c r="AF144" s="474"/>
      <c r="AG144" s="474"/>
      <c r="AH144" s="473"/>
      <c r="AY144" s="457"/>
      <c r="AZ144" s="457"/>
      <c r="BA144" s="457"/>
      <c r="BB144" s="457"/>
      <c r="BC144" s="567"/>
      <c r="BD144" s="463"/>
      <c r="BE144" s="463"/>
      <c r="BF144" s="463"/>
      <c r="BG144" s="463"/>
      <c r="BH144" s="463"/>
      <c r="BI144" s="463"/>
      <c r="BJ144" s="465"/>
      <c r="BK144" s="568"/>
      <c r="BL144" s="569"/>
      <c r="BM144" s="570"/>
    </row>
    <row r="145" spans="3:65" hidden="1" x14ac:dyDescent="0.15">
      <c r="C145" s="563"/>
      <c r="D145" s="437"/>
      <c r="E145" s="437"/>
      <c r="F145" s="458"/>
      <c r="G145" s="458"/>
      <c r="H145" s="458"/>
      <c r="I145" s="458"/>
      <c r="J145" s="458"/>
      <c r="K145" s="458"/>
      <c r="L145" s="423"/>
      <c r="O145" s="457"/>
      <c r="P145" s="545"/>
      <c r="Q145" s="518"/>
      <c r="R145" s="457"/>
      <c r="S145" s="457"/>
      <c r="T145" s="457"/>
      <c r="U145" s="457"/>
      <c r="V145" s="457"/>
      <c r="W145" s="457"/>
      <c r="X145" s="457"/>
      <c r="Y145" s="457"/>
      <c r="Z145" s="457"/>
      <c r="AA145" s="457"/>
      <c r="AB145" s="457"/>
      <c r="AC145" s="457"/>
      <c r="AD145" s="473"/>
      <c r="AE145" s="474"/>
      <c r="AF145" s="474"/>
      <c r="AG145" s="474"/>
      <c r="AH145" s="473"/>
      <c r="AY145" s="457"/>
      <c r="AZ145" s="457"/>
      <c r="BA145" s="457"/>
      <c r="BB145" s="457"/>
      <c r="BC145" s="567"/>
      <c r="BD145" s="463"/>
      <c r="BE145" s="463"/>
      <c r="BF145" s="463"/>
      <c r="BG145" s="463"/>
      <c r="BH145" s="463"/>
      <c r="BI145" s="463"/>
      <c r="BJ145" s="465"/>
      <c r="BK145" s="568"/>
      <c r="BL145" s="569"/>
      <c r="BM145" s="570"/>
    </row>
    <row r="146" spans="3:65" ht="13.5" hidden="1" x14ac:dyDescent="0.15">
      <c r="C146" s="563"/>
      <c r="D146" s="437"/>
      <c r="E146" s="437"/>
      <c r="F146" s="458"/>
      <c r="G146" s="458"/>
      <c r="H146" s="458"/>
      <c r="I146" s="458"/>
      <c r="J146" s="458"/>
      <c r="K146" s="458"/>
      <c r="Q146" s="457"/>
      <c r="R146" s="457"/>
      <c r="S146" s="457"/>
      <c r="T146" s="457"/>
      <c r="U146" s="457"/>
      <c r="V146" s="457"/>
      <c r="W146" s="457"/>
      <c r="X146" s="457"/>
      <c r="Y146" s="457"/>
      <c r="Z146" s="457"/>
      <c r="AA146" s="457"/>
      <c r="AB146" s="457"/>
      <c r="AC146" s="457"/>
      <c r="AD146" s="473"/>
      <c r="AE146" s="474"/>
      <c r="AF146" s="474"/>
      <c r="AG146" s="474"/>
      <c r="AH146" s="473"/>
      <c r="AY146" s="457"/>
      <c r="AZ146" s="457"/>
      <c r="BA146" s="457"/>
      <c r="BB146" s="457"/>
      <c r="BC146" s="567"/>
      <c r="BD146" s="463"/>
      <c r="BE146" s="463"/>
      <c r="BF146" s="463"/>
      <c r="BG146" s="463"/>
      <c r="BH146" s="463"/>
      <c r="BI146" s="463"/>
      <c r="BJ146" s="465"/>
      <c r="BK146" s="568"/>
      <c r="BL146" s="569"/>
      <c r="BM146" s="570"/>
    </row>
    <row r="147" spans="3:65" ht="13.5" hidden="1" x14ac:dyDescent="0.15">
      <c r="C147" s="458"/>
      <c r="D147" s="437"/>
      <c r="E147" s="437"/>
      <c r="F147" s="458"/>
      <c r="G147" s="458"/>
      <c r="H147" s="458"/>
      <c r="I147" s="458"/>
      <c r="J147" s="458"/>
      <c r="K147" s="458"/>
      <c r="M147" s="458"/>
      <c r="N147" s="458"/>
      <c r="O147" s="457"/>
      <c r="P147" s="545"/>
      <c r="Q147" s="457"/>
      <c r="R147" s="457"/>
      <c r="S147" s="457"/>
      <c r="T147" s="457"/>
      <c r="U147" s="457"/>
      <c r="V147" s="457"/>
      <c r="W147" s="457"/>
      <c r="X147" s="457"/>
      <c r="Y147" s="457"/>
      <c r="Z147" s="457"/>
      <c r="AA147" s="457"/>
      <c r="AB147" s="457"/>
      <c r="AC147" s="457"/>
      <c r="AD147" s="473"/>
      <c r="AE147" s="474"/>
      <c r="AF147" s="474"/>
      <c r="AG147" s="474"/>
      <c r="AH147" s="473"/>
      <c r="AY147" s="457"/>
      <c r="AZ147" s="457"/>
      <c r="BA147" s="457"/>
      <c r="BB147" s="457"/>
      <c r="BC147" s="567"/>
      <c r="BD147" s="463"/>
      <c r="BE147" s="463"/>
      <c r="BF147" s="463"/>
      <c r="BG147" s="463"/>
      <c r="BH147" s="463"/>
      <c r="BI147" s="463"/>
      <c r="BJ147" s="465"/>
      <c r="BK147" s="568"/>
      <c r="BL147" s="569"/>
      <c r="BM147" s="570"/>
    </row>
    <row r="148" spans="3:65" ht="13.5" hidden="1" x14ac:dyDescent="0.15">
      <c r="C148" s="458"/>
      <c r="D148" s="437"/>
      <c r="E148" s="437"/>
      <c r="F148" s="458"/>
      <c r="G148" s="458"/>
      <c r="H148" s="458"/>
      <c r="I148" s="458"/>
      <c r="J148" s="458"/>
      <c r="K148" s="458"/>
      <c r="M148" s="564"/>
      <c r="N148" s="457"/>
      <c r="O148" s="457"/>
      <c r="P148" s="545"/>
      <c r="Q148" s="556"/>
      <c r="R148" s="556"/>
      <c r="S148" s="556"/>
      <c r="T148" s="457"/>
      <c r="U148" s="457"/>
      <c r="V148" s="457"/>
      <c r="W148" s="457"/>
      <c r="X148" s="457"/>
      <c r="Y148" s="457"/>
      <c r="Z148" s="457"/>
      <c r="AA148" s="457"/>
      <c r="AB148" s="457"/>
      <c r="AC148" s="457"/>
      <c r="AD148" s="473"/>
      <c r="AE148" s="474"/>
      <c r="AF148" s="474"/>
      <c r="AG148" s="474"/>
      <c r="AH148" s="473"/>
      <c r="AY148" s="457"/>
      <c r="AZ148" s="457"/>
      <c r="BA148" s="457"/>
      <c r="BB148" s="457"/>
      <c r="BC148" s="567"/>
      <c r="BD148" s="463"/>
      <c r="BE148" s="463"/>
      <c r="BF148" s="463"/>
      <c r="BG148" s="463"/>
      <c r="BH148" s="463"/>
      <c r="BI148" s="463"/>
      <c r="BJ148" s="465"/>
      <c r="BK148" s="568"/>
      <c r="BL148" s="569"/>
      <c r="BM148" s="570"/>
    </row>
    <row r="149" spans="3:65" ht="13.5" hidden="1" x14ac:dyDescent="0.15">
      <c r="C149" s="495"/>
      <c r="D149" s="495"/>
      <c r="E149" s="495"/>
      <c r="F149" s="495"/>
      <c r="G149" s="495"/>
      <c r="H149" s="495"/>
      <c r="I149" s="495"/>
      <c r="J149" s="495"/>
      <c r="K149" s="495"/>
      <c r="L149" s="473"/>
      <c r="M149" s="457"/>
      <c r="N149" s="457"/>
      <c r="O149" s="457"/>
      <c r="P149" s="545"/>
      <c r="Q149" s="556"/>
      <c r="R149" s="565"/>
      <c r="S149" s="565"/>
      <c r="T149" s="457"/>
      <c r="U149" s="457"/>
      <c r="V149" s="457"/>
      <c r="W149" s="457"/>
      <c r="X149" s="457"/>
      <c r="Y149" s="457"/>
      <c r="Z149" s="457"/>
      <c r="AA149" s="457"/>
      <c r="AB149" s="457"/>
      <c r="AC149" s="457"/>
      <c r="AD149" s="473"/>
      <c r="AE149" s="474"/>
      <c r="AF149" s="474"/>
      <c r="AG149" s="474"/>
      <c r="AH149" s="473"/>
      <c r="AY149" s="457"/>
      <c r="AZ149" s="457"/>
      <c r="BA149" s="457"/>
      <c r="BB149" s="457"/>
      <c r="BC149" s="567"/>
      <c r="BD149" s="463"/>
      <c r="BE149" s="463"/>
      <c r="BF149" s="463"/>
      <c r="BG149" s="463"/>
      <c r="BH149" s="463"/>
      <c r="BI149" s="463"/>
      <c r="BJ149" s="465"/>
      <c r="BK149" s="568"/>
      <c r="BL149" s="569"/>
      <c r="BM149" s="570"/>
    </row>
    <row r="150" spans="3:65" ht="13.5" hidden="1" x14ac:dyDescent="0.15">
      <c r="C150" s="496"/>
      <c r="D150" s="496"/>
      <c r="E150" s="496"/>
      <c r="F150" s="496"/>
      <c r="G150" s="496"/>
      <c r="H150" s="496"/>
      <c r="I150" s="496"/>
      <c r="J150" s="496"/>
      <c r="K150" s="496"/>
      <c r="L150" s="497"/>
      <c r="M150" s="455"/>
      <c r="N150" s="457"/>
      <c r="O150" s="457"/>
      <c r="P150" s="545"/>
      <c r="Q150" s="556"/>
      <c r="R150" s="565"/>
      <c r="S150" s="556"/>
      <c r="T150" s="457"/>
      <c r="U150" s="457"/>
      <c r="V150" s="457"/>
      <c r="W150" s="457"/>
      <c r="X150" s="457"/>
      <c r="Y150" s="457"/>
      <c r="Z150" s="457"/>
      <c r="AA150" s="457"/>
      <c r="AB150" s="457"/>
      <c r="AC150" s="457"/>
      <c r="AD150" s="473"/>
      <c r="AE150" s="474"/>
      <c r="AF150" s="474"/>
      <c r="AG150" s="474"/>
      <c r="AH150" s="473"/>
      <c r="AY150" s="457"/>
      <c r="AZ150" s="457"/>
      <c r="BA150" s="457"/>
      <c r="BB150" s="457"/>
      <c r="BC150" s="567"/>
      <c r="BD150" s="463"/>
      <c r="BE150" s="463"/>
      <c r="BF150" s="463"/>
      <c r="BG150" s="463"/>
      <c r="BH150" s="463"/>
      <c r="BI150" s="463"/>
      <c r="BJ150" s="465"/>
      <c r="BK150" s="568"/>
      <c r="BL150" s="569"/>
      <c r="BM150" s="570"/>
    </row>
    <row r="151" spans="3:65" ht="13.5" hidden="1" x14ac:dyDescent="0.15">
      <c r="C151" s="473"/>
      <c r="D151" s="473"/>
      <c r="E151" s="473"/>
      <c r="F151" s="473"/>
      <c r="G151" s="473"/>
      <c r="H151" s="473"/>
      <c r="I151" s="473"/>
      <c r="J151" s="473"/>
      <c r="K151" s="473"/>
      <c r="L151" s="473"/>
      <c r="N151" s="457"/>
      <c r="O151" s="457"/>
      <c r="P151" s="545"/>
      <c r="Q151" s="556"/>
      <c r="R151" s="566"/>
      <c r="S151" s="565"/>
      <c r="T151" s="457"/>
      <c r="AD151" s="473"/>
      <c r="AE151" s="474"/>
      <c r="AF151" s="474"/>
      <c r="AG151" s="474"/>
      <c r="AH151" s="473"/>
      <c r="AY151" s="457"/>
      <c r="AZ151" s="457"/>
      <c r="BC151" s="567"/>
      <c r="BD151" s="463"/>
      <c r="BE151" s="463"/>
      <c r="BF151" s="463"/>
      <c r="BG151" s="463"/>
      <c r="BH151" s="463"/>
      <c r="BI151" s="463"/>
      <c r="BJ151" s="465"/>
      <c r="BK151" s="568"/>
      <c r="BL151" s="569"/>
      <c r="BM151" s="570"/>
    </row>
    <row r="152" spans="3:65" ht="13.5" hidden="1" customHeight="1" x14ac:dyDescent="0.15">
      <c r="C152" s="458"/>
      <c r="D152" s="437"/>
      <c r="E152" s="437"/>
      <c r="F152" s="437"/>
      <c r="G152" s="437"/>
      <c r="H152" s="437"/>
      <c r="I152" s="437"/>
      <c r="J152" s="437"/>
      <c r="K152" s="437"/>
      <c r="L152" s="473"/>
      <c r="M152" s="473"/>
      <c r="P152" s="545"/>
      <c r="Q152" s="477"/>
      <c r="R152" s="477"/>
      <c r="S152" s="565"/>
      <c r="AY152" s="457"/>
      <c r="AZ152" s="457"/>
      <c r="BC152" s="567"/>
      <c r="BD152" s="463"/>
      <c r="BE152" s="463"/>
      <c r="BF152" s="463"/>
      <c r="BG152" s="463"/>
      <c r="BH152" s="463"/>
      <c r="BI152" s="463"/>
      <c r="BJ152" s="465"/>
      <c r="BK152" s="568"/>
      <c r="BL152" s="569"/>
      <c r="BM152" s="570"/>
    </row>
    <row r="153" spans="3:65" ht="12.75" hidden="1" customHeight="1" x14ac:dyDescent="0.15">
      <c r="C153" s="414"/>
      <c r="E153" s="437"/>
      <c r="G153" s="458"/>
      <c r="H153" s="458"/>
      <c r="I153" s="458"/>
      <c r="J153" s="437"/>
      <c r="K153" s="437"/>
      <c r="L153" s="473"/>
      <c r="P153" s="545"/>
      <c r="Q153" s="477"/>
      <c r="R153" s="565"/>
      <c r="S153" s="477"/>
      <c r="AY153" s="457"/>
      <c r="AZ153" s="457"/>
      <c r="BC153" s="567"/>
      <c r="BD153" s="463"/>
      <c r="BE153" s="463"/>
      <c r="BF153" s="463"/>
      <c r="BG153" s="463"/>
      <c r="BH153" s="463"/>
      <c r="BI153" s="463"/>
      <c r="BJ153" s="465"/>
      <c r="BK153" s="568"/>
      <c r="BL153" s="569"/>
      <c r="BM153" s="570"/>
    </row>
    <row r="154" spans="3:65" ht="13.5" hidden="1" customHeight="1" x14ac:dyDescent="0.15">
      <c r="C154" s="450"/>
      <c r="D154" s="459"/>
      <c r="E154" s="459"/>
      <c r="F154" s="459"/>
      <c r="G154" s="459"/>
      <c r="H154" s="459"/>
      <c r="I154" s="459"/>
      <c r="J154" s="459"/>
      <c r="K154" s="459"/>
      <c r="L154" s="473"/>
      <c r="M154" s="473"/>
      <c r="Q154" s="477"/>
      <c r="R154" s="477"/>
      <c r="S154" s="477"/>
      <c r="AY154" s="457"/>
      <c r="AZ154" s="457"/>
      <c r="BC154" s="567"/>
      <c r="BD154" s="463"/>
      <c r="BE154" s="463"/>
      <c r="BF154" s="463"/>
      <c r="BG154" s="463"/>
      <c r="BH154" s="463"/>
      <c r="BI154" s="463"/>
      <c r="BJ154" s="465"/>
      <c r="BK154" s="568"/>
      <c r="BL154" s="569"/>
      <c r="BM154" s="570"/>
    </row>
    <row r="155" spans="3:65" ht="12.75" hidden="1" customHeight="1" x14ac:dyDescent="0.15">
      <c r="C155" s="450"/>
      <c r="D155" s="457"/>
      <c r="E155" s="457"/>
      <c r="F155" s="457"/>
      <c r="G155" s="459"/>
      <c r="H155" s="459"/>
      <c r="I155" s="459"/>
      <c r="J155" s="457"/>
      <c r="K155" s="457"/>
      <c r="L155" s="473"/>
      <c r="M155" s="473"/>
      <c r="Q155" s="477"/>
      <c r="R155" s="477"/>
      <c r="S155" s="477"/>
      <c r="AY155" s="457"/>
      <c r="AZ155" s="457"/>
      <c r="BC155" s="567"/>
      <c r="BD155" s="463"/>
      <c r="BE155" s="463"/>
      <c r="BF155" s="463"/>
      <c r="BG155" s="463"/>
      <c r="BH155" s="463"/>
      <c r="BI155" s="463"/>
      <c r="BJ155" s="465"/>
      <c r="BK155" s="568"/>
      <c r="BL155" s="569"/>
      <c r="BM155" s="570"/>
    </row>
    <row r="156" spans="3:65" ht="12.75" hidden="1" customHeight="1" x14ac:dyDescent="0.15">
      <c r="C156" s="458"/>
      <c r="D156" s="458"/>
      <c r="E156" s="458"/>
      <c r="G156" s="458"/>
      <c r="H156" s="458"/>
      <c r="I156" s="458"/>
      <c r="J156" s="458"/>
      <c r="L156" s="473"/>
      <c r="M156" s="473"/>
      <c r="BC156" s="567"/>
      <c r="BD156" s="463"/>
      <c r="BE156" s="463"/>
      <c r="BF156" s="463"/>
      <c r="BG156" s="463"/>
      <c r="BH156" s="463"/>
      <c r="BI156" s="463"/>
      <c r="BJ156" s="465"/>
      <c r="BK156" s="568"/>
      <c r="BL156" s="569"/>
      <c r="BM156" s="570"/>
    </row>
    <row r="157" spans="3:65" ht="12.75" hidden="1" customHeight="1" x14ac:dyDescent="0.15">
      <c r="C157" s="458"/>
      <c r="D157" s="460"/>
      <c r="E157" s="458"/>
      <c r="F157" s="460"/>
      <c r="G157" s="458"/>
      <c r="H157" s="458"/>
      <c r="I157" s="458"/>
      <c r="J157" s="458"/>
      <c r="L157" s="473"/>
      <c r="M157" s="473"/>
      <c r="BC157" s="567"/>
      <c r="BD157" s="463"/>
      <c r="BE157" s="463"/>
      <c r="BF157" s="463"/>
      <c r="BG157" s="463"/>
      <c r="BH157" s="463"/>
      <c r="BI157" s="463"/>
      <c r="BJ157" s="465"/>
      <c r="BK157" s="568"/>
      <c r="BL157" s="569"/>
      <c r="BM157" s="570"/>
    </row>
    <row r="158" spans="3:65" ht="12.75" hidden="1" customHeight="1" x14ac:dyDescent="0.15">
      <c r="C158" s="473"/>
      <c r="D158" s="473"/>
      <c r="E158" s="473"/>
      <c r="F158" s="473"/>
      <c r="G158" s="473"/>
      <c r="H158" s="473"/>
      <c r="I158" s="473"/>
      <c r="J158" s="473"/>
      <c r="K158" s="473"/>
      <c r="L158" s="473"/>
      <c r="M158" s="473"/>
      <c r="BC158" s="567"/>
      <c r="BD158" s="463"/>
      <c r="BE158" s="463"/>
      <c r="BF158" s="463"/>
      <c r="BG158" s="463"/>
      <c r="BH158" s="463"/>
      <c r="BI158" s="463"/>
      <c r="BJ158" s="465"/>
      <c r="BK158" s="568"/>
      <c r="BL158" s="569"/>
      <c r="BM158" s="570"/>
    </row>
    <row r="159" spans="3:65" ht="12.75" hidden="1" customHeight="1" x14ac:dyDescent="0.15">
      <c r="C159" s="471"/>
      <c r="D159" s="471"/>
      <c r="E159" s="471"/>
      <c r="F159" s="471"/>
      <c r="G159" s="471"/>
      <c r="H159" s="471"/>
      <c r="I159" s="471"/>
      <c r="J159" s="471"/>
      <c r="K159" s="471"/>
      <c r="L159" s="471"/>
      <c r="M159" s="471"/>
      <c r="N159" s="471"/>
      <c r="O159" s="471"/>
      <c r="BC159" s="567"/>
      <c r="BD159" s="463"/>
      <c r="BE159" s="463"/>
      <c r="BF159" s="463"/>
      <c r="BG159" s="464"/>
      <c r="BH159" s="464"/>
      <c r="BI159" s="464"/>
      <c r="BJ159" s="465"/>
      <c r="BK159" s="568"/>
      <c r="BL159" s="569"/>
      <c r="BM159" s="570"/>
    </row>
    <row r="160" spans="3:65" ht="12.75" hidden="1" customHeight="1" x14ac:dyDescent="0.15">
      <c r="C160" s="473"/>
      <c r="D160" s="456"/>
      <c r="E160" s="461"/>
      <c r="F160" s="461"/>
      <c r="G160" s="462"/>
      <c r="H160" s="472"/>
      <c r="I160" s="473"/>
      <c r="J160" s="473"/>
      <c r="N160" s="414"/>
      <c r="Q160" s="461"/>
      <c r="R160" s="462"/>
      <c r="BC160" s="571"/>
      <c r="BD160" s="463"/>
      <c r="BE160" s="463"/>
      <c r="BF160" s="463"/>
      <c r="BG160" s="464"/>
      <c r="BH160" s="464"/>
      <c r="BI160" s="464"/>
      <c r="BJ160" s="465"/>
      <c r="BK160" s="568"/>
      <c r="BL160" s="569"/>
      <c r="BM160" s="570"/>
    </row>
    <row r="161" spans="3:65" ht="12.75" hidden="1" customHeight="1" x14ac:dyDescent="0.15">
      <c r="C161" s="498"/>
      <c r="D161" s="456"/>
      <c r="E161" s="466"/>
      <c r="F161" s="467"/>
      <c r="G161" s="468"/>
      <c r="Q161" s="572"/>
      <c r="R161" s="572"/>
      <c r="T161" s="437"/>
      <c r="X161" s="446"/>
      <c r="AA161" s="557"/>
      <c r="BC161" s="571"/>
      <c r="BD161" s="463"/>
      <c r="BE161" s="463"/>
      <c r="BF161" s="463"/>
      <c r="BG161" s="464"/>
      <c r="BH161" s="464"/>
      <c r="BI161" s="464"/>
      <c r="BJ161" s="465"/>
      <c r="BK161" s="568"/>
      <c r="BL161" s="569"/>
      <c r="BM161" s="570"/>
    </row>
    <row r="162" spans="3:65" ht="12.75" hidden="1" customHeight="1" x14ac:dyDescent="0.15">
      <c r="C162" s="473"/>
      <c r="D162" s="456"/>
      <c r="E162" s="466"/>
      <c r="F162" s="467"/>
      <c r="G162" s="468"/>
      <c r="H162" s="457"/>
      <c r="I162" s="457"/>
      <c r="J162" s="457"/>
      <c r="Q162" s="572"/>
      <c r="R162" s="572"/>
      <c r="BC162" s="571"/>
      <c r="BD162" s="463"/>
      <c r="BE162" s="463"/>
      <c r="BF162" s="463"/>
      <c r="BG162" s="464"/>
      <c r="BH162" s="464"/>
      <c r="BI162" s="464"/>
      <c r="BJ162" s="465"/>
      <c r="BK162" s="568"/>
      <c r="BL162" s="569"/>
      <c r="BM162" s="570"/>
    </row>
    <row r="163" spans="3:65" ht="12.75" hidden="1" customHeight="1" x14ac:dyDescent="0.15">
      <c r="C163" s="473"/>
      <c r="D163" s="456"/>
      <c r="E163" s="466"/>
      <c r="F163" s="467"/>
      <c r="G163" s="468"/>
      <c r="H163" s="457"/>
      <c r="I163" s="457"/>
      <c r="J163" s="457"/>
      <c r="Q163" s="572"/>
      <c r="R163" s="572"/>
      <c r="BC163" s="571"/>
      <c r="BD163" s="463"/>
      <c r="BE163" s="463"/>
      <c r="BF163" s="463"/>
      <c r="BG163" s="464"/>
      <c r="BH163" s="464"/>
      <c r="BI163" s="464"/>
      <c r="BJ163" s="465"/>
      <c r="BK163" s="568"/>
      <c r="BL163" s="569"/>
      <c r="BM163" s="570"/>
    </row>
    <row r="164" spans="3:65" ht="12.75" hidden="1" customHeight="1" x14ac:dyDescent="0.15">
      <c r="C164" s="473"/>
      <c r="D164" s="456"/>
      <c r="E164" s="466"/>
      <c r="F164" s="467"/>
      <c r="G164" s="468"/>
      <c r="H164" s="457"/>
      <c r="I164" s="457"/>
      <c r="J164" s="457"/>
      <c r="Q164" s="572"/>
      <c r="R164" s="572"/>
      <c r="BC164" s="473"/>
      <c r="BD164" s="473"/>
      <c r="BE164" s="473"/>
      <c r="BF164" s="473"/>
      <c r="BG164" s="473"/>
      <c r="BH164" s="473"/>
      <c r="BI164" s="473"/>
      <c r="BJ164" s="473"/>
      <c r="BK164" s="473"/>
      <c r="BL164" s="569"/>
      <c r="BM164" s="570"/>
    </row>
    <row r="165" spans="3:65" ht="12.75" hidden="1" customHeight="1" x14ac:dyDescent="0.15">
      <c r="C165" s="473"/>
      <c r="D165" s="456"/>
      <c r="E165" s="466"/>
      <c r="F165" s="467"/>
      <c r="G165" s="468"/>
      <c r="H165" s="457"/>
      <c r="I165" s="457"/>
      <c r="J165" s="457"/>
      <c r="Q165" s="572"/>
      <c r="R165" s="572"/>
      <c r="BC165" s="473"/>
      <c r="BD165" s="473"/>
      <c r="BE165" s="473"/>
      <c r="BF165" s="474"/>
      <c r="BG165" s="474"/>
      <c r="BH165" s="474"/>
      <c r="BI165" s="474"/>
      <c r="BJ165" s="474"/>
      <c r="BK165" s="469"/>
      <c r="BL165" s="569"/>
      <c r="BM165" s="570"/>
    </row>
    <row r="166" spans="3:65" ht="12.75" hidden="1" customHeight="1" x14ac:dyDescent="0.15">
      <c r="C166" s="473"/>
      <c r="D166" s="456"/>
      <c r="E166" s="466"/>
      <c r="F166" s="467"/>
      <c r="G166" s="468"/>
      <c r="H166" s="457"/>
      <c r="I166" s="457"/>
      <c r="J166" s="457"/>
      <c r="Q166" s="572"/>
      <c r="R166" s="572"/>
      <c r="BC166" s="473"/>
      <c r="BD166" s="573"/>
      <c r="BE166" s="573"/>
      <c r="BF166" s="473"/>
      <c r="BG166" s="473"/>
      <c r="BH166" s="473"/>
      <c r="BI166" s="473"/>
      <c r="BJ166" s="473"/>
      <c r="BK166" s="473"/>
      <c r="BL166" s="569"/>
      <c r="BM166" s="570"/>
    </row>
    <row r="167" spans="3:65" ht="12.75" hidden="1" customHeight="1" x14ac:dyDescent="0.15">
      <c r="C167" s="473"/>
      <c r="D167" s="456"/>
      <c r="E167" s="466"/>
      <c r="F167" s="467"/>
      <c r="G167" s="468"/>
      <c r="H167" s="457"/>
      <c r="I167" s="457"/>
      <c r="J167" s="457"/>
      <c r="Q167" s="572"/>
      <c r="R167" s="572"/>
      <c r="BC167" s="473"/>
      <c r="BD167" s="573"/>
      <c r="BE167" s="573"/>
      <c r="BF167" s="473"/>
      <c r="BG167" s="473"/>
      <c r="BH167" s="473"/>
      <c r="BI167" s="473"/>
      <c r="BJ167" s="473"/>
      <c r="BK167" s="473"/>
      <c r="BL167" s="569"/>
      <c r="BM167" s="570"/>
    </row>
    <row r="168" spans="3:65" ht="12.75" hidden="1" customHeight="1" x14ac:dyDescent="0.15">
      <c r="C168" s="473"/>
      <c r="D168" s="456"/>
      <c r="E168" s="466"/>
      <c r="F168" s="467"/>
      <c r="G168" s="468"/>
      <c r="H168" s="499"/>
      <c r="I168" s="474"/>
      <c r="J168" s="474"/>
      <c r="Q168" s="572"/>
      <c r="R168" s="572"/>
      <c r="BC168" s="473"/>
      <c r="BD168" s="573"/>
      <c r="BE168" s="573"/>
      <c r="BF168" s="473"/>
      <c r="BG168" s="473"/>
      <c r="BH168" s="473"/>
      <c r="BI168" s="473"/>
      <c r="BJ168" s="473"/>
      <c r="BK168" s="473"/>
      <c r="BL168" s="473"/>
      <c r="BM168" s="473"/>
    </row>
    <row r="169" spans="3:65" ht="12.75" hidden="1" customHeight="1" x14ac:dyDescent="0.15">
      <c r="C169" s="473"/>
      <c r="D169" s="456"/>
      <c r="E169" s="466"/>
      <c r="F169" s="467"/>
      <c r="G169" s="468"/>
      <c r="H169" s="499"/>
      <c r="I169" s="474"/>
      <c r="J169" s="474"/>
      <c r="Q169" s="572"/>
      <c r="R169" s="572"/>
      <c r="BC169" s="473"/>
      <c r="BD169" s="573"/>
      <c r="BE169" s="573"/>
      <c r="BF169" s="473"/>
      <c r="BG169" s="473"/>
      <c r="BH169" s="473"/>
      <c r="BI169" s="473"/>
      <c r="BJ169" s="473"/>
      <c r="BK169" s="473"/>
    </row>
    <row r="170" spans="3:65" ht="12.75" hidden="1" customHeight="1" x14ac:dyDescent="0.15">
      <c r="C170" s="473"/>
      <c r="D170" s="456"/>
      <c r="E170" s="466"/>
      <c r="F170" s="467"/>
      <c r="G170" s="468"/>
      <c r="H170" s="499"/>
      <c r="I170" s="474"/>
      <c r="J170" s="474"/>
      <c r="Q170" s="572"/>
      <c r="R170" s="572"/>
      <c r="BC170" s="473"/>
      <c r="BD170" s="473"/>
      <c r="BE170" s="473"/>
      <c r="BF170" s="473"/>
      <c r="BG170" s="473"/>
      <c r="BH170" s="473"/>
      <c r="BI170" s="473"/>
      <c r="BJ170" s="473"/>
      <c r="BK170" s="473"/>
    </row>
    <row r="171" spans="3:65" ht="12.75" hidden="1" customHeight="1" x14ac:dyDescent="0.15">
      <c r="C171" s="473"/>
      <c r="D171" s="456"/>
      <c r="E171" s="466"/>
      <c r="F171" s="467"/>
      <c r="G171" s="468"/>
      <c r="H171" s="499"/>
      <c r="I171" s="474"/>
      <c r="J171" s="474"/>
      <c r="Q171" s="572"/>
      <c r="R171" s="572"/>
      <c r="BC171" s="473"/>
      <c r="BD171" s="473"/>
      <c r="BE171" s="473"/>
      <c r="BF171" s="473"/>
      <c r="BG171" s="473"/>
      <c r="BH171" s="473"/>
      <c r="BI171" s="473"/>
      <c r="BJ171" s="473"/>
      <c r="BK171" s="473"/>
    </row>
    <row r="172" spans="3:65" ht="12.75" hidden="1" customHeight="1" x14ac:dyDescent="0.15">
      <c r="C172" s="473"/>
      <c r="D172" s="456"/>
      <c r="E172" s="466"/>
      <c r="F172" s="467"/>
      <c r="G172" s="468"/>
      <c r="H172" s="499"/>
      <c r="I172" s="474"/>
      <c r="J172" s="474"/>
      <c r="Q172" s="572"/>
      <c r="R172" s="572"/>
      <c r="BC172" s="473"/>
      <c r="BD172" s="574"/>
      <c r="BE172" s="474"/>
      <c r="BF172" s="473"/>
      <c r="BG172" s="473"/>
      <c r="BH172" s="473"/>
      <c r="BI172" s="473"/>
      <c r="BJ172" s="473"/>
      <c r="BK172" s="473"/>
    </row>
    <row r="173" spans="3:65" ht="12.75" hidden="1" customHeight="1" x14ac:dyDescent="0.15">
      <c r="C173" s="473"/>
      <c r="D173" s="456"/>
      <c r="E173" s="466"/>
      <c r="F173" s="467"/>
      <c r="G173" s="468"/>
      <c r="H173" s="499"/>
      <c r="I173" s="474"/>
      <c r="J173" s="474"/>
      <c r="Q173" s="572"/>
      <c r="R173" s="572"/>
      <c r="BC173" s="473"/>
      <c r="BD173" s="473"/>
      <c r="BE173" s="473"/>
      <c r="BF173" s="473"/>
      <c r="BG173" s="473"/>
      <c r="BH173" s="473"/>
      <c r="BI173" s="473"/>
      <c r="BJ173" s="473"/>
      <c r="BK173" s="473"/>
    </row>
    <row r="174" spans="3:65" ht="12.75" hidden="1" customHeight="1" x14ac:dyDescent="0.15">
      <c r="C174" s="473"/>
      <c r="D174" s="456"/>
      <c r="E174" s="466"/>
      <c r="F174" s="467"/>
      <c r="G174" s="468"/>
      <c r="H174" s="499"/>
      <c r="I174" s="474"/>
      <c r="J174" s="474"/>
      <c r="Q174" s="572"/>
      <c r="R174" s="572"/>
      <c r="BC174" s="473"/>
      <c r="BD174" s="473"/>
      <c r="BE174" s="473"/>
      <c r="BF174" s="473"/>
      <c r="BG174" s="473"/>
      <c r="BH174" s="473"/>
      <c r="BI174" s="473"/>
      <c r="BJ174" s="473"/>
      <c r="BK174" s="473"/>
    </row>
    <row r="175" spans="3:65" ht="12.75" hidden="1" customHeight="1" x14ac:dyDescent="0.15">
      <c r="C175" s="473"/>
      <c r="D175" s="456"/>
      <c r="E175" s="466"/>
      <c r="F175" s="467"/>
      <c r="G175" s="468"/>
      <c r="H175" s="499"/>
      <c r="I175" s="474"/>
      <c r="J175" s="474"/>
      <c r="Q175" s="572"/>
      <c r="R175" s="572"/>
      <c r="BC175" s="473"/>
      <c r="BD175" s="473"/>
      <c r="BE175" s="473"/>
      <c r="BF175" s="473"/>
      <c r="BG175" s="473"/>
      <c r="BH175" s="473"/>
      <c r="BI175" s="473"/>
      <c r="BJ175" s="473"/>
      <c r="BK175" s="473"/>
    </row>
    <row r="176" spans="3:65" ht="12.75" hidden="1" customHeight="1" x14ac:dyDescent="0.15">
      <c r="C176" s="473"/>
      <c r="D176" s="456"/>
      <c r="E176" s="466"/>
      <c r="F176" s="466"/>
      <c r="G176" s="466"/>
      <c r="H176" s="499"/>
      <c r="I176" s="474"/>
      <c r="J176" s="474"/>
      <c r="Q176" s="572"/>
      <c r="R176" s="572"/>
      <c r="BC176" s="473"/>
      <c r="BD176" s="473"/>
      <c r="BE176" s="473"/>
      <c r="BF176" s="473"/>
      <c r="BG176" s="473"/>
      <c r="BH176" s="473"/>
      <c r="BI176" s="473"/>
      <c r="BJ176" s="473"/>
      <c r="BK176" s="473"/>
    </row>
    <row r="177" spans="3:65" ht="12.75" hidden="1" customHeight="1" x14ac:dyDescent="0.15">
      <c r="C177" s="473"/>
      <c r="D177" s="456"/>
      <c r="E177" s="466"/>
      <c r="F177" s="466"/>
      <c r="G177" s="466"/>
      <c r="H177" s="499"/>
      <c r="I177" s="474"/>
      <c r="J177" s="474"/>
      <c r="Q177" s="572"/>
      <c r="R177" s="572"/>
      <c r="BC177" s="473"/>
      <c r="BD177" s="473"/>
      <c r="BE177" s="473"/>
      <c r="BF177" s="473"/>
      <c r="BG177" s="473"/>
      <c r="BH177" s="473"/>
      <c r="BI177" s="473"/>
      <c r="BJ177" s="473"/>
      <c r="BK177" s="473"/>
    </row>
    <row r="178" spans="3:65" ht="12.75" hidden="1" customHeight="1" x14ac:dyDescent="0.15">
      <c r="C178" s="473"/>
      <c r="D178" s="456"/>
      <c r="E178" s="466"/>
      <c r="F178" s="466"/>
      <c r="G178" s="466"/>
      <c r="H178" s="499"/>
      <c r="I178" s="474"/>
      <c r="J178" s="474"/>
      <c r="Q178" s="572"/>
      <c r="R178" s="572"/>
      <c r="BC178" s="473"/>
      <c r="BD178" s="473"/>
      <c r="BE178" s="473"/>
      <c r="BF178" s="473"/>
      <c r="BG178" s="473"/>
      <c r="BH178" s="473"/>
      <c r="BI178" s="473"/>
      <c r="BJ178" s="473"/>
      <c r="BK178" s="473"/>
      <c r="BL178" s="474"/>
      <c r="BM178" s="469"/>
    </row>
    <row r="179" spans="3:65" ht="12.75" hidden="1" customHeight="1" x14ac:dyDescent="0.15">
      <c r="C179" s="473"/>
      <c r="D179" s="456"/>
      <c r="E179" s="466"/>
      <c r="F179" s="466"/>
      <c r="G179" s="466"/>
      <c r="H179" s="499"/>
      <c r="I179" s="474"/>
      <c r="J179" s="474"/>
      <c r="Q179" s="572"/>
      <c r="R179" s="572"/>
      <c r="BC179" s="473"/>
      <c r="BD179" s="473"/>
      <c r="BE179" s="473"/>
      <c r="BF179" s="473"/>
      <c r="BG179" s="473"/>
      <c r="BH179" s="473"/>
      <c r="BI179" s="473"/>
      <c r="BJ179" s="473"/>
      <c r="BK179" s="473"/>
      <c r="BL179" s="473"/>
      <c r="BM179" s="473"/>
    </row>
    <row r="180" spans="3:65" ht="12.75" hidden="1" customHeight="1" x14ac:dyDescent="0.15">
      <c r="C180" s="473"/>
      <c r="D180" s="456"/>
      <c r="E180" s="466"/>
      <c r="F180" s="466"/>
      <c r="G180" s="466"/>
      <c r="H180" s="499"/>
      <c r="I180" s="474"/>
      <c r="J180" s="474"/>
      <c r="Q180" s="572"/>
      <c r="R180" s="572"/>
      <c r="BC180" s="473"/>
      <c r="BD180" s="473"/>
      <c r="BE180" s="473"/>
      <c r="BF180" s="473"/>
      <c r="BG180" s="473"/>
      <c r="BH180" s="473"/>
      <c r="BI180" s="473"/>
      <c r="BJ180" s="473"/>
      <c r="BK180" s="473"/>
      <c r="BL180" s="473"/>
      <c r="BM180" s="473"/>
    </row>
    <row r="181" spans="3:65" ht="12.75" hidden="1" customHeight="1" x14ac:dyDescent="0.15">
      <c r="C181" s="473"/>
      <c r="D181" s="456"/>
      <c r="E181" s="466"/>
      <c r="F181" s="466"/>
      <c r="G181" s="466"/>
      <c r="H181" s="499"/>
      <c r="I181" s="474"/>
      <c r="J181" s="474"/>
      <c r="Q181" s="572"/>
      <c r="R181" s="572"/>
      <c r="BC181" s="473"/>
      <c r="BD181" s="473"/>
      <c r="BE181" s="473"/>
      <c r="BF181" s="473"/>
      <c r="BG181" s="473"/>
      <c r="BH181" s="473"/>
      <c r="BI181" s="473"/>
      <c r="BJ181" s="473"/>
      <c r="BK181" s="473"/>
      <c r="BL181" s="473"/>
      <c r="BM181" s="473"/>
    </row>
    <row r="182" spans="3:65" ht="12.75" hidden="1" customHeight="1" x14ac:dyDescent="0.15">
      <c r="C182" s="473"/>
      <c r="D182" s="456"/>
      <c r="E182" s="466"/>
      <c r="F182" s="466"/>
      <c r="G182" s="466"/>
      <c r="H182" s="499"/>
      <c r="I182" s="474"/>
      <c r="J182" s="474"/>
      <c r="Q182" s="572"/>
      <c r="R182" s="572"/>
      <c r="BC182" s="457"/>
    </row>
    <row r="183" spans="3:65" ht="12.75" hidden="1" customHeight="1" x14ac:dyDescent="0.15">
      <c r="C183" s="473"/>
      <c r="D183" s="456"/>
      <c r="E183" s="466"/>
      <c r="F183" s="466"/>
      <c r="G183" s="466"/>
      <c r="H183" s="499"/>
      <c r="I183" s="474"/>
      <c r="J183" s="474"/>
      <c r="Q183" s="572"/>
      <c r="R183" s="572"/>
      <c r="BC183" s="457"/>
    </row>
    <row r="184" spans="3:65" ht="12.75" hidden="1" customHeight="1" x14ac:dyDescent="0.15">
      <c r="C184" s="473"/>
      <c r="D184" s="456"/>
      <c r="E184" s="466"/>
      <c r="F184" s="466"/>
      <c r="G184" s="466"/>
      <c r="H184" s="499"/>
      <c r="I184" s="474"/>
      <c r="J184" s="474"/>
      <c r="Q184" s="572"/>
      <c r="R184" s="572"/>
      <c r="BC184" s="457"/>
    </row>
    <row r="185" spans="3:65" ht="12.75" hidden="1" customHeight="1" x14ac:dyDescent="0.15">
      <c r="C185" s="473"/>
      <c r="D185" s="456"/>
      <c r="E185" s="500"/>
      <c r="F185" s="501"/>
      <c r="G185" s="502"/>
      <c r="H185" s="503"/>
      <c r="I185" s="473"/>
      <c r="Q185" s="572"/>
      <c r="R185" s="572"/>
      <c r="BC185" s="457"/>
    </row>
    <row r="186" spans="3:65" ht="12.75" hidden="1" customHeight="1" x14ac:dyDescent="0.15">
      <c r="C186" s="473"/>
      <c r="D186" s="456"/>
      <c r="E186" s="500"/>
      <c r="F186" s="501"/>
      <c r="G186" s="502"/>
      <c r="H186" s="503"/>
      <c r="I186" s="473"/>
      <c r="Q186" s="572"/>
      <c r="R186" s="572"/>
    </row>
    <row r="187" spans="3:65" ht="12.75" hidden="1" customHeight="1" x14ac:dyDescent="0.15">
      <c r="C187" s="473"/>
      <c r="D187" s="456"/>
      <c r="E187" s="466"/>
      <c r="F187" s="466"/>
      <c r="G187" s="466"/>
      <c r="H187" s="499"/>
      <c r="I187" s="474"/>
      <c r="J187" s="474"/>
      <c r="Q187" s="572"/>
      <c r="R187" s="572"/>
    </row>
    <row r="188" spans="3:65" ht="12.75" hidden="1" customHeight="1" x14ac:dyDescent="0.15">
      <c r="C188" s="473"/>
      <c r="D188" s="456"/>
      <c r="E188" s="466"/>
      <c r="F188" s="466"/>
      <c r="G188" s="466"/>
      <c r="H188" s="499"/>
      <c r="I188" s="474"/>
      <c r="J188" s="474"/>
      <c r="Q188" s="572"/>
      <c r="R188" s="572"/>
    </row>
    <row r="189" spans="3:65" ht="12.75" hidden="1" customHeight="1" x14ac:dyDescent="0.15">
      <c r="C189" s="473"/>
      <c r="D189" s="456"/>
      <c r="E189" s="466"/>
      <c r="F189" s="466"/>
      <c r="G189" s="466"/>
      <c r="H189" s="499"/>
      <c r="I189" s="474"/>
      <c r="J189" s="474"/>
      <c r="Q189" s="572"/>
      <c r="R189" s="572"/>
    </row>
    <row r="190" spans="3:65" ht="12.75" hidden="1" customHeight="1" x14ac:dyDescent="0.15">
      <c r="C190" s="473"/>
      <c r="D190" s="456"/>
      <c r="E190" s="466"/>
      <c r="F190" s="466"/>
      <c r="G190" s="466"/>
      <c r="H190" s="499"/>
      <c r="I190" s="474"/>
      <c r="J190" s="474"/>
      <c r="Q190" s="572"/>
      <c r="R190" s="572"/>
    </row>
    <row r="191" spans="3:65" ht="12.75" hidden="1" customHeight="1" x14ac:dyDescent="0.15">
      <c r="C191" s="473"/>
      <c r="D191" s="456"/>
      <c r="E191" s="466"/>
      <c r="F191" s="466"/>
      <c r="G191" s="466"/>
      <c r="H191" s="499"/>
      <c r="I191" s="474"/>
      <c r="J191" s="474"/>
      <c r="Q191" s="572"/>
      <c r="R191" s="572"/>
    </row>
    <row r="192" spans="3:65" ht="12.75" hidden="1" customHeight="1" x14ac:dyDescent="0.15">
      <c r="C192" s="473"/>
      <c r="D192" s="456"/>
      <c r="E192" s="466"/>
      <c r="F192" s="466"/>
      <c r="G192" s="466"/>
      <c r="H192" s="499"/>
      <c r="I192" s="474"/>
      <c r="J192" s="474"/>
      <c r="Q192" s="572"/>
      <c r="R192" s="572"/>
    </row>
    <row r="193" spans="3:46" ht="12.75" hidden="1" customHeight="1" x14ac:dyDescent="0.15">
      <c r="C193" s="473"/>
      <c r="D193" s="456"/>
      <c r="E193" s="466"/>
      <c r="F193" s="466"/>
      <c r="G193" s="466"/>
      <c r="H193" s="499"/>
      <c r="I193" s="474"/>
      <c r="J193" s="474"/>
      <c r="Q193" s="572"/>
      <c r="R193" s="572"/>
    </row>
    <row r="194" spans="3:46" ht="13.5" hidden="1" customHeight="1" x14ac:dyDescent="0.15">
      <c r="C194" s="473"/>
      <c r="D194" s="456"/>
      <c r="E194" s="466"/>
      <c r="F194" s="466"/>
      <c r="G194" s="466"/>
      <c r="H194" s="499"/>
      <c r="I194" s="474"/>
      <c r="J194" s="474"/>
      <c r="Q194" s="572"/>
      <c r="R194" s="572"/>
    </row>
    <row r="195" spans="3:46" ht="12.75" hidden="1" customHeight="1" x14ac:dyDescent="0.15">
      <c r="C195" s="473"/>
      <c r="D195" s="456"/>
      <c r="E195" s="466"/>
      <c r="F195" s="466"/>
      <c r="G195" s="466"/>
      <c r="H195" s="499"/>
      <c r="I195" s="474"/>
      <c r="J195" s="474"/>
      <c r="Q195" s="572"/>
      <c r="R195" s="572"/>
      <c r="AT195" s="474"/>
    </row>
    <row r="196" spans="3:46" ht="12.75" hidden="1" customHeight="1" x14ac:dyDescent="0.15">
      <c r="C196" s="473"/>
      <c r="D196" s="456"/>
      <c r="E196" s="466"/>
      <c r="F196" s="466"/>
      <c r="G196" s="466"/>
      <c r="H196" s="499"/>
      <c r="I196" s="474"/>
      <c r="J196" s="474"/>
      <c r="Q196" s="572"/>
      <c r="R196" s="572"/>
      <c r="AT196" s="473"/>
    </row>
    <row r="197" spans="3:46" ht="12.75" hidden="1" customHeight="1" x14ac:dyDescent="0.15">
      <c r="C197" s="504"/>
      <c r="D197" s="456"/>
      <c r="E197" s="466"/>
      <c r="F197" s="466"/>
      <c r="G197" s="466"/>
      <c r="H197" s="499"/>
      <c r="I197" s="474"/>
      <c r="J197" s="474"/>
      <c r="N197" s="477"/>
      <c r="Q197" s="458"/>
      <c r="R197" s="458"/>
      <c r="AT197" s="473"/>
    </row>
    <row r="198" spans="3:46" ht="12.75" hidden="1" customHeight="1" x14ac:dyDescent="0.15">
      <c r="C198" s="504"/>
      <c r="D198" s="456"/>
      <c r="E198" s="466"/>
      <c r="F198" s="466"/>
      <c r="G198" s="466"/>
      <c r="H198" s="499"/>
      <c r="I198" s="474"/>
      <c r="J198" s="474"/>
      <c r="N198" s="477"/>
      <c r="Q198" s="458"/>
      <c r="R198" s="458"/>
      <c r="AT198" s="473"/>
    </row>
    <row r="199" spans="3:46" ht="12.75" hidden="1" customHeight="1" x14ac:dyDescent="0.15">
      <c r="C199" s="504"/>
      <c r="D199" s="456"/>
      <c r="E199" s="466"/>
      <c r="F199" s="466"/>
      <c r="G199" s="466"/>
      <c r="H199" s="499"/>
      <c r="I199" s="474"/>
      <c r="J199" s="474"/>
      <c r="N199" s="477"/>
      <c r="Q199" s="458"/>
      <c r="R199" s="458"/>
      <c r="AI199" s="473"/>
      <c r="AJ199" s="473"/>
      <c r="AK199" s="473"/>
      <c r="AL199" s="473"/>
      <c r="AM199" s="473"/>
      <c r="AN199" s="473"/>
      <c r="AO199" s="473"/>
      <c r="AP199" s="473"/>
      <c r="AQ199" s="473"/>
      <c r="AR199" s="473"/>
      <c r="AS199" s="473"/>
      <c r="AT199" s="473"/>
    </row>
    <row r="200" spans="3:46" ht="12.75" hidden="1" customHeight="1" x14ac:dyDescent="0.15">
      <c r="C200" s="504"/>
      <c r="D200" s="456"/>
      <c r="E200" s="466"/>
      <c r="F200" s="466"/>
      <c r="G200" s="466"/>
      <c r="H200" s="499"/>
      <c r="I200" s="474"/>
      <c r="J200" s="474"/>
      <c r="N200" s="477"/>
      <c r="Q200" s="458"/>
      <c r="R200" s="458"/>
      <c r="AI200" s="473"/>
      <c r="AJ200" s="473"/>
      <c r="AK200" s="473"/>
      <c r="AL200" s="473"/>
      <c r="AM200" s="473"/>
      <c r="AN200" s="473"/>
      <c r="AO200" s="473"/>
      <c r="AP200" s="473"/>
      <c r="AQ200" s="473"/>
      <c r="AR200" s="473"/>
      <c r="AS200" s="473"/>
      <c r="AT200" s="473"/>
    </row>
    <row r="201" spans="3:46" ht="12.75" hidden="1" customHeight="1" x14ac:dyDescent="0.15">
      <c r="C201" s="505"/>
      <c r="D201" s="456"/>
      <c r="E201" s="466"/>
      <c r="F201" s="466"/>
      <c r="G201" s="466"/>
      <c r="H201" s="499"/>
      <c r="I201" s="474"/>
      <c r="J201" s="474"/>
      <c r="N201" s="477"/>
      <c r="Q201" s="458"/>
      <c r="R201" s="458"/>
      <c r="AI201" s="473"/>
      <c r="AJ201" s="473"/>
      <c r="AK201" s="473"/>
      <c r="AL201" s="473"/>
      <c r="AM201" s="473"/>
      <c r="AN201" s="473"/>
      <c r="AO201" s="473"/>
      <c r="AP201" s="473"/>
      <c r="AQ201" s="473"/>
      <c r="AR201" s="473"/>
      <c r="AS201" s="473"/>
      <c r="AT201" s="473"/>
    </row>
    <row r="202" spans="3:46" ht="12.75" hidden="1" customHeight="1" x14ac:dyDescent="0.15">
      <c r="C202" s="506"/>
      <c r="D202" s="456"/>
      <c r="E202" s="466"/>
      <c r="F202" s="466"/>
      <c r="G202" s="466"/>
      <c r="H202" s="499"/>
      <c r="I202" s="474"/>
      <c r="J202" s="474"/>
      <c r="N202" s="477"/>
      <c r="Q202" s="458"/>
      <c r="R202" s="458"/>
      <c r="AI202" s="473"/>
      <c r="AJ202" s="474"/>
      <c r="AK202" s="474"/>
      <c r="AL202" s="474"/>
      <c r="AM202" s="473"/>
      <c r="AN202" s="473"/>
      <c r="AO202" s="473"/>
      <c r="AP202" s="473"/>
      <c r="AQ202" s="473"/>
      <c r="AR202" s="473"/>
      <c r="AS202" s="473"/>
      <c r="AT202" s="473"/>
    </row>
    <row r="203" spans="3:46" ht="12.75" hidden="1" customHeight="1" x14ac:dyDescent="0.15">
      <c r="C203" s="506"/>
      <c r="D203" s="456"/>
      <c r="E203" s="466"/>
      <c r="F203" s="466"/>
      <c r="G203" s="466"/>
      <c r="H203" s="499"/>
      <c r="I203" s="474"/>
      <c r="J203" s="474"/>
      <c r="N203" s="477"/>
      <c r="Q203" s="458"/>
      <c r="R203" s="458"/>
      <c r="AI203" s="473"/>
      <c r="AJ203" s="473"/>
      <c r="AK203" s="473"/>
      <c r="AL203" s="473"/>
      <c r="AM203" s="473"/>
      <c r="AN203" s="473"/>
      <c r="AO203" s="473"/>
      <c r="AP203" s="473"/>
      <c r="AQ203" s="473"/>
      <c r="AR203" s="473"/>
      <c r="AS203" s="473"/>
      <c r="AT203" s="473"/>
    </row>
    <row r="204" spans="3:46" ht="12.75" hidden="1" customHeight="1" x14ac:dyDescent="0.15">
      <c r="C204" s="506"/>
      <c r="D204" s="456"/>
      <c r="E204" s="466"/>
      <c r="F204" s="466"/>
      <c r="G204" s="466"/>
      <c r="H204" s="499"/>
      <c r="I204" s="474"/>
      <c r="J204" s="474"/>
      <c r="N204" s="477"/>
      <c r="Q204" s="458"/>
      <c r="R204" s="458"/>
    </row>
    <row r="205" spans="3:46" ht="12.75" hidden="1" customHeight="1" x14ac:dyDescent="0.15">
      <c r="C205" s="506"/>
      <c r="D205" s="456"/>
      <c r="E205" s="466"/>
      <c r="F205" s="466"/>
      <c r="G205" s="466"/>
      <c r="H205" s="499"/>
      <c r="I205" s="474"/>
      <c r="J205" s="474"/>
      <c r="N205" s="477"/>
      <c r="P205" s="507"/>
      <c r="Q205" s="466"/>
      <c r="R205" s="466"/>
    </row>
    <row r="206" spans="3:46" ht="12.75" hidden="1" customHeight="1" x14ac:dyDescent="0.15">
      <c r="C206" s="506"/>
      <c r="D206" s="456"/>
      <c r="E206" s="508"/>
      <c r="F206" s="508"/>
      <c r="G206" s="508"/>
      <c r="H206" s="499"/>
      <c r="I206" s="474"/>
      <c r="J206" s="474"/>
      <c r="N206" s="477"/>
      <c r="P206" s="507"/>
      <c r="Q206" s="466"/>
      <c r="R206" s="466"/>
      <c r="S206" s="509"/>
      <c r="T206" s="474"/>
      <c r="U206" s="474"/>
    </row>
    <row r="207" spans="3:46" ht="12.75" hidden="1" customHeight="1" x14ac:dyDescent="0.15">
      <c r="C207" s="506"/>
      <c r="D207" s="456"/>
      <c r="E207" s="456"/>
      <c r="H207" s="499"/>
      <c r="I207" s="474"/>
      <c r="J207" s="474"/>
      <c r="N207" s="477"/>
      <c r="Q207" s="458"/>
      <c r="R207" s="458"/>
    </row>
    <row r="208" spans="3:46" ht="12.75" hidden="1" customHeight="1" x14ac:dyDescent="0.15">
      <c r="C208" s="506"/>
      <c r="D208" s="456"/>
      <c r="E208" s="466"/>
      <c r="F208" s="466"/>
      <c r="G208" s="466"/>
      <c r="H208" s="499"/>
      <c r="I208" s="474"/>
      <c r="J208" s="474"/>
      <c r="N208" s="477"/>
      <c r="Q208" s="458"/>
      <c r="R208" s="458"/>
    </row>
    <row r="209" spans="3:34" ht="12.75" hidden="1" customHeight="1" x14ac:dyDescent="0.15">
      <c r="C209" s="506"/>
      <c r="D209" s="456"/>
      <c r="E209" s="466"/>
      <c r="F209" s="466"/>
      <c r="G209" s="466"/>
      <c r="H209" s="499"/>
      <c r="I209" s="474"/>
      <c r="J209" s="474"/>
      <c r="N209" s="477"/>
      <c r="Q209" s="458"/>
      <c r="R209" s="458"/>
    </row>
    <row r="210" spans="3:34" ht="12.75" hidden="1" customHeight="1" x14ac:dyDescent="0.15">
      <c r="C210" s="506"/>
      <c r="D210" s="456"/>
      <c r="E210" s="466"/>
      <c r="F210" s="466"/>
      <c r="G210" s="466"/>
      <c r="H210" s="499"/>
      <c r="I210" s="474"/>
      <c r="J210" s="474"/>
      <c r="N210" s="477"/>
      <c r="Q210" s="458"/>
      <c r="R210" s="458"/>
    </row>
    <row r="211" spans="3:34" ht="12.75" hidden="1" customHeight="1" x14ac:dyDescent="0.15">
      <c r="C211" s="506"/>
      <c r="D211" s="456"/>
      <c r="E211" s="466"/>
      <c r="F211" s="466"/>
      <c r="G211" s="466"/>
      <c r="H211" s="499"/>
      <c r="I211" s="474"/>
      <c r="J211" s="474"/>
      <c r="N211" s="477"/>
      <c r="Q211" s="458"/>
      <c r="R211" s="458"/>
    </row>
    <row r="212" spans="3:34" ht="12.75" hidden="1" customHeight="1" x14ac:dyDescent="0.15">
      <c r="C212" s="506"/>
      <c r="D212" s="456"/>
      <c r="E212" s="466"/>
      <c r="F212" s="466"/>
      <c r="G212" s="466"/>
      <c r="H212" s="499"/>
      <c r="I212" s="474"/>
      <c r="J212" s="474"/>
      <c r="N212" s="477"/>
      <c r="Q212" s="458"/>
      <c r="R212" s="458"/>
    </row>
    <row r="213" spans="3:34" ht="12.75" hidden="1" customHeight="1" x14ac:dyDescent="0.15">
      <c r="C213" s="506"/>
      <c r="D213" s="456"/>
      <c r="E213" s="466"/>
      <c r="F213" s="466"/>
      <c r="G213" s="466"/>
      <c r="H213" s="499"/>
      <c r="I213" s="474"/>
      <c r="J213" s="474"/>
      <c r="N213" s="477"/>
      <c r="Q213" s="458"/>
      <c r="R213" s="458"/>
    </row>
    <row r="214" spans="3:34" ht="12.75" hidden="1" customHeight="1" x14ac:dyDescent="0.15">
      <c r="C214" s="506"/>
      <c r="D214" s="456"/>
      <c r="E214" s="466"/>
      <c r="F214" s="466"/>
      <c r="G214" s="466"/>
      <c r="H214" s="499"/>
      <c r="I214" s="474"/>
      <c r="J214" s="474"/>
      <c r="N214" s="477"/>
      <c r="Q214" s="458"/>
      <c r="R214" s="458"/>
    </row>
    <row r="215" spans="3:34" ht="12.75" hidden="1" customHeight="1" x14ac:dyDescent="0.15">
      <c r="C215" s="506"/>
      <c r="D215" s="456"/>
      <c r="E215" s="466"/>
      <c r="F215" s="466"/>
      <c r="G215" s="466"/>
      <c r="H215" s="499"/>
      <c r="I215" s="474"/>
      <c r="J215" s="474"/>
      <c r="N215" s="477"/>
      <c r="Q215" s="458"/>
      <c r="R215" s="458"/>
    </row>
    <row r="216" spans="3:34" ht="12.75" hidden="1" customHeight="1" x14ac:dyDescent="0.15">
      <c r="C216" s="506"/>
      <c r="D216" s="456"/>
      <c r="E216" s="466"/>
      <c r="F216" s="466"/>
      <c r="G216" s="466"/>
      <c r="H216" s="499"/>
      <c r="I216" s="474"/>
      <c r="J216" s="474"/>
      <c r="N216" s="477"/>
      <c r="Q216" s="458"/>
      <c r="R216" s="458"/>
    </row>
    <row r="217" spans="3:34" ht="12.75" hidden="1" customHeight="1" x14ac:dyDescent="0.15">
      <c r="C217" s="506"/>
      <c r="D217" s="456"/>
      <c r="E217" s="466"/>
      <c r="F217" s="466"/>
      <c r="G217" s="466"/>
      <c r="H217" s="499"/>
      <c r="I217" s="474"/>
      <c r="J217" s="474"/>
      <c r="N217" s="477"/>
      <c r="Q217" s="458"/>
      <c r="R217" s="458"/>
    </row>
    <row r="218" spans="3:34" ht="12.75" hidden="1" customHeight="1" x14ac:dyDescent="0.15">
      <c r="C218" s="506"/>
      <c r="D218" s="456"/>
      <c r="E218" s="466"/>
      <c r="F218" s="466"/>
      <c r="G218" s="466"/>
      <c r="H218" s="499"/>
      <c r="I218" s="474"/>
      <c r="J218" s="474"/>
      <c r="N218" s="477"/>
      <c r="Q218" s="458"/>
      <c r="R218" s="458"/>
    </row>
    <row r="219" spans="3:34" ht="12.75" hidden="1" customHeight="1" x14ac:dyDescent="0.15">
      <c r="C219" s="506"/>
      <c r="D219" s="456"/>
      <c r="E219" s="466"/>
      <c r="F219" s="466"/>
      <c r="G219" s="466"/>
      <c r="H219" s="499"/>
      <c r="I219" s="474"/>
      <c r="J219" s="474"/>
      <c r="N219" s="477"/>
      <c r="Q219" s="458"/>
      <c r="R219" s="458"/>
    </row>
    <row r="220" spans="3:34" ht="12.75" hidden="1" customHeight="1" x14ac:dyDescent="0.15">
      <c r="C220" s="506"/>
      <c r="D220" s="456"/>
      <c r="E220" s="466"/>
      <c r="F220" s="466"/>
      <c r="G220" s="466"/>
      <c r="H220" s="499"/>
      <c r="I220" s="474"/>
      <c r="J220" s="474"/>
      <c r="N220" s="477"/>
      <c r="Q220" s="458"/>
      <c r="R220" s="458"/>
    </row>
    <row r="221" spans="3:34" ht="12.75" hidden="1" customHeight="1" x14ac:dyDescent="0.15">
      <c r="C221" s="506"/>
      <c r="D221" s="456"/>
      <c r="E221" s="466"/>
      <c r="F221" s="466"/>
      <c r="G221" s="466"/>
      <c r="H221" s="499"/>
      <c r="I221" s="474"/>
      <c r="J221" s="474"/>
      <c r="N221" s="477"/>
      <c r="Q221" s="458"/>
      <c r="R221" s="458"/>
    </row>
    <row r="222" spans="3:34" ht="12.75" hidden="1" customHeight="1" x14ac:dyDescent="0.15">
      <c r="C222" s="506"/>
      <c r="D222" s="456"/>
      <c r="E222" s="466"/>
      <c r="F222" s="466"/>
      <c r="G222" s="466"/>
      <c r="H222" s="499"/>
      <c r="I222" s="474"/>
      <c r="J222" s="474"/>
      <c r="N222" s="477"/>
      <c r="Q222" s="458"/>
      <c r="R222" s="458"/>
    </row>
    <row r="223" spans="3:34" ht="12.75" hidden="1" customHeight="1" x14ac:dyDescent="0.15">
      <c r="C223" s="506"/>
      <c r="D223" s="456"/>
      <c r="E223" s="466"/>
      <c r="F223" s="466"/>
      <c r="G223" s="466"/>
      <c r="H223" s="499"/>
      <c r="I223" s="474"/>
      <c r="J223" s="474"/>
      <c r="N223" s="477"/>
      <c r="Q223" s="458"/>
      <c r="R223" s="458"/>
    </row>
    <row r="224" spans="3:34" ht="12.75" hidden="1" customHeight="1" x14ac:dyDescent="0.15">
      <c r="C224" s="506"/>
      <c r="D224" s="456"/>
      <c r="E224" s="466"/>
      <c r="F224" s="466"/>
      <c r="G224" s="466"/>
      <c r="H224" s="499"/>
      <c r="I224" s="474"/>
      <c r="J224" s="474"/>
      <c r="N224" s="477"/>
      <c r="Q224" s="458"/>
      <c r="R224" s="458"/>
      <c r="AD224" s="473"/>
      <c r="AE224" s="473"/>
      <c r="AF224" s="473"/>
      <c r="AG224" s="473"/>
      <c r="AH224" s="473"/>
    </row>
    <row r="225" spans="3:34" ht="12.75" hidden="1" customHeight="1" x14ac:dyDescent="0.15">
      <c r="C225" s="506"/>
      <c r="D225" s="456"/>
      <c r="E225" s="466"/>
      <c r="F225" s="466"/>
      <c r="G225" s="466"/>
      <c r="H225" s="499"/>
      <c r="I225" s="474"/>
      <c r="J225" s="474"/>
      <c r="N225" s="477"/>
      <c r="Q225" s="458"/>
      <c r="R225" s="458"/>
      <c r="AD225" s="473"/>
      <c r="AE225" s="473"/>
      <c r="AF225" s="473"/>
      <c r="AG225" s="473"/>
      <c r="AH225" s="473"/>
    </row>
    <row r="226" spans="3:34" ht="12.75" hidden="1" customHeight="1" x14ac:dyDescent="0.15">
      <c r="C226" s="506"/>
      <c r="D226" s="456"/>
      <c r="E226" s="466"/>
      <c r="F226" s="466"/>
      <c r="G226" s="466"/>
      <c r="H226" s="499"/>
      <c r="I226" s="474"/>
      <c r="J226" s="474"/>
      <c r="N226" s="477"/>
      <c r="Q226" s="458"/>
      <c r="R226" s="458"/>
      <c r="AD226" s="473"/>
      <c r="AE226" s="473"/>
      <c r="AF226" s="473"/>
      <c r="AG226" s="473"/>
      <c r="AH226" s="473"/>
    </row>
    <row r="227" spans="3:34" ht="12.75" hidden="1" customHeight="1" x14ac:dyDescent="0.15">
      <c r="C227" s="510"/>
      <c r="D227" s="456"/>
      <c r="E227" s="466"/>
      <c r="F227" s="466"/>
      <c r="G227" s="466"/>
      <c r="H227" s="499"/>
      <c r="I227" s="474"/>
      <c r="J227" s="474"/>
      <c r="N227" s="512"/>
      <c r="Q227" s="458"/>
      <c r="R227" s="458"/>
      <c r="AD227" s="473"/>
      <c r="AE227" s="473"/>
      <c r="AF227" s="473"/>
      <c r="AG227" s="473"/>
      <c r="AH227" s="473"/>
    </row>
    <row r="228" spans="3:34" ht="12.75" hidden="1" customHeight="1" x14ac:dyDescent="0.15">
      <c r="C228" s="510"/>
      <c r="D228" s="456"/>
      <c r="E228" s="456"/>
      <c r="J228" s="453"/>
      <c r="N228" s="512"/>
      <c r="Q228" s="458"/>
      <c r="R228" s="458"/>
      <c r="AD228" s="473"/>
      <c r="AE228" s="473"/>
      <c r="AF228" s="473"/>
      <c r="AG228" s="473"/>
      <c r="AH228" s="473"/>
    </row>
    <row r="229" spans="3:34" ht="12.75" hidden="1" customHeight="1" x14ac:dyDescent="0.15">
      <c r="C229" s="510"/>
      <c r="D229" s="456"/>
      <c r="E229" s="466"/>
      <c r="F229" s="466"/>
      <c r="G229" s="466"/>
      <c r="H229" s="575"/>
      <c r="I229" s="575"/>
      <c r="J229" s="575"/>
      <c r="K229" s="576"/>
      <c r="L229" s="576"/>
      <c r="M229" s="576"/>
      <c r="N229" s="512"/>
      <c r="O229" s="457"/>
      <c r="Q229" s="458"/>
      <c r="R229" s="458"/>
      <c r="AD229" s="473"/>
      <c r="AE229" s="473"/>
      <c r="AF229" s="473"/>
      <c r="AG229" s="473"/>
      <c r="AH229" s="473"/>
    </row>
    <row r="230" spans="3:34" ht="12.75" hidden="1" customHeight="1" x14ac:dyDescent="0.15">
      <c r="C230" s="510"/>
      <c r="D230" s="456"/>
      <c r="E230" s="466"/>
      <c r="F230" s="467"/>
      <c r="G230" s="468"/>
      <c r="H230" s="575"/>
      <c r="I230" s="575"/>
      <c r="J230" s="575"/>
      <c r="N230" s="512"/>
      <c r="Q230" s="458"/>
      <c r="R230" s="458"/>
      <c r="AD230" s="473"/>
      <c r="AE230" s="473"/>
      <c r="AF230" s="473"/>
      <c r="AG230" s="473"/>
      <c r="AH230" s="473"/>
    </row>
    <row r="231" spans="3:34" ht="12.75" hidden="1" customHeight="1" x14ac:dyDescent="0.15">
      <c r="C231" s="510"/>
      <c r="D231" s="456"/>
      <c r="E231" s="466"/>
      <c r="F231" s="466"/>
      <c r="G231" s="466"/>
      <c r="H231" s="575"/>
      <c r="I231" s="575"/>
      <c r="J231" s="575"/>
      <c r="K231" s="576"/>
      <c r="L231" s="576"/>
      <c r="M231" s="576"/>
      <c r="N231" s="512"/>
      <c r="Q231" s="458"/>
      <c r="R231" s="458"/>
      <c r="AD231" s="473"/>
      <c r="AE231" s="473"/>
      <c r="AF231" s="473"/>
      <c r="AG231" s="473"/>
      <c r="AH231" s="473"/>
    </row>
    <row r="232" spans="3:34" ht="12.75" hidden="1" customHeight="1" x14ac:dyDescent="0.15">
      <c r="C232" s="510"/>
      <c r="D232" s="456"/>
      <c r="E232" s="466"/>
      <c r="F232" s="466"/>
      <c r="G232" s="466"/>
      <c r="H232" s="499"/>
      <c r="I232" s="474"/>
      <c r="J232" s="474"/>
      <c r="N232" s="512"/>
      <c r="Q232" s="458"/>
      <c r="R232" s="458"/>
      <c r="AD232" s="473"/>
      <c r="AE232" s="473"/>
      <c r="AF232" s="473"/>
      <c r="AG232" s="473"/>
      <c r="AH232" s="473"/>
    </row>
    <row r="233" spans="3:34" ht="12.75" hidden="1" customHeight="1" x14ac:dyDescent="0.15">
      <c r="C233" s="510"/>
      <c r="D233" s="456"/>
      <c r="E233" s="466"/>
      <c r="F233" s="466"/>
      <c r="G233" s="466"/>
      <c r="H233" s="575"/>
      <c r="I233" s="575"/>
      <c r="J233" s="575"/>
      <c r="N233" s="512"/>
      <c r="O233" s="457"/>
      <c r="Q233" s="458"/>
      <c r="R233" s="458"/>
      <c r="AD233" s="473"/>
      <c r="AE233" s="473"/>
      <c r="AF233" s="473"/>
      <c r="AG233" s="473"/>
      <c r="AH233" s="473"/>
    </row>
    <row r="234" spans="3:34" ht="12.75" hidden="1" customHeight="1" x14ac:dyDescent="0.15">
      <c r="C234" s="510"/>
      <c r="D234" s="456"/>
      <c r="E234" s="466"/>
      <c r="F234" s="466"/>
      <c r="G234" s="466"/>
      <c r="H234" s="499"/>
      <c r="I234" s="474"/>
      <c r="J234" s="474"/>
      <c r="N234" s="512"/>
      <c r="Q234" s="458"/>
      <c r="R234" s="458"/>
      <c r="AD234" s="473"/>
      <c r="AE234" s="473"/>
      <c r="AF234" s="473"/>
      <c r="AG234" s="473"/>
      <c r="AH234" s="473"/>
    </row>
    <row r="235" spans="3:34" ht="13.5" hidden="1" x14ac:dyDescent="0.15">
      <c r="C235" s="510"/>
      <c r="D235" s="456"/>
      <c r="E235" s="466"/>
      <c r="F235" s="466"/>
      <c r="G235" s="466"/>
      <c r="H235" s="499"/>
      <c r="I235" s="474"/>
      <c r="J235" s="474"/>
      <c r="N235" s="512"/>
      <c r="Q235" s="458"/>
      <c r="R235" s="458"/>
    </row>
    <row r="236" spans="3:34" ht="13.5" hidden="1" x14ac:dyDescent="0.15">
      <c r="C236" s="510"/>
      <c r="D236" s="456"/>
      <c r="E236" s="466"/>
      <c r="F236" s="466"/>
      <c r="G236" s="466"/>
      <c r="H236" s="499"/>
      <c r="I236" s="474"/>
      <c r="J236" s="474"/>
      <c r="N236" s="512"/>
      <c r="Q236" s="458"/>
      <c r="R236" s="458"/>
    </row>
    <row r="237" spans="3:34" ht="13.5" hidden="1" x14ac:dyDescent="0.15">
      <c r="C237" s="510"/>
      <c r="D237" s="456"/>
      <c r="E237" s="466"/>
      <c r="F237" s="466"/>
      <c r="G237" s="466"/>
      <c r="H237" s="499"/>
      <c r="I237" s="474"/>
      <c r="J237" s="474"/>
      <c r="N237" s="512"/>
      <c r="Q237" s="458"/>
      <c r="R237" s="458"/>
    </row>
    <row r="238" spans="3:34" ht="13.5" hidden="1" x14ac:dyDescent="0.15">
      <c r="C238" s="510"/>
      <c r="D238" s="456"/>
      <c r="E238" s="466"/>
      <c r="F238" s="466"/>
      <c r="G238" s="466"/>
      <c r="H238" s="499"/>
      <c r="I238" s="474"/>
      <c r="J238" s="474"/>
      <c r="N238" s="512"/>
      <c r="Q238" s="458"/>
      <c r="R238" s="458"/>
    </row>
    <row r="239" spans="3:34" ht="13.5" hidden="1" x14ac:dyDescent="0.15">
      <c r="C239" s="510"/>
      <c r="D239" s="456"/>
      <c r="E239" s="466"/>
      <c r="F239" s="466"/>
      <c r="G239" s="466"/>
      <c r="H239" s="499"/>
      <c r="I239" s="474"/>
      <c r="J239" s="474"/>
      <c r="N239" s="512"/>
      <c r="Q239" s="458"/>
      <c r="R239" s="458"/>
    </row>
    <row r="240" spans="3:34" ht="13.5" hidden="1" x14ac:dyDescent="0.15">
      <c r="C240" s="510"/>
      <c r="D240" s="456"/>
      <c r="E240" s="466"/>
      <c r="F240" s="466"/>
      <c r="G240" s="466"/>
      <c r="H240" s="499"/>
      <c r="I240" s="474"/>
      <c r="J240" s="474"/>
      <c r="N240" s="512"/>
      <c r="Q240" s="458"/>
      <c r="R240" s="458"/>
    </row>
    <row r="241" spans="3:18" ht="13.5" hidden="1" x14ac:dyDescent="0.15">
      <c r="C241" s="510"/>
      <c r="D241" s="456"/>
      <c r="E241" s="466"/>
      <c r="F241" s="466"/>
      <c r="G241" s="466"/>
      <c r="H241" s="499"/>
      <c r="I241" s="474"/>
      <c r="J241" s="474"/>
      <c r="N241" s="512"/>
      <c r="Q241" s="458"/>
      <c r="R241" s="458"/>
    </row>
    <row r="242" spans="3:18" ht="13.5" hidden="1" x14ac:dyDescent="0.15">
      <c r="C242" s="510"/>
      <c r="D242" s="456"/>
      <c r="E242" s="466"/>
      <c r="F242" s="466"/>
      <c r="G242" s="466"/>
      <c r="H242" s="499"/>
      <c r="I242" s="474"/>
      <c r="J242" s="474"/>
      <c r="N242" s="512"/>
      <c r="Q242" s="458"/>
      <c r="R242" s="458"/>
    </row>
    <row r="243" spans="3:18" ht="13.5" hidden="1" x14ac:dyDescent="0.15">
      <c r="C243" s="510"/>
      <c r="D243" s="456"/>
      <c r="E243" s="466"/>
      <c r="F243" s="466"/>
      <c r="G243" s="466"/>
      <c r="H243" s="499"/>
      <c r="I243" s="474"/>
      <c r="J243" s="474"/>
      <c r="N243" s="512"/>
      <c r="Q243" s="458"/>
      <c r="R243" s="458"/>
    </row>
    <row r="244" spans="3:18" ht="13.5" hidden="1" x14ac:dyDescent="0.15">
      <c r="C244" s="510"/>
      <c r="D244" s="456"/>
      <c r="E244" s="466"/>
      <c r="F244" s="466"/>
      <c r="G244" s="466"/>
      <c r="H244" s="499"/>
      <c r="I244" s="474"/>
      <c r="J244" s="474"/>
      <c r="N244" s="512"/>
      <c r="Q244" s="458"/>
      <c r="R244" s="458"/>
    </row>
    <row r="245" spans="3:18" ht="13.5" hidden="1" x14ac:dyDescent="0.15">
      <c r="C245" s="510"/>
      <c r="D245" s="456"/>
      <c r="E245" s="466"/>
      <c r="F245" s="466"/>
      <c r="G245" s="466"/>
      <c r="H245" s="499"/>
      <c r="I245" s="474"/>
      <c r="J245" s="474"/>
      <c r="N245" s="512"/>
      <c r="Q245" s="458"/>
      <c r="R245" s="458"/>
    </row>
    <row r="246" spans="3:18" ht="13.5" hidden="1" x14ac:dyDescent="0.15">
      <c r="C246" s="510"/>
      <c r="D246" s="456"/>
      <c r="E246" s="470"/>
      <c r="F246" s="470"/>
      <c r="G246" s="470"/>
      <c r="H246" s="499"/>
      <c r="I246" s="474"/>
      <c r="J246" s="474"/>
      <c r="N246" s="512"/>
      <c r="Q246" s="458"/>
      <c r="R246" s="458"/>
    </row>
    <row r="247" spans="3:18" ht="13.5" hidden="1" x14ac:dyDescent="0.15">
      <c r="C247" s="510"/>
      <c r="D247" s="456"/>
      <c r="E247" s="466"/>
      <c r="F247" s="466"/>
      <c r="G247" s="466"/>
      <c r="H247" s="499"/>
      <c r="I247" s="474"/>
      <c r="J247" s="474"/>
      <c r="N247" s="512"/>
      <c r="Q247" s="458"/>
      <c r="R247" s="458"/>
    </row>
    <row r="248" spans="3:18" ht="13.5" hidden="1" x14ac:dyDescent="0.15">
      <c r="C248" s="510"/>
      <c r="D248" s="456"/>
      <c r="E248" s="466"/>
      <c r="F248" s="466"/>
      <c r="G248" s="466"/>
      <c r="H248" s="499"/>
      <c r="I248" s="474"/>
      <c r="J248" s="474"/>
      <c r="N248" s="512"/>
      <c r="Q248" s="458"/>
      <c r="R248" s="458"/>
    </row>
    <row r="249" spans="3:18" ht="13.5" hidden="1" x14ac:dyDescent="0.15">
      <c r="C249" s="510"/>
      <c r="D249" s="456"/>
      <c r="F249" s="414"/>
      <c r="N249" s="512"/>
      <c r="Q249" s="458"/>
      <c r="R249" s="458"/>
    </row>
    <row r="250" spans="3:18" ht="13.5" hidden="1" x14ac:dyDescent="0.15">
      <c r="C250" s="511"/>
      <c r="D250" s="456"/>
      <c r="E250" s="466"/>
      <c r="F250" s="466"/>
      <c r="G250" s="466"/>
      <c r="H250" s="499"/>
      <c r="I250" s="474"/>
      <c r="J250" s="474"/>
      <c r="N250" s="512"/>
      <c r="O250" s="466"/>
      <c r="Q250" s="458"/>
      <c r="R250" s="458"/>
    </row>
    <row r="251" spans="3:18" ht="13.5" hidden="1" x14ac:dyDescent="0.15">
      <c r="C251" s="511"/>
      <c r="D251" s="456"/>
      <c r="E251" s="466"/>
      <c r="F251" s="466"/>
      <c r="G251" s="466"/>
      <c r="H251" s="499"/>
      <c r="I251" s="474"/>
      <c r="J251" s="474"/>
      <c r="N251" s="512"/>
      <c r="Q251" s="458"/>
      <c r="R251" s="458"/>
    </row>
    <row r="252" spans="3:18" ht="13.5" hidden="1" x14ac:dyDescent="0.15">
      <c r="C252" s="511"/>
      <c r="D252" s="456"/>
      <c r="E252" s="466"/>
      <c r="F252" s="466"/>
      <c r="G252" s="466"/>
      <c r="H252" s="499"/>
      <c r="I252" s="474"/>
      <c r="J252" s="474"/>
      <c r="N252" s="512"/>
      <c r="Q252" s="458"/>
      <c r="R252" s="458"/>
    </row>
    <row r="253" spans="3:18" ht="13.5" hidden="1" x14ac:dyDescent="0.15">
      <c r="C253" s="511"/>
      <c r="D253" s="456"/>
      <c r="E253" s="456"/>
      <c r="N253" s="512"/>
      <c r="Q253" s="458"/>
      <c r="R253" s="458"/>
    </row>
    <row r="254" spans="3:18" ht="13.5" hidden="1" x14ac:dyDescent="0.15">
      <c r="C254" s="511"/>
      <c r="D254" s="456"/>
      <c r="E254" s="466"/>
      <c r="F254" s="466"/>
      <c r="G254" s="466"/>
      <c r="H254" s="499"/>
      <c r="I254" s="474"/>
      <c r="J254" s="474"/>
      <c r="N254" s="512"/>
      <c r="Q254" s="458"/>
      <c r="R254" s="458"/>
    </row>
    <row r="255" spans="3:18" ht="13.5" hidden="1" x14ac:dyDescent="0.15">
      <c r="C255" s="511"/>
      <c r="D255" s="456"/>
      <c r="E255" s="466"/>
      <c r="F255" s="466"/>
      <c r="G255" s="466"/>
      <c r="H255" s="499"/>
      <c r="I255" s="474"/>
      <c r="J255" s="474"/>
      <c r="N255" s="512"/>
      <c r="Q255" s="458"/>
      <c r="R255" s="458"/>
    </row>
    <row r="256" spans="3:18" ht="13.5" hidden="1" x14ac:dyDescent="0.15">
      <c r="C256" s="511"/>
      <c r="D256" s="456"/>
      <c r="E256" s="466"/>
      <c r="F256" s="466"/>
      <c r="G256" s="466"/>
      <c r="H256" s="499"/>
      <c r="I256" s="474"/>
      <c r="J256" s="474"/>
      <c r="N256" s="512"/>
      <c r="Q256" s="458"/>
      <c r="R256" s="458"/>
    </row>
    <row r="257" spans="3:41" ht="13.5" hidden="1" x14ac:dyDescent="0.15">
      <c r="C257" s="511"/>
      <c r="D257" s="456"/>
      <c r="E257" s="466"/>
      <c r="F257" s="466"/>
      <c r="G257" s="466"/>
      <c r="H257" s="499"/>
      <c r="I257" s="474"/>
      <c r="J257" s="474"/>
      <c r="N257" s="512"/>
      <c r="Q257" s="458"/>
      <c r="R257" s="458"/>
    </row>
    <row r="258" spans="3:41" ht="13.5" hidden="1" x14ac:dyDescent="0.15">
      <c r="C258" s="511"/>
      <c r="D258" s="456"/>
      <c r="E258" s="466"/>
      <c r="F258" s="466"/>
      <c r="G258" s="466"/>
      <c r="H258" s="499"/>
      <c r="I258" s="474"/>
      <c r="J258" s="474"/>
      <c r="N258" s="512"/>
      <c r="Q258" s="458"/>
      <c r="R258" s="458"/>
    </row>
    <row r="259" spans="3:41" ht="13.5" hidden="1" x14ac:dyDescent="0.15">
      <c r="C259" s="511"/>
      <c r="D259" s="456"/>
      <c r="E259" s="456"/>
      <c r="N259" s="512"/>
      <c r="Q259" s="458"/>
      <c r="R259" s="458"/>
    </row>
    <row r="260" spans="3:41" ht="13.5" hidden="1" x14ac:dyDescent="0.15">
      <c r="C260" s="471"/>
      <c r="D260" s="456"/>
      <c r="E260" s="456"/>
    </row>
    <row r="261" spans="3:41" ht="13.5" hidden="1" x14ac:dyDescent="0.15">
      <c r="C261" s="473"/>
      <c r="D261" s="456"/>
      <c r="E261" s="456"/>
    </row>
    <row r="262" spans="3:41" ht="13.5" hidden="1" x14ac:dyDescent="0.15">
      <c r="C262" s="473"/>
      <c r="D262" s="471"/>
      <c r="E262" s="471"/>
      <c r="F262" s="471"/>
      <c r="G262" s="471"/>
      <c r="H262" s="471"/>
      <c r="I262" s="471"/>
      <c r="J262" s="471"/>
      <c r="K262" s="471"/>
      <c r="L262" s="471"/>
      <c r="M262" s="471"/>
      <c r="N262" s="471"/>
      <c r="O262" s="471"/>
    </row>
    <row r="263" spans="3:41" ht="13.5" hidden="1" x14ac:dyDescent="0.15">
      <c r="C263" s="504"/>
      <c r="D263" s="461"/>
      <c r="E263" s="461"/>
      <c r="F263" s="462"/>
      <c r="G263" s="472"/>
      <c r="H263" s="473"/>
      <c r="I263" s="473"/>
      <c r="J263" s="473"/>
      <c r="O263" s="414"/>
    </row>
    <row r="264" spans="3:41" ht="13.5" hidden="1" x14ac:dyDescent="0.15">
      <c r="C264" s="510"/>
      <c r="D264" s="466"/>
      <c r="E264" s="467"/>
      <c r="F264" s="468"/>
      <c r="G264" s="457"/>
      <c r="H264" s="457"/>
      <c r="I264" s="457"/>
      <c r="J264" s="457"/>
    </row>
    <row r="265" spans="3:41" ht="13.5" hidden="1" x14ac:dyDescent="0.15">
      <c r="C265" s="504"/>
      <c r="D265" s="466"/>
      <c r="E265" s="466"/>
      <c r="F265" s="466"/>
      <c r="G265" s="474"/>
      <c r="H265" s="474"/>
      <c r="I265" s="474"/>
      <c r="J265" s="474"/>
    </row>
    <row r="266" spans="3:41" ht="13.5" hidden="1" x14ac:dyDescent="0.15">
      <c r="C266" s="510"/>
      <c r="D266" s="466"/>
      <c r="E266" s="466"/>
      <c r="F266" s="466"/>
      <c r="G266" s="474"/>
      <c r="H266" s="474"/>
      <c r="I266" s="474"/>
      <c r="J266" s="474"/>
    </row>
    <row r="267" spans="3:41" ht="13.5" hidden="1" x14ac:dyDescent="0.15">
      <c r="C267" s="510"/>
      <c r="D267" s="466"/>
      <c r="E267" s="466"/>
      <c r="F267" s="466"/>
      <c r="G267" s="474"/>
      <c r="H267" s="474"/>
      <c r="I267" s="474"/>
      <c r="J267" s="474"/>
    </row>
    <row r="268" spans="3:41" ht="13.5" hidden="1" x14ac:dyDescent="0.15">
      <c r="C268" s="473"/>
      <c r="D268" s="466"/>
      <c r="E268" s="466"/>
      <c r="F268" s="466"/>
      <c r="G268" s="474"/>
      <c r="H268" s="474"/>
      <c r="I268" s="474"/>
      <c r="J268" s="474"/>
    </row>
    <row r="269" spans="3:41" ht="13.5" hidden="1" x14ac:dyDescent="0.15">
      <c r="C269" s="473"/>
      <c r="D269" s="456"/>
      <c r="E269" s="456"/>
    </row>
    <row r="270" spans="3:41" ht="13.5" hidden="1" x14ac:dyDescent="0.15">
      <c r="C270" s="473"/>
      <c r="D270" s="471"/>
      <c r="E270" s="471"/>
      <c r="F270" s="471"/>
      <c r="G270" s="471"/>
      <c r="H270" s="471"/>
      <c r="I270" s="471"/>
      <c r="J270" s="471"/>
      <c r="K270" s="471"/>
      <c r="L270" s="471"/>
      <c r="M270" s="471"/>
      <c r="N270" s="471"/>
      <c r="O270" s="471"/>
      <c r="AI270" s="473"/>
      <c r="AJ270" s="473"/>
      <c r="AK270" s="473"/>
      <c r="AL270" s="473"/>
      <c r="AM270" s="473"/>
      <c r="AN270" s="473"/>
      <c r="AO270" s="473"/>
    </row>
    <row r="271" spans="3:41" ht="13.5" hidden="1" x14ac:dyDescent="0.15">
      <c r="C271" s="473"/>
      <c r="D271" s="461"/>
      <c r="E271" s="461"/>
      <c r="F271" s="462"/>
      <c r="G271" s="472"/>
      <c r="H271" s="473"/>
      <c r="I271" s="473"/>
      <c r="J271" s="473"/>
      <c r="O271" s="414"/>
      <c r="AI271" s="473"/>
      <c r="AJ271" s="473"/>
      <c r="AK271" s="473"/>
      <c r="AL271" s="473"/>
      <c r="AM271" s="473"/>
      <c r="AN271" s="473"/>
      <c r="AO271" s="473"/>
    </row>
    <row r="272" spans="3:41" ht="13.5" hidden="1" x14ac:dyDescent="0.15">
      <c r="C272" s="504"/>
      <c r="D272" s="466"/>
      <c r="E272" s="467"/>
      <c r="F272" s="468"/>
      <c r="AI272" s="473"/>
      <c r="AJ272" s="473"/>
      <c r="AK272" s="473"/>
      <c r="AL272" s="473"/>
      <c r="AM272" s="473"/>
      <c r="AN272" s="473"/>
      <c r="AO272" s="473"/>
    </row>
    <row r="273" spans="3:41" ht="13.5" hidden="1" x14ac:dyDescent="0.15">
      <c r="C273" s="510"/>
      <c r="D273" s="466"/>
      <c r="E273" s="467"/>
      <c r="F273" s="468"/>
      <c r="G273" s="457"/>
      <c r="H273" s="457"/>
      <c r="I273" s="457"/>
      <c r="J273" s="457"/>
      <c r="AI273" s="473"/>
      <c r="AJ273" s="473"/>
      <c r="AK273" s="473"/>
      <c r="AL273" s="473"/>
      <c r="AM273" s="473"/>
      <c r="AN273" s="473"/>
      <c r="AO273" s="473"/>
    </row>
    <row r="274" spans="3:41" ht="13.5" hidden="1" x14ac:dyDescent="0.15">
      <c r="C274" s="510"/>
      <c r="D274" s="466"/>
      <c r="E274" s="467"/>
      <c r="F274" s="468"/>
      <c r="G274" s="457"/>
      <c r="H274" s="473"/>
      <c r="I274" s="457"/>
      <c r="J274" s="457"/>
      <c r="AI274" s="473"/>
      <c r="AJ274" s="473"/>
      <c r="AK274" s="473"/>
      <c r="AL274" s="473"/>
      <c r="AM274" s="473"/>
      <c r="AN274" s="473"/>
      <c r="AO274" s="473"/>
    </row>
    <row r="275" spans="3:41" ht="13.5" hidden="1" x14ac:dyDescent="0.15">
      <c r="C275" s="504"/>
      <c r="D275" s="466"/>
      <c r="E275" s="467"/>
      <c r="F275" s="468"/>
      <c r="G275" s="457"/>
      <c r="H275" s="473"/>
      <c r="I275" s="457"/>
      <c r="J275" s="457"/>
    </row>
    <row r="276" spans="3:41" ht="13.5" hidden="1" x14ac:dyDescent="0.15">
      <c r="C276" s="510"/>
      <c r="D276" s="466"/>
      <c r="E276" s="467"/>
      <c r="F276" s="468"/>
      <c r="G276" s="457"/>
      <c r="H276" s="473"/>
      <c r="I276" s="457"/>
      <c r="J276" s="457"/>
    </row>
    <row r="277" spans="3:41" ht="13.5" hidden="1" x14ac:dyDescent="0.15">
      <c r="C277" s="510"/>
      <c r="D277" s="466"/>
      <c r="E277" s="467"/>
      <c r="F277" s="468"/>
      <c r="G277" s="457"/>
      <c r="H277" s="473"/>
      <c r="I277" s="457"/>
      <c r="J277" s="457"/>
    </row>
    <row r="278" spans="3:41" ht="13.5" hidden="1" x14ac:dyDescent="0.15">
      <c r="C278" s="505"/>
      <c r="D278" s="466"/>
      <c r="E278" s="467"/>
      <c r="F278" s="468"/>
      <c r="G278" s="474"/>
      <c r="H278" s="474"/>
      <c r="I278" s="474"/>
      <c r="J278" s="474"/>
    </row>
    <row r="279" spans="3:41" ht="13.5" hidden="1" x14ac:dyDescent="0.15">
      <c r="C279" s="510"/>
      <c r="D279" s="466"/>
      <c r="E279" s="467"/>
      <c r="F279" s="468"/>
      <c r="G279" s="474"/>
      <c r="H279" s="474"/>
      <c r="I279" s="474"/>
      <c r="J279" s="474"/>
    </row>
    <row r="280" spans="3:41" ht="13.5" hidden="1" x14ac:dyDescent="0.15">
      <c r="C280" s="510"/>
      <c r="D280" s="466"/>
      <c r="E280" s="466"/>
      <c r="F280" s="466"/>
      <c r="G280" s="474"/>
      <c r="H280" s="474"/>
      <c r="I280" s="474"/>
      <c r="J280" s="474"/>
    </row>
    <row r="281" spans="3:41" ht="13.5" hidden="1" x14ac:dyDescent="0.15">
      <c r="C281" s="506"/>
      <c r="D281" s="466"/>
      <c r="E281" s="466"/>
      <c r="F281" s="466"/>
      <c r="G281" s="474"/>
      <c r="H281" s="474"/>
      <c r="I281" s="474"/>
      <c r="J281" s="474"/>
    </row>
    <row r="282" spans="3:41" ht="13.5" hidden="1" x14ac:dyDescent="0.15">
      <c r="C282" s="510"/>
      <c r="D282" s="466"/>
      <c r="E282" s="466"/>
      <c r="F282" s="466"/>
      <c r="G282" s="474"/>
      <c r="H282" s="474"/>
      <c r="I282" s="474"/>
      <c r="J282" s="474"/>
    </row>
    <row r="283" spans="3:41" ht="13.5" hidden="1" x14ac:dyDescent="0.15">
      <c r="C283" s="506"/>
      <c r="D283" s="466"/>
      <c r="E283" s="466"/>
      <c r="F283" s="466"/>
      <c r="G283" s="474"/>
      <c r="H283" s="474"/>
      <c r="I283" s="474"/>
      <c r="J283" s="474"/>
    </row>
    <row r="284" spans="3:41" ht="13.5" hidden="1" x14ac:dyDescent="0.15">
      <c r="C284" s="510"/>
      <c r="D284" s="466"/>
      <c r="E284" s="466"/>
      <c r="F284" s="466"/>
      <c r="G284" s="474"/>
      <c r="H284" s="474"/>
      <c r="I284" s="474"/>
      <c r="J284" s="474"/>
    </row>
    <row r="285" spans="3:41" ht="13.5" hidden="1" x14ac:dyDescent="0.15">
      <c r="C285" s="506"/>
      <c r="D285" s="466"/>
      <c r="E285" s="466"/>
      <c r="F285" s="466"/>
      <c r="G285" s="474"/>
      <c r="H285" s="474"/>
      <c r="I285" s="474"/>
      <c r="J285" s="474"/>
    </row>
    <row r="286" spans="3:41" ht="13.5" hidden="1" x14ac:dyDescent="0.15">
      <c r="C286" s="506"/>
      <c r="D286" s="466"/>
      <c r="E286" s="466"/>
      <c r="F286" s="466"/>
      <c r="G286" s="474"/>
      <c r="H286" s="474"/>
      <c r="I286" s="474"/>
      <c r="J286" s="474"/>
    </row>
    <row r="287" spans="3:41" ht="13.5" hidden="1" x14ac:dyDescent="0.15">
      <c r="C287" s="506"/>
      <c r="D287" s="466"/>
      <c r="E287" s="466"/>
      <c r="F287" s="466"/>
      <c r="G287" s="474"/>
      <c r="H287" s="474"/>
      <c r="I287" s="474"/>
      <c r="J287" s="474"/>
    </row>
    <row r="288" spans="3:41" ht="13.5" hidden="1" x14ac:dyDescent="0.15">
      <c r="C288" s="473"/>
      <c r="D288" s="466"/>
      <c r="E288" s="466"/>
      <c r="F288" s="466"/>
      <c r="G288" s="474"/>
      <c r="H288" s="474"/>
      <c r="I288" s="474"/>
      <c r="J288" s="474"/>
    </row>
    <row r="289" spans="3:15" ht="13.5" hidden="1" x14ac:dyDescent="0.15">
      <c r="C289" s="498"/>
      <c r="D289" s="466"/>
      <c r="E289" s="466"/>
      <c r="F289" s="466"/>
      <c r="G289" s="474"/>
      <c r="H289" s="474"/>
      <c r="I289" s="474"/>
      <c r="J289" s="474"/>
    </row>
    <row r="290" spans="3:15" ht="13.5" hidden="1" x14ac:dyDescent="0.15">
      <c r="C290" s="506"/>
      <c r="D290" s="475"/>
      <c r="E290" s="473"/>
      <c r="F290" s="476"/>
      <c r="G290" s="474"/>
      <c r="H290" s="474"/>
      <c r="I290" s="474"/>
      <c r="J290" s="474"/>
      <c r="O290" s="477"/>
    </row>
    <row r="291" spans="3:15" ht="13.5" hidden="1" x14ac:dyDescent="0.15">
      <c r="C291" s="510"/>
      <c r="D291" s="471"/>
      <c r="E291" s="471"/>
      <c r="F291" s="471"/>
      <c r="G291" s="471"/>
      <c r="H291" s="471"/>
      <c r="I291" s="471"/>
      <c r="J291" s="471"/>
      <c r="K291" s="471"/>
      <c r="L291" s="471"/>
      <c r="M291" s="471"/>
      <c r="N291" s="471"/>
      <c r="O291" s="471"/>
    </row>
    <row r="292" spans="3:15" ht="13.5" hidden="1" x14ac:dyDescent="0.15">
      <c r="C292" s="506"/>
      <c r="D292" s="461"/>
      <c r="E292" s="461"/>
      <c r="F292" s="462"/>
      <c r="G292" s="472"/>
      <c r="H292" s="473"/>
      <c r="I292" s="473"/>
      <c r="J292" s="473"/>
      <c r="O292" s="414"/>
    </row>
    <row r="293" spans="3:15" ht="13.5" hidden="1" x14ac:dyDescent="0.15">
      <c r="C293" s="473"/>
      <c r="D293" s="466"/>
      <c r="E293" s="467"/>
      <c r="F293" s="468"/>
      <c r="G293" s="474"/>
      <c r="H293" s="474"/>
      <c r="I293" s="474"/>
      <c r="J293" s="474"/>
    </row>
    <row r="294" spans="3:15" ht="13.5" hidden="1" x14ac:dyDescent="0.15">
      <c r="C294" s="473"/>
      <c r="D294" s="466"/>
      <c r="E294" s="467"/>
      <c r="F294" s="468"/>
      <c r="G294" s="474"/>
      <c r="H294" s="474"/>
      <c r="I294" s="474"/>
      <c r="J294" s="474"/>
    </row>
    <row r="295" spans="3:15" ht="13.5" hidden="1" x14ac:dyDescent="0.15">
      <c r="C295" s="510"/>
      <c r="D295" s="466"/>
      <c r="E295" s="467"/>
      <c r="F295" s="468"/>
      <c r="G295" s="474"/>
      <c r="H295" s="474"/>
      <c r="I295" s="474"/>
      <c r="J295" s="474"/>
    </row>
    <row r="296" spans="3:15" ht="13.5" hidden="1" x14ac:dyDescent="0.15">
      <c r="C296" s="506"/>
      <c r="D296" s="466"/>
      <c r="E296" s="467"/>
      <c r="F296" s="468"/>
      <c r="G296" s="474"/>
      <c r="H296" s="474"/>
      <c r="I296" s="474"/>
      <c r="J296" s="474"/>
    </row>
    <row r="297" spans="3:15" ht="13.5" hidden="1" x14ac:dyDescent="0.15">
      <c r="C297" s="510"/>
      <c r="D297" s="466"/>
      <c r="E297" s="467"/>
      <c r="F297" s="468"/>
      <c r="G297" s="474"/>
      <c r="H297" s="474"/>
      <c r="I297" s="474"/>
      <c r="J297" s="474"/>
    </row>
    <row r="298" spans="3:15" ht="13.5" hidden="1" x14ac:dyDescent="0.15">
      <c r="C298" s="473"/>
      <c r="D298" s="466"/>
      <c r="E298" s="466"/>
      <c r="F298" s="466"/>
      <c r="G298" s="474"/>
      <c r="H298" s="474"/>
      <c r="I298" s="474"/>
      <c r="J298" s="474"/>
    </row>
    <row r="299" spans="3:15" ht="13.5" hidden="1" x14ac:dyDescent="0.15">
      <c r="C299" s="473"/>
      <c r="D299" s="466"/>
      <c r="E299" s="466"/>
      <c r="F299" s="466"/>
      <c r="G299" s="474"/>
      <c r="H299" s="474"/>
      <c r="I299" s="474"/>
      <c r="J299" s="474"/>
    </row>
    <row r="300" spans="3:15" ht="13.5" hidden="1" x14ac:dyDescent="0.15">
      <c r="C300" s="510"/>
      <c r="D300" s="466"/>
      <c r="E300" s="466"/>
      <c r="F300" s="466"/>
      <c r="G300" s="474"/>
      <c r="H300" s="474"/>
      <c r="I300" s="474"/>
      <c r="J300" s="474"/>
    </row>
    <row r="301" spans="3:15" ht="13.5" hidden="1" x14ac:dyDescent="0.15">
      <c r="C301" s="510"/>
      <c r="D301" s="466"/>
      <c r="E301" s="466"/>
      <c r="F301" s="466"/>
      <c r="G301" s="474"/>
      <c r="H301" s="474"/>
      <c r="I301" s="474"/>
      <c r="J301" s="474"/>
    </row>
    <row r="302" spans="3:15" ht="13.5" hidden="1" x14ac:dyDescent="0.15">
      <c r="C302" s="506"/>
      <c r="D302" s="466"/>
      <c r="E302" s="466"/>
      <c r="F302" s="466"/>
      <c r="G302" s="474"/>
      <c r="H302" s="474"/>
      <c r="I302" s="474"/>
      <c r="J302" s="474"/>
    </row>
    <row r="303" spans="3:15" ht="13.5" hidden="1" x14ac:dyDescent="0.15">
      <c r="C303" s="506"/>
    </row>
    <row r="304" spans="3:15" ht="13.5" hidden="1" x14ac:dyDescent="0.15">
      <c r="C304" s="473"/>
      <c r="D304" s="456"/>
      <c r="E304" s="456"/>
    </row>
    <row r="305" spans="3:5" ht="13.5" hidden="1" x14ac:dyDescent="0.15">
      <c r="C305" s="510"/>
      <c r="D305" s="456"/>
      <c r="E305" s="456"/>
    </row>
    <row r="306" spans="3:5" ht="13.5" hidden="1" x14ac:dyDescent="0.15">
      <c r="C306" s="473"/>
      <c r="D306" s="456"/>
      <c r="E306" s="456"/>
    </row>
    <row r="307" spans="3:5" ht="13.5" hidden="1" x14ac:dyDescent="0.15">
      <c r="C307" s="473"/>
      <c r="D307" s="456"/>
      <c r="E307" s="456"/>
    </row>
    <row r="308" spans="3:5" ht="13.5" hidden="1" x14ac:dyDescent="0.15">
      <c r="C308" s="473"/>
      <c r="D308" s="456"/>
      <c r="E308" s="456"/>
    </row>
    <row r="309" spans="3:5" ht="13.5" hidden="1" x14ac:dyDescent="0.15">
      <c r="C309" s="510"/>
      <c r="D309" s="456"/>
      <c r="E309" s="456"/>
    </row>
    <row r="310" spans="3:5" ht="13.5" hidden="1" x14ac:dyDescent="0.15">
      <c r="C310" s="510"/>
      <c r="D310" s="456"/>
      <c r="E310" s="456"/>
    </row>
    <row r="311" spans="3:5" ht="13.5" hidden="1" x14ac:dyDescent="0.15">
      <c r="C311" s="510"/>
    </row>
    <row r="312" spans="3:5" ht="13.5" hidden="1" x14ac:dyDescent="0.15">
      <c r="C312" s="473"/>
    </row>
    <row r="313" spans="3:5" ht="13.5" hidden="1" x14ac:dyDescent="0.15">
      <c r="C313" s="510"/>
    </row>
    <row r="314" spans="3:5" ht="13.5" hidden="1" x14ac:dyDescent="0.15">
      <c r="C314" s="506"/>
    </row>
    <row r="315" spans="3:5" ht="13.5" hidden="1" x14ac:dyDescent="0.15">
      <c r="C315" s="473"/>
    </row>
    <row r="316" spans="3:5" ht="13.5" hidden="1" x14ac:dyDescent="0.15">
      <c r="C316" s="473"/>
    </row>
    <row r="317" spans="3:5" ht="13.5" hidden="1" x14ac:dyDescent="0.15">
      <c r="C317" s="473"/>
    </row>
    <row r="318" spans="3:5" ht="13.5" hidden="1" x14ac:dyDescent="0.15">
      <c r="C318" s="473"/>
    </row>
    <row r="319" spans="3:5" ht="13.5" hidden="1" x14ac:dyDescent="0.15">
      <c r="C319" s="473"/>
    </row>
    <row r="320" spans="3:5" ht="13.5" hidden="1" x14ac:dyDescent="0.15">
      <c r="C320" s="506"/>
    </row>
    <row r="321" spans="3:3" ht="13.5" hidden="1" x14ac:dyDescent="0.15">
      <c r="C321" s="473"/>
    </row>
    <row r="322" spans="3:3" ht="13.5" hidden="1" x14ac:dyDescent="0.15">
      <c r="C322" s="473"/>
    </row>
    <row r="323" spans="3:3" ht="13.5" hidden="1" x14ac:dyDescent="0.15">
      <c r="C323" s="510"/>
    </row>
    <row r="324" spans="3:3" ht="13.5" hidden="1" x14ac:dyDescent="0.15">
      <c r="C324" s="473"/>
    </row>
    <row r="325" spans="3:3" ht="13.5" hidden="1" x14ac:dyDescent="0.15">
      <c r="C325" s="473"/>
    </row>
    <row r="326" spans="3:3" ht="13.5" hidden="1" x14ac:dyDescent="0.15">
      <c r="C326" s="473"/>
    </row>
    <row r="327" spans="3:3" ht="13.5" hidden="1" x14ac:dyDescent="0.15">
      <c r="C327" s="510"/>
    </row>
    <row r="328" spans="3:3" ht="13.5" hidden="1" x14ac:dyDescent="0.15">
      <c r="C328" s="473"/>
    </row>
    <row r="329" spans="3:3" ht="13.5" hidden="1" x14ac:dyDescent="0.15">
      <c r="C329" s="473"/>
    </row>
    <row r="330" spans="3:3" ht="13.5" hidden="1" x14ac:dyDescent="0.15">
      <c r="C330" s="506"/>
    </row>
    <row r="331" spans="3:3" ht="13.5" hidden="1" x14ac:dyDescent="0.15">
      <c r="C331" s="473"/>
    </row>
    <row r="332" spans="3:3" ht="13.5" hidden="1" x14ac:dyDescent="0.15">
      <c r="C332" s="473"/>
    </row>
    <row r="333" spans="3:3" ht="13.5" hidden="1" x14ac:dyDescent="0.15">
      <c r="C333" s="511"/>
    </row>
    <row r="334" spans="3:3" ht="13.5" hidden="1" x14ac:dyDescent="0.15">
      <c r="C334" s="506"/>
    </row>
    <row r="335" spans="3:3" ht="13.5" hidden="1" x14ac:dyDescent="0.15">
      <c r="C335" s="511"/>
    </row>
    <row r="336" spans="3:3" ht="13.5" hidden="1" x14ac:dyDescent="0.15">
      <c r="C336" s="511"/>
    </row>
    <row r="337" spans="3:3" ht="13.5" hidden="1" x14ac:dyDescent="0.15">
      <c r="C337" s="511"/>
    </row>
    <row r="338" spans="3:3" ht="13.5" hidden="1" x14ac:dyDescent="0.15">
      <c r="C338" s="506"/>
    </row>
    <row r="339" spans="3:3" ht="13.5" hidden="1" x14ac:dyDescent="0.15">
      <c r="C339" s="511"/>
    </row>
    <row r="340" spans="3:3" ht="13.5" hidden="1" x14ac:dyDescent="0.15">
      <c r="C340" s="506"/>
    </row>
    <row r="341" spans="3:3" ht="13.5" hidden="1" x14ac:dyDescent="0.15">
      <c r="C341" s="511"/>
    </row>
    <row r="342" spans="3:3" ht="13.5" hidden="1" x14ac:dyDescent="0.15">
      <c r="C342" s="506"/>
    </row>
    <row r="343" spans="3:3" ht="13.5" hidden="1" x14ac:dyDescent="0.15">
      <c r="C343" s="511"/>
    </row>
    <row r="344" spans="3:3" ht="13.5" hidden="1" x14ac:dyDescent="0.15">
      <c r="C344" s="506"/>
    </row>
    <row r="345" spans="3:3" ht="13.5" hidden="1" x14ac:dyDescent="0.15">
      <c r="C345" s="506"/>
    </row>
    <row r="346" spans="3:3" ht="13.5" hidden="1" x14ac:dyDescent="0.15">
      <c r="C346" s="511"/>
    </row>
    <row r="347" spans="3:3" ht="13.5" hidden="1" x14ac:dyDescent="0.15">
      <c r="C347" s="473"/>
    </row>
    <row r="348" spans="3:3" ht="13.5" hidden="1" x14ac:dyDescent="0.15">
      <c r="C348" s="506"/>
    </row>
    <row r="349" spans="3:3" ht="13.5" hidden="1" x14ac:dyDescent="0.15">
      <c r="C349" s="506"/>
    </row>
    <row r="350" spans="3:3" ht="13.5" hidden="1" x14ac:dyDescent="0.15">
      <c r="C350" s="506"/>
    </row>
    <row r="351" spans="3:3" ht="13.5" hidden="1" x14ac:dyDescent="0.15">
      <c r="C351" s="506"/>
    </row>
    <row r="352" spans="3:3" ht="13.5" hidden="1" x14ac:dyDescent="0.15">
      <c r="C352" s="506"/>
    </row>
    <row r="353" spans="3:3" ht="13.5" hidden="1" x14ac:dyDescent="0.15">
      <c r="C353" s="506"/>
    </row>
    <row r="354" spans="3:3" ht="13.5" hidden="1" x14ac:dyDescent="0.15">
      <c r="C354" s="473"/>
    </row>
    <row r="355" spans="3:3" ht="13.5" hidden="1" x14ac:dyDescent="0.15">
      <c r="C355" s="511"/>
    </row>
    <row r="356" spans="3:3" ht="13.5" hidden="1" x14ac:dyDescent="0.15">
      <c r="C356" s="473"/>
    </row>
    <row r="357" spans="3:3" ht="13.5" hidden="1" x14ac:dyDescent="0.15">
      <c r="C357" s="473"/>
    </row>
    <row r="358" spans="3:3" ht="13.5" hidden="1" x14ac:dyDescent="0.15">
      <c r="C358" s="473"/>
    </row>
  </sheetData>
  <sheetProtection password="97A9" sheet="1" objects="1" scenarios="1"/>
  <mergeCells count="110">
    <mergeCell ref="C3:N3"/>
    <mergeCell ref="C5:N5"/>
    <mergeCell ref="C84:N84"/>
    <mergeCell ref="D17:F17"/>
    <mergeCell ref="I17:N17"/>
    <mergeCell ref="C18:G18"/>
    <mergeCell ref="I18:N18"/>
    <mergeCell ref="C19:G19"/>
    <mergeCell ref="I19:N19"/>
    <mergeCell ref="C20:G20"/>
    <mergeCell ref="I20:N20"/>
    <mergeCell ref="C26:N26"/>
    <mergeCell ref="I16:N16"/>
    <mergeCell ref="E10:F10"/>
    <mergeCell ref="E11:F11"/>
    <mergeCell ref="E12:F12"/>
    <mergeCell ref="I14:N14"/>
    <mergeCell ref="I15:N15"/>
    <mergeCell ref="B7:B8"/>
    <mergeCell ref="C7:C8"/>
    <mergeCell ref="D7:G7"/>
    <mergeCell ref="E8:F8"/>
    <mergeCell ref="B13:B15"/>
    <mergeCell ref="E13:F13"/>
    <mergeCell ref="E14:F14"/>
    <mergeCell ref="B10:B11"/>
    <mergeCell ref="E15:F15"/>
    <mergeCell ref="B22:B24"/>
    <mergeCell ref="C22:C23"/>
    <mergeCell ref="D22:G22"/>
    <mergeCell ref="E9:F9"/>
    <mergeCell ref="D16:F16"/>
    <mergeCell ref="C29:D29"/>
    <mergeCell ref="F29:G29"/>
    <mergeCell ref="K29:L29"/>
    <mergeCell ref="C30:D30"/>
    <mergeCell ref="F30:G30"/>
    <mergeCell ref="K30:L30"/>
    <mergeCell ref="J22:N22"/>
    <mergeCell ref="E23:F23"/>
    <mergeCell ref="K23:L23"/>
    <mergeCell ref="E24:F24"/>
    <mergeCell ref="C28:D28"/>
    <mergeCell ref="F28:G28"/>
    <mergeCell ref="J28:N28"/>
    <mergeCell ref="C31:D31"/>
    <mergeCell ref="F31:G31"/>
    <mergeCell ref="K31:L31"/>
    <mergeCell ref="E40:F40"/>
    <mergeCell ref="I40:N40"/>
    <mergeCell ref="N35:N36"/>
    <mergeCell ref="C33:N33"/>
    <mergeCell ref="C35:C36"/>
    <mergeCell ref="D35:G35"/>
    <mergeCell ref="E36:F36"/>
    <mergeCell ref="E46:F46"/>
    <mergeCell ref="K46:L46"/>
    <mergeCell ref="E47:F47"/>
    <mergeCell ref="J35:M36"/>
    <mergeCell ref="E37:F37"/>
    <mergeCell ref="E38:F38"/>
    <mergeCell ref="E39:F39"/>
    <mergeCell ref="I39:N39"/>
    <mergeCell ref="J51:M52"/>
    <mergeCell ref="N51:N52"/>
    <mergeCell ref="C41:G41"/>
    <mergeCell ref="I41:N41"/>
    <mergeCell ref="C42:G42"/>
    <mergeCell ref="B66:B68"/>
    <mergeCell ref="C66:C67"/>
    <mergeCell ref="D66:G66"/>
    <mergeCell ref="J67:N67"/>
    <mergeCell ref="E67:F67"/>
    <mergeCell ref="E68:F68"/>
    <mergeCell ref="E54:F54"/>
    <mergeCell ref="E55:F55"/>
    <mergeCell ref="I55:N55"/>
    <mergeCell ref="B60:B62"/>
    <mergeCell ref="C60:C61"/>
    <mergeCell ref="D60:G60"/>
    <mergeCell ref="J61:N61"/>
    <mergeCell ref="E61:F61"/>
    <mergeCell ref="E62:F62"/>
    <mergeCell ref="C57:G57"/>
    <mergeCell ref="E56:F56"/>
    <mergeCell ref="I56:N56"/>
    <mergeCell ref="L2:N2"/>
    <mergeCell ref="J80:N80"/>
    <mergeCell ref="C73:D73"/>
    <mergeCell ref="K73:L73"/>
    <mergeCell ref="C70:N70"/>
    <mergeCell ref="C72:D72"/>
    <mergeCell ref="J72:N72"/>
    <mergeCell ref="F73:H73"/>
    <mergeCell ref="F72:H72"/>
    <mergeCell ref="C64:N64"/>
    <mergeCell ref="I57:N57"/>
    <mergeCell ref="C58:G58"/>
    <mergeCell ref="I58:N58"/>
    <mergeCell ref="K47:L47"/>
    <mergeCell ref="C49:N49"/>
    <mergeCell ref="C51:C52"/>
    <mergeCell ref="D51:G51"/>
    <mergeCell ref="E52:F52"/>
    <mergeCell ref="E53:F53"/>
    <mergeCell ref="I42:N42"/>
    <mergeCell ref="C44:C45"/>
    <mergeCell ref="D44:G44"/>
    <mergeCell ref="E45:F45"/>
    <mergeCell ref="J45:N45"/>
  </mergeCells>
  <phoneticPr fontId="0" type="noConversion"/>
  <conditionalFormatting sqref="I10:I11 N35 N51 I38">
    <cfRule type="cellIs" dxfId="617" priority="1" stopIfTrue="1" operator="equal">
      <formula>"COMUNICAR AO RPPS DO ENTE TEMPO AVERBADO."</formula>
    </cfRule>
  </conditionalFormatting>
  <conditionalFormatting sqref="J82 B100:O115 I86:K96">
    <cfRule type="cellIs" dxfId="616" priority="2" stopIfTrue="1" operator="equal">
      <formula>"SIM"</formula>
    </cfRule>
    <cfRule type="cellIs" dxfId="615" priority="3" stopIfTrue="1" operator="equal">
      <formula>"NÃO"</formula>
    </cfRule>
  </conditionalFormatting>
  <conditionalFormatting sqref="O76 O79:O82 L78">
    <cfRule type="cellIs" dxfId="614" priority="4" stopIfTrue="1" operator="equal">
      <formula>0</formula>
    </cfRule>
  </conditionalFormatting>
  <conditionalFormatting sqref="K129">
    <cfRule type="cellIs" dxfId="613" priority="5" stopIfTrue="1" operator="equal">
      <formula>"ATENDE TEMPO NO CARGO"</formula>
    </cfRule>
    <cfRule type="cellIs" dxfId="612" priority="6" stopIfTrue="1" operator="equal">
      <formula>"NÃO CUMPRE TEMPO NO CARGO"</formula>
    </cfRule>
  </conditionalFormatting>
  <conditionalFormatting sqref="N272:N290 N262:N268 N293:N316 D250:D252 D161:D206 O205:O206 D208:D227 D247:D248 D254:D258 D229:D245">
    <cfRule type="cellIs" dxfId="611" priority="7" stopIfTrue="1" operator="equal">
      <formula>"ANUÊNIO"</formula>
    </cfRule>
    <cfRule type="cellIs" dxfId="610" priority="8" stopIfTrue="1" operator="equal">
      <formula>"TRIÊNIO"</formula>
    </cfRule>
    <cfRule type="cellIs" dxfId="609" priority="9" stopIfTrue="1" operator="equal">
      <formula>"QUINQUÊNIO"</formula>
    </cfRule>
  </conditionalFormatting>
  <conditionalFormatting sqref="N74 O71 N87:N98 N116 L99 N85">
    <cfRule type="cellIs" dxfId="608" priority="10" stopIfTrue="1" operator="equal">
      <formula>"ATENDE"</formula>
    </cfRule>
    <cfRule type="cellIs" dxfId="607" priority="11" stopIfTrue="1" operator="equal">
      <formula>"NÃO ATENDE"</formula>
    </cfRule>
    <cfRule type="cellIs" dxfId="606" priority="12" stopIfTrue="1" operator="equal">
      <formula>"OK"</formula>
    </cfRule>
  </conditionalFormatting>
  <conditionalFormatting sqref="G69:G70">
    <cfRule type="cellIs" dxfId="605" priority="13" stopIfTrue="1" operator="equal">
      <formula>"NADA A CUMPRIR"</formula>
    </cfRule>
    <cfRule type="cellIs" dxfId="604" priority="14" stopIfTrue="1" operator="equal">
      <formula>"NÃO CABE"</formula>
    </cfRule>
    <cfRule type="cellIs" dxfId="603" priority="15" stopIfTrue="1" operator="greaterThanOrEqual">
      <formula>0</formula>
    </cfRule>
  </conditionalFormatting>
  <conditionalFormatting sqref="F71">
    <cfRule type="cellIs" dxfId="602" priority="16" stopIfTrue="1" operator="equal">
      <formula>"NÃO ATENDE LIMITE MÍNIMO DE IDADE"</formula>
    </cfRule>
    <cfRule type="cellIs" dxfId="601" priority="17" stopIfTrue="1" operator="equal">
      <formula>"REANALISAR FUNDAMENTAÇÃO E/OU MODALIDADE"</formula>
    </cfRule>
    <cfRule type="cellIs" dxfId="600" priority="18" stopIfTrue="1" operator="equal">
      <formula>"ATENDE LIMITE MÍNIMO DE IDADE"</formula>
    </cfRule>
  </conditionalFormatting>
  <conditionalFormatting sqref="D69">
    <cfRule type="cellIs" dxfId="599" priority="19" stopIfTrue="1" operator="equal">
      <formula>"FALTA DATA"</formula>
    </cfRule>
  </conditionalFormatting>
  <conditionalFormatting sqref="O70">
    <cfRule type="cellIs" dxfId="598" priority="20" stopIfTrue="1" operator="equal">
      <formula>"ATENDE"</formula>
    </cfRule>
    <cfRule type="cellIs" dxfId="597" priority="21" stopIfTrue="1" operator="equal">
      <formula>"NÃO ATENDE"</formula>
    </cfRule>
    <cfRule type="cellIs" dxfId="596" priority="22" stopIfTrue="1" operator="equal">
      <formula>"NÃO CABE"</formula>
    </cfRule>
  </conditionalFormatting>
  <conditionalFormatting sqref="O69">
    <cfRule type="cellIs" dxfId="595" priority="23" stopIfTrue="1" operator="equal">
      <formula>"ATENDE"</formula>
    </cfRule>
    <cfRule type="cellIs" dxfId="594" priority="24" stopIfTrue="1" operator="equal">
      <formula>"NÃO ATENDE"</formula>
    </cfRule>
    <cfRule type="cellIs" dxfId="593" priority="25" stopIfTrue="1" operator="equal">
      <formula>"NÃO CABE"</formula>
    </cfRule>
  </conditionalFormatting>
  <conditionalFormatting sqref="L43">
    <cfRule type="expression" dxfId="592" priority="26" stopIfTrue="1">
      <formula>$F$43&lt;=0</formula>
    </cfRule>
  </conditionalFormatting>
  <conditionalFormatting sqref="N43">
    <cfRule type="expression" dxfId="591" priority="27" stopIfTrue="1">
      <formula>$F$43&lt;=0</formula>
    </cfRule>
  </conditionalFormatting>
  <conditionalFormatting sqref="P71">
    <cfRule type="cellIs" dxfId="590" priority="28" stopIfTrue="1" operator="equal">
      <formula>"REVER TIPO DE ADICIONAL"</formula>
    </cfRule>
  </conditionalFormatting>
  <conditionalFormatting sqref="D70">
    <cfRule type="cellIs" dxfId="589" priority="29" stopIfTrue="1" operator="equal">
      <formula>"INÍCIO DE CARGO E/OU CARREIRA - OK"</formula>
    </cfRule>
  </conditionalFormatting>
  <conditionalFormatting sqref="L22 N22">
    <cfRule type="expression" dxfId="588" priority="30" stopIfTrue="1">
      <formula>$F$22&lt;=0</formula>
    </cfRule>
  </conditionalFormatting>
  <conditionalFormatting sqref="M73 F29:G31 J29:J31 M29:M31 I72">
    <cfRule type="cellIs" dxfId="587" priority="31" stopIfTrue="1" operator="notEqual">
      <formula>0</formula>
    </cfRule>
  </conditionalFormatting>
  <conditionalFormatting sqref="C83">
    <cfRule type="cellIs" dxfId="586" priority="32" stopIfTrue="1" operator="equal">
      <formula>"rever fundamentação e/ou modalidade"</formula>
    </cfRule>
  </conditionalFormatting>
  <conditionalFormatting sqref="C77:C78">
    <cfRule type="cellIs" dxfId="585" priority="33" stopIfTrue="1" operator="equal">
      <formula>"NÃO ATENDE LIMITE MÍNIMO DE IDADE"</formula>
    </cfRule>
    <cfRule type="cellIs" dxfId="584" priority="34" stopIfTrue="1" operator="equal">
      <formula>"REANALISAR FUNDAMENTAÇÃO E/OU MODALIDADE"</formula>
    </cfRule>
    <cfRule type="cellIs" dxfId="583" priority="35" stopIfTrue="1" operator="equal">
      <formula>"ATENDE LIMITE MÍNIMO DE IDADE"</formula>
    </cfRule>
  </conditionalFormatting>
  <conditionalFormatting sqref="F73:H73">
    <cfRule type="cellIs" dxfId="582" priority="36" stopIfTrue="1" operator="equal">
      <formula>"NADA A CUMPRIR"</formula>
    </cfRule>
    <cfRule type="cellIs" dxfId="581" priority="37" stopIfTrue="1" operator="greaterThan">
      <formula>0</formula>
    </cfRule>
  </conditionalFormatting>
  <conditionalFormatting sqref="C80">
    <cfRule type="cellIs" dxfId="580" priority="38" stopIfTrue="1" operator="equal">
      <formula>"NÃO HÁ TEMPO A CUMPRIR"</formula>
    </cfRule>
    <cfRule type="cellIs" dxfId="579" priority="39" stopIfTrue="1" operator="equal">
      <formula>"NÃO COMPUTA TEMPO DE CONTRIBUIÇÃO/SERVIÇO"</formula>
    </cfRule>
  </conditionalFormatting>
  <conditionalFormatting sqref="J80:N80">
    <cfRule type="cellIs" dxfId="578" priority="40" stopIfTrue="1" operator="equal">
      <formula>"SATISFAZ TEMPO DE CONTRIBUIÇÃO E IDADE"</formula>
    </cfRule>
    <cfRule type="cellIs" dxfId="577" priority="41" stopIfTrue="1" operator="equal">
      <formula>"NÃO SATISFAZ TEMPO DE CONTRIBUIÇÃO E/OU IDADE"</formula>
    </cfRule>
    <cfRule type="cellIs" dxfId="576" priority="42" stopIfTrue="1" operator="equal">
      <formula>"NÃO CUMPRE TEMPO DE SERVIÇO TOTAL"</formula>
    </cfRule>
  </conditionalFormatting>
  <conditionalFormatting sqref="I9">
    <cfRule type="cellIs" dxfId="575" priority="43" stopIfTrue="1" operator="equal">
      <formula>"COMUNICAR AO INSS TEMPO AVERBADO."</formula>
    </cfRule>
  </conditionalFormatting>
  <conditionalFormatting sqref="I12:J13">
    <cfRule type="cellIs" dxfId="574" priority="44" stopIfTrue="1" operator="equal">
      <formula>"COMPROVAR CERTIDÃO E/OU CERTIFICADO DE RESERVISTA."</formula>
    </cfRule>
  </conditionalFormatting>
  <conditionalFormatting sqref="L82">
    <cfRule type="cellIs" dxfId="573" priority="45" stopIfTrue="1" operator="equal">
      <formula>"SIM"</formula>
    </cfRule>
    <cfRule type="cellIs" dxfId="572" priority="46" stopIfTrue="1" operator="equal">
      <formula>"NÃO"</formula>
    </cfRule>
    <cfRule type="cellIs" dxfId="571" priority="47" stopIfTrue="1" operator="equal">
      <formula>"NÃO CABE"</formula>
    </cfRule>
  </conditionalFormatting>
  <conditionalFormatting sqref="L83 L77">
    <cfRule type="cellIs" dxfId="570" priority="48" stopIfTrue="1" operator="equal">
      <formula>0</formula>
    </cfRule>
  </conditionalFormatting>
  <conditionalFormatting sqref="C28:D28">
    <cfRule type="cellIs" dxfId="569" priority="49" stopIfTrue="1" operator="equal">
      <formula>"NÃO HÁ PEDÁGIO A CUMPRIR"</formula>
    </cfRule>
    <cfRule type="cellIs" dxfId="568" priority="50" stopIfTrue="1" operator="equal">
      <formula>"HÁ PEDÁGIO A CUMPRIR"</formula>
    </cfRule>
  </conditionalFormatting>
  <conditionalFormatting sqref="D62">
    <cfRule type="cellIs" dxfId="567" priority="51" stopIfTrue="1" operator="equal">
      <formula>"REVER"</formula>
    </cfRule>
  </conditionalFormatting>
  <conditionalFormatting sqref="K75:M75">
    <cfRule type="cellIs" dxfId="566" priority="52" stopIfTrue="1" operator="notEqual">
      <formula>0</formula>
    </cfRule>
  </conditionalFormatting>
  <conditionalFormatting sqref="I73">
    <cfRule type="cellIs" dxfId="565" priority="53" stopIfTrue="1" operator="notEqual">
      <formula>0</formula>
    </cfRule>
  </conditionalFormatting>
  <conditionalFormatting sqref="D68">
    <cfRule type="cellIs" dxfId="564" priority="54" stopIfTrue="1" operator="equal">
      <formula>"REVER"</formula>
    </cfRule>
  </conditionalFormatting>
  <conditionalFormatting sqref="I40:N40">
    <cfRule type="cellIs" dxfId="563" priority="55" stopIfTrue="1" operator="equal">
      <formula>"A data máxima nessa situação é 30/12/2003 (Antes da Emenda nº 41/03)."</formula>
    </cfRule>
  </conditionalFormatting>
  <conditionalFormatting sqref="G24 D24 D46:D47 G46:G47">
    <cfRule type="cellIs" dxfId="562" priority="56" stopIfTrue="1" operator="equal">
      <formula>"REVER"</formula>
    </cfRule>
    <cfRule type="cellIs" dxfId="561" priority="57" stopIfTrue="1" operator="equal">
      <formula>0</formula>
    </cfRule>
  </conditionalFormatting>
  <conditionalFormatting sqref="D40 G15 D56 D15 G56">
    <cfRule type="cellIs" dxfId="560" priority="58" stopIfTrue="1" operator="equal">
      <formula>0</formula>
    </cfRule>
  </conditionalFormatting>
  <conditionalFormatting sqref="G68">
    <cfRule type="cellIs" dxfId="559" priority="59" stopIfTrue="1" operator="equal">
      <formula>"REVER"</formula>
    </cfRule>
    <cfRule type="cellIs" dxfId="558" priority="60" stopIfTrue="1" operator="equal">
      <formula>0</formula>
    </cfRule>
  </conditionalFormatting>
  <conditionalFormatting sqref="J51">
    <cfRule type="cellIs" dxfId="557" priority="61" stopIfTrue="1" operator="equal">
      <formula>"DURANTE O PERÍODO DE LICENÇA SEM VENCIMENTOS, HOUVE CONTRIBUIÇÃO PARA O RPPS?"</formula>
    </cfRule>
  </conditionalFormatting>
  <conditionalFormatting sqref="G40">
    <cfRule type="cellIs" dxfId="556" priority="62" stopIfTrue="1" operator="lessThan">
      <formula>36145</formula>
    </cfRule>
  </conditionalFormatting>
  <conditionalFormatting sqref="G62">
    <cfRule type="cellIs" dxfId="555" priority="63" stopIfTrue="1" operator="equal">
      <formula>0</formula>
    </cfRule>
    <cfRule type="cellIs" dxfId="554" priority="64" stopIfTrue="1" operator="equal">
      <formula>"""REVER"""</formula>
    </cfRule>
  </conditionalFormatting>
  <conditionalFormatting sqref="J75 N75">
    <cfRule type="cellIs" dxfId="553" priority="65" stopIfTrue="1" operator="notEqual">
      <formula>0</formula>
    </cfRule>
  </conditionalFormatting>
  <dataValidations count="2">
    <dataValidation type="list" allowBlank="1" showInputMessage="1" showErrorMessage="1" sqref="N51 N35" xr:uid="{00000000-0002-0000-0100-000000000000}">
      <formula1>$D$86:$D$88</formula1>
    </dataValidation>
    <dataValidation type="list" allowBlank="1" showInputMessage="1" showErrorMessage="1" sqref="N8" xr:uid="{00000000-0002-0000-0100-000001000000}">
      <formula1>$C$86:$C$90</formula1>
    </dataValidation>
  </dataValidations>
  <printOptions horizontalCentered="1" gridLinesSet="0"/>
  <pageMargins left="0.19685039370078741" right="0" top="0.59055118110236227" bottom="0.19685039370078741" header="0.19685039370078741" footer="3.937007874015748E-2"/>
  <pageSetup paperSize="9" scale="75" orientation="portrait" r:id="rId1"/>
  <headerFooter alignWithMargins="0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354"/>
  <sheetViews>
    <sheetView showGridLines="0" zoomScale="75" zoomScaleNormal="75" workbookViewId="0" xr3:uid="{842E5F09-E766-5B8D-85AF-A39847EA96FD}">
      <selection activeCell="I16" sqref="I16"/>
    </sheetView>
  </sheetViews>
  <sheetFormatPr defaultColWidth="0" defaultRowHeight="14.25" zeroHeight="1" x14ac:dyDescent="0.15"/>
  <cols>
    <col min="1" max="1" width="2.6953125" style="859" customWidth="1"/>
    <col min="2" max="2" width="4.44921875" style="820" customWidth="1"/>
    <col min="3" max="3" width="8.8984375" style="824" customWidth="1"/>
    <col min="4" max="4" width="12.67578125" style="824" customWidth="1"/>
    <col min="5" max="5" width="12.67578125" style="820" customWidth="1"/>
    <col min="6" max="6" width="12.13671875" style="820" customWidth="1"/>
    <col min="7" max="7" width="12.80859375" style="820" customWidth="1"/>
    <col min="8" max="8" width="5.52734375" style="820" customWidth="1"/>
    <col min="9" max="9" width="13.75390625" style="820" customWidth="1"/>
    <col min="10" max="10" width="10.24609375" style="820" customWidth="1"/>
    <col min="11" max="11" width="8.76171875" style="820" customWidth="1"/>
    <col min="12" max="12" width="5.52734375" style="820" customWidth="1"/>
    <col min="13" max="13" width="7.8203125" style="820" customWidth="1"/>
    <col min="14" max="14" width="12.9453125" style="820" customWidth="1"/>
    <col min="15" max="15" width="13.88671875" style="820" customWidth="1"/>
    <col min="16" max="17" width="2.6953125" style="820" customWidth="1"/>
    <col min="18" max="18" width="9.70703125" style="820" hidden="1" customWidth="1"/>
    <col min="19" max="19" width="5.66015625" style="820" hidden="1" customWidth="1"/>
    <col min="20" max="20" width="5.796875" style="820" hidden="1" customWidth="1"/>
    <col min="21" max="21" width="5.66015625" style="820" hidden="1" customWidth="1"/>
    <col min="22" max="23" width="5.52734375" style="820" hidden="1" customWidth="1"/>
    <col min="24" max="25" width="5.66015625" style="820" hidden="1" customWidth="1"/>
    <col min="26" max="26" width="5.52734375" style="533" hidden="1" customWidth="1"/>
    <col min="27" max="28" width="5.93359375" style="533" hidden="1" customWidth="1"/>
    <col min="29" max="29" width="5.93359375" style="820" hidden="1" customWidth="1"/>
    <col min="30" max="31" width="5.796875" style="820" hidden="1" customWidth="1"/>
    <col min="32" max="32" width="5.93359375" style="820" hidden="1" customWidth="1"/>
    <col min="33" max="33" width="5.66015625" style="820" hidden="1" customWidth="1"/>
    <col min="34" max="34" width="5.93359375" style="820" hidden="1" customWidth="1"/>
    <col min="35" max="37" width="5.796875" style="820" hidden="1" customWidth="1"/>
    <col min="38" max="38" width="5.93359375" style="820" hidden="1" customWidth="1"/>
    <col min="39" max="39" width="5.796875" style="820" hidden="1" customWidth="1"/>
    <col min="40" max="40" width="5.93359375" style="820" hidden="1" customWidth="1"/>
    <col min="41" max="41" width="5.796875" style="820" hidden="1" customWidth="1"/>
    <col min="42" max="45" width="5.93359375" style="820" hidden="1" customWidth="1"/>
    <col min="46" max="49" width="5.66015625" style="820" hidden="1" customWidth="1"/>
    <col min="50" max="50" width="44.09375" style="820" hidden="1" customWidth="1"/>
    <col min="51" max="51" width="2.6953125" style="820" hidden="1" customWidth="1"/>
    <col min="52" max="61" width="9.16796875" style="820" hidden="1" customWidth="1"/>
    <col min="62" max="62" width="39.375" style="820" hidden="1" customWidth="1"/>
    <col min="63" max="63" width="69.3125" style="820" hidden="1" customWidth="1"/>
    <col min="64" max="64" width="55.2890625" style="820" hidden="1" customWidth="1"/>
    <col min="65" max="65" width="69.71875" style="820" hidden="1" customWidth="1"/>
    <col min="66" max="66" width="60.546875" style="820" hidden="1" customWidth="1"/>
    <col min="67" max="67" width="55.2890625" style="820" hidden="1" customWidth="1"/>
    <col min="68" max="68" width="66.34765625" style="820" hidden="1" customWidth="1"/>
    <col min="69" max="69" width="55.2890625" style="820" hidden="1" customWidth="1"/>
    <col min="70" max="16384" width="9.16796875" style="820" hidden="1"/>
  </cols>
  <sheetData>
    <row r="1" spans="1:49" ht="9" customHeight="1" x14ac:dyDescent="0.15">
      <c r="B1" s="895"/>
      <c r="E1" s="895"/>
      <c r="F1" s="895"/>
      <c r="G1" s="895"/>
      <c r="H1" s="895"/>
      <c r="I1" s="895"/>
      <c r="J1" s="895"/>
      <c r="K1" s="895"/>
      <c r="L1" s="895"/>
    </row>
    <row r="2" spans="1:49" x14ac:dyDescent="0.15">
      <c r="B2" s="1458"/>
      <c r="C2" s="1459"/>
      <c r="D2" s="1459"/>
      <c r="E2" s="1459"/>
      <c r="F2" s="1459"/>
      <c r="G2" s="1459"/>
      <c r="H2" s="1459"/>
      <c r="I2" s="1459"/>
      <c r="J2" s="1459"/>
      <c r="K2" s="1459"/>
      <c r="L2" s="1638" t="str">
        <f>'MTS - MAPA DE TEMPO DE SERVIÇO'!L2</f>
        <v>FAAP - MÓDULO 1 - R3.1</v>
      </c>
      <c r="M2" s="1638"/>
      <c r="N2" s="1638"/>
      <c r="O2" s="1638"/>
      <c r="P2" s="1459"/>
    </row>
    <row r="3" spans="1:49" ht="20.25" x14ac:dyDescent="0.25">
      <c r="A3" s="821"/>
      <c r="B3" s="1458">
        <v>1</v>
      </c>
      <c r="C3" s="1643" t="s">
        <v>227</v>
      </c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5"/>
      <c r="P3" s="1459"/>
      <c r="AW3" s="823"/>
    </row>
    <row r="4" spans="1:49" ht="6" customHeight="1" x14ac:dyDescent="0.25">
      <c r="A4" s="821"/>
      <c r="B4" s="1458"/>
      <c r="C4" s="1460"/>
      <c r="D4" s="1460"/>
      <c r="E4" s="1460"/>
      <c r="F4" s="1460"/>
      <c r="G4" s="1460"/>
      <c r="H4" s="1460"/>
      <c r="I4" s="1460"/>
      <c r="J4" s="1460"/>
      <c r="K4" s="1460"/>
      <c r="L4" s="1460"/>
      <c r="M4" s="1460"/>
      <c r="N4" s="1460"/>
      <c r="O4" s="1460"/>
      <c r="P4" s="1459"/>
      <c r="AW4" s="823"/>
    </row>
    <row r="5" spans="1:49" ht="15" customHeight="1" x14ac:dyDescent="0.25">
      <c r="A5" s="821"/>
      <c r="B5" s="1458"/>
      <c r="C5" s="1461" t="str">
        <f>IF('FICHA FUNCIONAL'!E16&gt;0,"NOME:","")</f>
        <v/>
      </c>
      <c r="D5" s="1462" t="str">
        <f>IF('FICHA FUNCIONAL'!E16&gt;0,'FICHA FUNCIONAL'!E16,"")</f>
        <v/>
      </c>
      <c r="E5" s="1460"/>
      <c r="F5" s="1460"/>
      <c r="G5" s="1460"/>
      <c r="H5" s="1460"/>
      <c r="I5" s="1461" t="str">
        <f>IF('FICHA FUNCIONAL'!E17&gt;0,"MATRÍCULA:","")</f>
        <v/>
      </c>
      <c r="J5" s="1651" t="str">
        <f>IF('FICHA FUNCIONAL'!E17&gt;0,'FICHA FUNCIONAL'!E17,"")</f>
        <v/>
      </c>
      <c r="K5" s="1651"/>
      <c r="L5" s="1460"/>
      <c r="M5" s="1460"/>
      <c r="N5" s="1460"/>
      <c r="O5" s="1460"/>
      <c r="P5" s="1459"/>
      <c r="AW5" s="823"/>
    </row>
    <row r="6" spans="1:49" ht="6" customHeight="1" thickBot="1" x14ac:dyDescent="0.2">
      <c r="B6" s="1458"/>
      <c r="C6" s="1459"/>
      <c r="D6" s="1459"/>
      <c r="E6" s="1459"/>
      <c r="F6" s="1459"/>
      <c r="G6" s="1459"/>
      <c r="H6" s="1459"/>
      <c r="I6" s="1459"/>
      <c r="J6" s="1459"/>
      <c r="K6" s="1459"/>
      <c r="L6" s="1459"/>
      <c r="M6" s="1459"/>
      <c r="N6" s="1459"/>
      <c r="O6" s="1459"/>
      <c r="P6" s="1459"/>
      <c r="AW6" s="823"/>
    </row>
    <row r="7" spans="1:49" ht="18.75" thickTop="1" x14ac:dyDescent="0.2">
      <c r="B7" s="1458">
        <v>2</v>
      </c>
      <c r="C7" s="1646" t="s">
        <v>228</v>
      </c>
      <c r="D7" s="1647"/>
      <c r="E7" s="1647"/>
      <c r="F7" s="1647"/>
      <c r="G7" s="1647"/>
      <c r="H7" s="1647"/>
      <c r="I7" s="1647"/>
      <c r="J7" s="1647"/>
      <c r="K7" s="1647"/>
      <c r="L7" s="1647"/>
      <c r="M7" s="1647"/>
      <c r="N7" s="1647"/>
      <c r="O7" s="1648"/>
      <c r="P7" s="1459"/>
      <c r="Q7" s="833"/>
      <c r="R7" s="833"/>
      <c r="S7" s="833"/>
      <c r="T7" s="833"/>
      <c r="U7" s="833"/>
      <c r="V7" s="833"/>
      <c r="W7" s="833"/>
      <c r="AW7" s="823"/>
    </row>
    <row r="8" spans="1:49" ht="10.5" customHeight="1" x14ac:dyDescent="0.15">
      <c r="B8" s="1458"/>
      <c r="C8" s="1467"/>
      <c r="D8" s="1468"/>
      <c r="E8" s="1468"/>
      <c r="F8" s="1468"/>
      <c r="G8" s="1468"/>
      <c r="H8" s="1468"/>
      <c r="I8" s="1468"/>
      <c r="J8" s="1468"/>
      <c r="K8" s="1468"/>
      <c r="L8" s="1468"/>
      <c r="M8" s="1468"/>
      <c r="N8" s="1468"/>
      <c r="O8" s="1469"/>
      <c r="P8" s="1459"/>
      <c r="Z8" s="820"/>
      <c r="AA8" s="820"/>
      <c r="AB8" s="820"/>
      <c r="AW8" s="823"/>
    </row>
    <row r="9" spans="1:49" x14ac:dyDescent="0.15">
      <c r="B9" s="1458">
        <v>3</v>
      </c>
      <c r="C9" s="1639" t="s">
        <v>322</v>
      </c>
      <c r="D9" s="1640"/>
      <c r="E9" s="1640"/>
      <c r="F9" s="1640"/>
      <c r="G9" s="1640"/>
      <c r="H9" s="1649" t="str">
        <f>CRÍTICA_IGP1!$E$2</f>
        <v>PREENCHA COM A MODALIDADE</v>
      </c>
      <c r="I9" s="1649"/>
      <c r="J9" s="1649"/>
      <c r="K9" s="1649"/>
      <c r="L9" s="1649"/>
      <c r="M9" s="1649"/>
      <c r="N9" s="1649"/>
      <c r="O9" s="1650"/>
      <c r="P9" s="1459"/>
      <c r="Z9" s="820"/>
      <c r="AA9" s="820"/>
      <c r="AB9" s="820"/>
      <c r="AW9" s="823"/>
    </row>
    <row r="10" spans="1:49" ht="18" customHeight="1" x14ac:dyDescent="0.15">
      <c r="B10" s="1458">
        <v>4</v>
      </c>
      <c r="C10" s="1639" t="s">
        <v>323</v>
      </c>
      <c r="D10" s="1640"/>
      <c r="E10" s="1640"/>
      <c r="F10" s="1640"/>
      <c r="G10" s="1640"/>
      <c r="H10" s="1652" t="str">
        <f>CRÍTICA_IGP1!$K$2</f>
        <v>PREENCHA A REGRA DESEJADA</v>
      </c>
      <c r="I10" s="1652"/>
      <c r="J10" s="1652"/>
      <c r="K10" s="1652"/>
      <c r="L10" s="1652"/>
      <c r="M10" s="1652"/>
      <c r="N10" s="1652"/>
      <c r="O10" s="1653"/>
      <c r="P10" s="1459"/>
      <c r="Q10" s="833"/>
      <c r="R10" s="833"/>
      <c r="S10" s="833"/>
      <c r="T10" s="833"/>
      <c r="U10" s="833"/>
      <c r="V10" s="833"/>
      <c r="W10" s="833"/>
      <c r="X10" s="833"/>
      <c r="Y10" s="833"/>
      <c r="AW10" s="823"/>
    </row>
    <row r="11" spans="1:49" ht="21" customHeight="1" x14ac:dyDescent="0.15">
      <c r="B11" s="1458">
        <v>5</v>
      </c>
      <c r="C11" s="1675" t="s">
        <v>229</v>
      </c>
      <c r="D11" s="1676"/>
      <c r="E11" s="1676"/>
      <c r="F11" s="1676"/>
      <c r="G11" s="1676"/>
      <c r="H11" s="1677" t="str">
        <f>'FICHA FUNCIONAL'!$E$8</f>
        <v>REVER FUNDAMENTAÇÃO E/OU MODALIDADE</v>
      </c>
      <c r="I11" s="1678"/>
      <c r="J11" s="1678"/>
      <c r="K11" s="1678"/>
      <c r="L11" s="1678"/>
      <c r="M11" s="1678"/>
      <c r="N11" s="1678"/>
      <c r="O11" s="1679"/>
      <c r="P11" s="1459"/>
      <c r="AW11" s="823"/>
    </row>
    <row r="12" spans="1:49" x14ac:dyDescent="0.15">
      <c r="A12" s="821"/>
      <c r="B12" s="1458"/>
      <c r="C12" s="1675"/>
      <c r="D12" s="1676"/>
      <c r="E12" s="1676"/>
      <c r="F12" s="1676"/>
      <c r="G12" s="1676"/>
      <c r="H12" s="1680"/>
      <c r="I12" s="1681"/>
      <c r="J12" s="1681"/>
      <c r="K12" s="1681"/>
      <c r="L12" s="1681"/>
      <c r="M12" s="1681"/>
      <c r="N12" s="1681"/>
      <c r="O12" s="1682"/>
      <c r="P12" s="1459"/>
      <c r="AW12" s="823"/>
    </row>
    <row r="13" spans="1:49" ht="12.75" customHeight="1" x14ac:dyDescent="0.15">
      <c r="A13" s="821"/>
      <c r="B13" s="1458"/>
      <c r="C13" s="1467"/>
      <c r="D13" s="1468"/>
      <c r="E13" s="1468"/>
      <c r="F13" s="1468"/>
      <c r="G13" s="1468"/>
      <c r="H13" s="1468"/>
      <c r="I13" s="1468"/>
      <c r="J13" s="1468"/>
      <c r="K13" s="1468"/>
      <c r="L13" s="1468"/>
      <c r="M13" s="1468"/>
      <c r="N13" s="1468"/>
      <c r="O13" s="1469"/>
      <c r="P13" s="1459"/>
      <c r="Q13" s="835"/>
      <c r="R13" s="835"/>
      <c r="S13" s="835"/>
      <c r="T13" s="835"/>
      <c r="U13" s="835"/>
      <c r="V13" s="835"/>
      <c r="W13" s="835"/>
      <c r="X13" s="835"/>
      <c r="Y13" s="835"/>
      <c r="AV13" s="533"/>
      <c r="AW13" s="865"/>
    </row>
    <row r="14" spans="1:49" x14ac:dyDescent="0.15">
      <c r="A14" s="821"/>
      <c r="B14" s="1659">
        <v>6</v>
      </c>
      <c r="C14" s="1660" t="s">
        <v>239</v>
      </c>
      <c r="D14" s="1661"/>
      <c r="E14" s="1661"/>
      <c r="F14" s="1662"/>
      <c r="G14" s="1669" t="s">
        <v>332</v>
      </c>
      <c r="H14" s="1683"/>
      <c r="I14" s="1683"/>
      <c r="J14" s="942" t="s">
        <v>241</v>
      </c>
      <c r="K14" s="1470"/>
      <c r="L14" s="1471"/>
      <c r="M14" s="1468"/>
      <c r="N14" s="1468"/>
      <c r="O14" s="1469"/>
      <c r="P14" s="1459"/>
      <c r="AV14" s="533"/>
      <c r="AW14" s="865"/>
    </row>
    <row r="15" spans="1:49" x14ac:dyDescent="0.15">
      <c r="A15" s="821"/>
      <c r="B15" s="1659"/>
      <c r="C15" s="1663"/>
      <c r="D15" s="1664"/>
      <c r="E15" s="1664"/>
      <c r="F15" s="1665"/>
      <c r="G15" s="943" t="s">
        <v>115</v>
      </c>
      <c r="H15" s="944"/>
      <c r="I15" s="945" t="s">
        <v>116</v>
      </c>
      <c r="J15" s="946" t="s">
        <v>333</v>
      </c>
      <c r="K15" s="1470"/>
      <c r="L15" s="1688" t="s">
        <v>124</v>
      </c>
      <c r="M15" s="1657"/>
      <c r="N15" s="1657"/>
      <c r="O15" s="1689"/>
      <c r="P15" s="1459"/>
      <c r="W15" s="833"/>
      <c r="Z15" s="820"/>
      <c r="AA15" s="820"/>
      <c r="AB15" s="820"/>
      <c r="AT15" s="533"/>
      <c r="AU15" s="533"/>
      <c r="AV15" s="533"/>
      <c r="AW15" s="865"/>
    </row>
    <row r="16" spans="1:49" x14ac:dyDescent="0.15">
      <c r="A16" s="821"/>
      <c r="B16" s="1659"/>
      <c r="C16" s="1666"/>
      <c r="D16" s="1667"/>
      <c r="E16" s="1667"/>
      <c r="F16" s="1668"/>
      <c r="G16" s="947" t="str">
        <f>'MTS - MAPA DE TEMPO DE SERVIÇO'!$D$68</f>
        <v>REVER</v>
      </c>
      <c r="H16" s="948" t="s">
        <v>336</v>
      </c>
      <c r="I16" s="949">
        <f>'MTS - MAPA DE TEMPO DE SERVIÇO'!$G$68</f>
        <v>0</v>
      </c>
      <c r="J16" s="950">
        <f>'MTS - MAPA DE TEMPO DE SERVIÇO'!$H$68</f>
        <v>0</v>
      </c>
      <c r="K16" s="1472"/>
      <c r="L16" s="951">
        <f>CRÍTICA_IGP1!$H$61</f>
        <v>0</v>
      </c>
      <c r="M16" s="952" t="s">
        <v>125</v>
      </c>
      <c r="N16" s="953">
        <f>CRÍTICA_IGP1!$J$61</f>
        <v>0</v>
      </c>
      <c r="O16" s="990" t="s">
        <v>126</v>
      </c>
      <c r="P16" s="1459"/>
      <c r="Z16" s="820"/>
      <c r="AA16" s="820"/>
      <c r="AB16" s="820"/>
      <c r="AV16" s="533"/>
      <c r="AW16" s="865"/>
    </row>
    <row r="17" spans="1:49" ht="10.5" customHeight="1" x14ac:dyDescent="0.15">
      <c r="A17" s="821"/>
      <c r="B17" s="1458"/>
      <c r="C17" s="1467"/>
      <c r="D17" s="1468"/>
      <c r="E17" s="1468"/>
      <c r="F17" s="1468"/>
      <c r="G17" s="1468"/>
      <c r="H17" s="1468"/>
      <c r="I17" s="1468"/>
      <c r="J17" s="1468"/>
      <c r="K17" s="1468"/>
      <c r="L17" s="1468"/>
      <c r="M17" s="1468"/>
      <c r="N17" s="1468"/>
      <c r="O17" s="1469"/>
      <c r="P17" s="1459"/>
      <c r="Z17" s="820"/>
      <c r="AA17" s="820"/>
      <c r="AB17" s="820"/>
      <c r="AV17" s="533"/>
      <c r="AW17" s="865"/>
    </row>
    <row r="18" spans="1:49" x14ac:dyDescent="0.15">
      <c r="A18" s="821"/>
      <c r="B18" s="1659">
        <v>7</v>
      </c>
      <c r="C18" s="1660" t="s">
        <v>240</v>
      </c>
      <c r="D18" s="1661"/>
      <c r="E18" s="1661"/>
      <c r="F18" s="1662"/>
      <c r="G18" s="1669" t="s">
        <v>241</v>
      </c>
      <c r="H18" s="1670"/>
      <c r="I18" s="1468"/>
      <c r="J18" s="1468"/>
      <c r="K18" s="1468"/>
      <c r="L18" s="1468"/>
      <c r="M18" s="1471"/>
      <c r="N18" s="1468"/>
      <c r="O18" s="1469"/>
      <c r="P18" s="1459"/>
      <c r="Z18" s="820"/>
      <c r="AA18" s="820"/>
      <c r="AB18" s="820"/>
      <c r="AV18" s="533"/>
      <c r="AW18" s="865"/>
    </row>
    <row r="19" spans="1:49" x14ac:dyDescent="0.15">
      <c r="A19" s="821"/>
      <c r="B19" s="1659"/>
      <c r="C19" s="1663"/>
      <c r="D19" s="1664"/>
      <c r="E19" s="1664"/>
      <c r="F19" s="1665"/>
      <c r="G19" s="1690" t="s">
        <v>333</v>
      </c>
      <c r="H19" s="1691"/>
      <c r="I19" s="1463"/>
      <c r="J19" s="1463"/>
      <c r="K19" s="1463"/>
      <c r="L19" s="1688" t="s">
        <v>124</v>
      </c>
      <c r="M19" s="1657"/>
      <c r="N19" s="1657"/>
      <c r="O19" s="1689"/>
      <c r="P19" s="1463"/>
      <c r="S19" s="833"/>
      <c r="T19" s="833"/>
      <c r="U19" s="833"/>
      <c r="V19" s="833"/>
      <c r="W19" s="833"/>
      <c r="X19" s="833"/>
      <c r="Z19" s="820"/>
      <c r="AA19" s="820"/>
      <c r="AB19" s="820"/>
      <c r="AO19" s="833"/>
      <c r="AP19" s="833"/>
      <c r="AQ19" s="833"/>
      <c r="AR19" s="833"/>
      <c r="AS19" s="833"/>
      <c r="AT19" s="833"/>
      <c r="AU19" s="833"/>
      <c r="AV19" s="533"/>
      <c r="AW19" s="533"/>
    </row>
    <row r="20" spans="1:49" x14ac:dyDescent="0.15">
      <c r="A20" s="821"/>
      <c r="B20" s="1659"/>
      <c r="C20" s="1666"/>
      <c r="D20" s="1667"/>
      <c r="E20" s="1667"/>
      <c r="F20" s="1668"/>
      <c r="G20" s="1654" t="str">
        <f>CRÍTICA_IGP1!$F$71</f>
        <v>NADA A CUMPRIR</v>
      </c>
      <c r="H20" s="1655"/>
      <c r="I20" s="1463"/>
      <c r="J20" s="1463"/>
      <c r="K20" s="1463"/>
      <c r="L20" s="955">
        <f>IF(CRÍTICA_IGP1!$Y$97&gt;0,CRÍTICA_IGP1!$Y$97,0)</f>
        <v>0</v>
      </c>
      <c r="M20" s="956" t="s">
        <v>125</v>
      </c>
      <c r="N20" s="957">
        <f>IF(CRÍTICA_IGP1!$Z$97&gt;0,CRÍTICA_IGP1!$Z$97,0)</f>
        <v>0</v>
      </c>
      <c r="O20" s="991" t="s">
        <v>126</v>
      </c>
      <c r="P20" s="1463"/>
      <c r="R20" s="896"/>
      <c r="S20" s="868"/>
      <c r="T20" s="853"/>
      <c r="U20" s="870"/>
      <c r="V20" s="870"/>
      <c r="W20" s="853"/>
      <c r="X20" s="853"/>
      <c r="AT20" s="533"/>
      <c r="AU20" s="533"/>
      <c r="AV20" s="533"/>
      <c r="AW20" s="533"/>
    </row>
    <row r="21" spans="1:49" ht="10.5" customHeight="1" x14ac:dyDescent="0.15">
      <c r="A21" s="821"/>
      <c r="B21" s="1458"/>
      <c r="C21" s="1467"/>
      <c r="D21" s="1468"/>
      <c r="E21" s="1468"/>
      <c r="F21" s="1468"/>
      <c r="G21" s="1468"/>
      <c r="H21" s="1468"/>
      <c r="I21" s="1468"/>
      <c r="J21" s="1468"/>
      <c r="K21" s="1468"/>
      <c r="L21" s="1468"/>
      <c r="M21" s="1468"/>
      <c r="N21" s="1468"/>
      <c r="O21" s="1469"/>
      <c r="P21" s="1459"/>
      <c r="AT21" s="533"/>
      <c r="AU21" s="533"/>
      <c r="AV21" s="533"/>
      <c r="AW21" s="533"/>
    </row>
    <row r="22" spans="1:49" x14ac:dyDescent="0.15">
      <c r="A22" s="821"/>
      <c r="B22" s="1458"/>
      <c r="C22" s="1467"/>
      <c r="D22" s="1468"/>
      <c r="E22" s="1468"/>
      <c r="F22" s="1688" t="s">
        <v>163</v>
      </c>
      <c r="G22" s="1657"/>
      <c r="H22" s="1658"/>
      <c r="I22" s="1468"/>
      <c r="J22" s="1463"/>
      <c r="K22" s="1463"/>
      <c r="L22" s="1688" t="s">
        <v>156</v>
      </c>
      <c r="M22" s="1657"/>
      <c r="N22" s="1657"/>
      <c r="O22" s="1689"/>
      <c r="P22" s="1459"/>
      <c r="AT22" s="533"/>
      <c r="AU22" s="533"/>
      <c r="AV22" s="533"/>
      <c r="AW22" s="533"/>
    </row>
    <row r="23" spans="1:49" x14ac:dyDescent="0.15">
      <c r="A23" s="821"/>
      <c r="B23" s="1458">
        <v>8</v>
      </c>
      <c r="C23" s="1671" t="s">
        <v>538</v>
      </c>
      <c r="D23" s="1672"/>
      <c r="E23" s="1672"/>
      <c r="F23" s="1673" t="str">
        <f>CRÍTICA_IGP1!$N$68</f>
        <v>NÃO CABE</v>
      </c>
      <c r="G23" s="1674"/>
      <c r="H23" s="1655"/>
      <c r="I23" s="1470"/>
      <c r="J23" s="1463"/>
      <c r="K23" s="1463"/>
      <c r="L23" s="958">
        <f>IF(CRÍTICA_IGP1!$K$2=CRÍTICA_IGP1!$P$86,CRÍTICA_IGP1!$W$86,IF(CRÍTICA_IGP1!$K$2=CRÍTICA_IGP1!$P$87,CRÍTICA_IGP1!$W$87,IF(CRÍTICA_IGP1!$K$2=CRÍTICA_IGP1!$P$88,CRÍTICA_IGP1!$W$88,IF(CRÍTICA_IGP1!$K$2=CRÍTICA_IGP1!$P$89,CRÍTICA_IGP1!$W$89,IF(CRÍTICA_IGP1!$K$2=CRÍTICA_IGP1!$P$90,CRÍTICA_IGP1!$W$90,IF(CRÍTICA_IGP1!$K$2=CRÍTICA_IGP1!$P$91,CRÍTICA_IGP1!$W$91,0))))))</f>
        <v>0</v>
      </c>
      <c r="M23" s="954" t="s">
        <v>125</v>
      </c>
      <c r="N23" s="958">
        <f>IF(CRÍTICA_IGP1!$K$2=CRÍTICA_IGP1!$P$86,CRÍTICA_IGP1!$AB$86,IF(CRÍTICA_IGP1!$K$2=CRÍTICA_IGP1!$P$87,CRÍTICA_IGP1!$AB$87,IF(CRÍTICA_IGP1!$K$2=CRÍTICA_IGP1!$P$88,CRÍTICA_IGP1!$AB$88,IF(CRÍTICA_IGP1!$K$2=CRÍTICA_IGP1!$P$89,CRÍTICA_IGP1!$AB$89,IF(CRÍTICA_IGP1!$K$2=CRÍTICA_IGP1!$P$90,CRÍTICA_IGP1!$AB$90,IF(CRÍTICA_IGP1!$K$2=CRÍTICA_IGP1!$P$91,CRÍTICA_IGP1!$AB$91,0))))))</f>
        <v>0</v>
      </c>
      <c r="O23" s="990" t="s">
        <v>126</v>
      </c>
      <c r="P23" s="1459"/>
      <c r="Q23" s="833"/>
      <c r="R23" s="833"/>
      <c r="S23" s="833"/>
      <c r="T23" s="833"/>
      <c r="U23" s="833"/>
      <c r="V23" s="833"/>
      <c r="W23" s="833"/>
      <c r="X23" s="833"/>
      <c r="AT23" s="533"/>
      <c r="AU23" s="533"/>
      <c r="AV23" s="533"/>
      <c r="AW23" s="533"/>
    </row>
    <row r="24" spans="1:49" x14ac:dyDescent="0.15">
      <c r="A24" s="821"/>
      <c r="B24" s="1458">
        <v>9</v>
      </c>
      <c r="C24" s="992" t="s">
        <v>539</v>
      </c>
      <c r="D24" s="959"/>
      <c r="E24" s="959"/>
      <c r="F24" s="1673" t="str">
        <f>CRÍTICA_IGP1!$N$69</f>
        <v>NÃO CABE</v>
      </c>
      <c r="G24" s="1674"/>
      <c r="H24" s="1655"/>
      <c r="I24" s="1470"/>
      <c r="J24" s="1463"/>
      <c r="K24" s="1463"/>
      <c r="L24" s="958">
        <f>IF(CRÍTICA_IGP1!$K$2=CRÍTICA_IGP1!$P$86,CRÍTICA_IGP1!$X$86,IF(CRÍTICA_IGP1!$K$2=CRÍTICA_IGP1!$P$87,CRÍTICA_IGP1!$X$87,IF(CRÍTICA_IGP1!$K$2=CRÍTICA_IGP1!$P$88,CRÍTICA_IGP1!$X$88,IF(CRÍTICA_IGP1!$K$2=CRÍTICA_IGP1!$P$89,CRÍTICA_IGP1!$X$89,IF(CRÍTICA_IGP1!$K$2=CRÍTICA_IGP1!$P$90,CRÍTICA_IGP1!$X$90,IF(CRÍTICA_IGP1!$K$2=CRÍTICA_IGP1!$P$91,CRÍTICA_IGP1!$X$91,0))))))</f>
        <v>0</v>
      </c>
      <c r="M24" s="954" t="s">
        <v>125</v>
      </c>
      <c r="N24" s="958">
        <f>IF(CRÍTICA_IGP1!$K$2=CRÍTICA_IGP1!$P$86,CRÍTICA_IGP1!$AC$86,IF(CRÍTICA_IGP1!$K$2=CRÍTICA_IGP1!$P$87,CRÍTICA_IGP1!$AC$87,IF(CRÍTICA_IGP1!$K$2=CRÍTICA_IGP1!$P$88,CRÍTICA_IGP1!$AC$88,IF(CRÍTICA_IGP1!$K$2=CRÍTICA_IGP1!$P$89,CRÍTICA_IGP1!$AC$89,IF(CRÍTICA_IGP1!$K$2=CRÍTICA_IGP1!$P$90,CRÍTICA_IGP1!$AC$90,IF(CRÍTICA_IGP1!$K$2=CRÍTICA_IGP1!$P$91,CRÍTICA_IGP1!$AC$91,0))))))</f>
        <v>0</v>
      </c>
      <c r="O24" s="990" t="s">
        <v>126</v>
      </c>
      <c r="P24" s="1459"/>
      <c r="AT24" s="533"/>
      <c r="AU24" s="533"/>
      <c r="AV24" s="533"/>
      <c r="AW24" s="533"/>
    </row>
    <row r="25" spans="1:49" x14ac:dyDescent="0.15">
      <c r="A25" s="821"/>
      <c r="B25" s="1458">
        <v>10</v>
      </c>
      <c r="C25" s="992" t="s">
        <v>230</v>
      </c>
      <c r="D25" s="959"/>
      <c r="E25" s="959"/>
      <c r="F25" s="1673" t="str">
        <f>CRÍTICA_IGP1!$N$70</f>
        <v>OK</v>
      </c>
      <c r="G25" s="1674"/>
      <c r="H25" s="1655"/>
      <c r="I25" s="1470"/>
      <c r="J25" s="1463"/>
      <c r="K25" s="1463"/>
      <c r="L25" s="958">
        <f>IF(CRÍTICA_IGP1!$K$2=CRÍTICA_IGP1!$P$86,CRÍTICA_IGP1!$Y$86,IF(CRÍTICA_IGP1!$K$2=CRÍTICA_IGP1!$P$87,CRÍTICA_IGP1!$Y$87,IF(CRÍTICA_IGP1!$K$2=CRÍTICA_IGP1!$P$88,CRÍTICA_IGP1!$Y$88,IF(CRÍTICA_IGP1!$K$2=CRÍTICA_IGP1!$P$89,CRÍTICA_IGP1!$Y$89,IF(CRÍTICA_IGP1!$K$2=CRÍTICA_IGP1!$P$90,CRÍTICA_IGP1!$Y$90,IF(CRÍTICA_IGP1!$K$2=CRÍTICA_IGP1!$P$91,CRÍTICA_IGP1!$Y$91,0))))))</f>
        <v>0</v>
      </c>
      <c r="M25" s="954" t="s">
        <v>125</v>
      </c>
      <c r="N25" s="958">
        <f>IF(CRÍTICA_IGP1!$K$2=CRÍTICA_IGP1!$P$86,CRÍTICA_IGP1!$AD$86,IF(CRÍTICA_IGP1!$K$2=CRÍTICA_IGP1!$P$87,CRÍTICA_IGP1!$AD$87,IF(CRÍTICA_IGP1!$K$2=CRÍTICA_IGP1!$P$88,CRÍTICA_IGP1!$AD$88,IF(CRÍTICA_IGP1!$K$2=CRÍTICA_IGP1!$P$89,CRÍTICA_IGP1!$AD$89,IF(CRÍTICA_IGP1!$K$2=CRÍTICA_IGP1!$P$90,CRÍTICA_IGP1!$AD$90,IF(CRÍTICA_IGP1!$K$2=CRÍTICA_IGP1!$P$91,CRÍTICA_IGP1!$AD$91,0))))))</f>
        <v>0</v>
      </c>
      <c r="O25" s="990" t="s">
        <v>126</v>
      </c>
      <c r="P25" s="1459"/>
      <c r="AT25" s="533"/>
      <c r="AU25" s="533"/>
      <c r="AV25" s="533"/>
      <c r="AW25" s="533"/>
    </row>
    <row r="26" spans="1:49" ht="15" thickBot="1" x14ac:dyDescent="0.2">
      <c r="A26" s="821"/>
      <c r="B26" s="1458">
        <v>11</v>
      </c>
      <c r="C26" s="993" t="s">
        <v>231</v>
      </c>
      <c r="D26" s="994"/>
      <c r="E26" s="994"/>
      <c r="F26" s="1684" t="b">
        <f>CRÍTICA_IGP1!$E$70</f>
        <v>0</v>
      </c>
      <c r="G26" s="1685"/>
      <c r="H26" s="1685"/>
      <c r="I26" s="1686"/>
      <c r="J26" s="1687"/>
      <c r="K26" s="1473"/>
      <c r="L26" s="995">
        <f>IF(CRÍTICA_IGP1!$K$2=CRÍTICA_IGP1!$P$86,CRÍTICA_IGP1!$Z$86,IF(CRÍTICA_IGP1!$K$2=CRÍTICA_IGP1!$P$87,CRÍTICA_IGP1!$Z$87,IF(CRÍTICA_IGP1!$K$2=CRÍTICA_IGP1!$P$88,CRÍTICA_IGP1!$Z$88,IF(CRÍTICA_IGP1!$K$2=CRÍTICA_IGP1!$P$89,CRÍTICA_IGP1!$Z$89,IF(CRÍTICA_IGP1!$K$2=CRÍTICA_IGP1!$P$90,CRÍTICA_IGP1!$Z$90,IF(CRÍTICA_IGP1!$K$2=CRÍTICA_IGP1!$P$91,CRÍTICA_IGP1!$Z$91,0))))))</f>
        <v>0</v>
      </c>
      <c r="M26" s="996" t="s">
        <v>125</v>
      </c>
      <c r="N26" s="995">
        <f>IF(CRÍTICA_IGP1!$K$2=CRÍTICA_IGP1!$P$86,CRÍTICA_IGP1!$AE$86,IF(CRÍTICA_IGP1!$K$2=CRÍTICA_IGP1!$P$87,CRÍTICA_IGP1!$AE$87,IF(CRÍTICA_IGP1!$K$2=CRÍTICA_IGP1!$P$88,CRÍTICA_IGP1!$AE$88,IF(CRÍTICA_IGP1!$K$2=CRÍTICA_IGP1!$P$89,CRÍTICA_IGP1!$AE$89,IF(CRÍTICA_IGP1!$K$2=CRÍTICA_IGP1!$P$90,CRÍTICA_IGP1!$AE$90,IF(CRÍTICA_IGP1!$K$2=CRÍTICA_IGP1!$P$91,CRÍTICA_IGP1!$AE$91,0))))))</f>
        <v>0</v>
      </c>
      <c r="O26" s="997" t="s">
        <v>126</v>
      </c>
      <c r="P26" s="1459"/>
      <c r="Q26" s="833"/>
      <c r="R26" s="833"/>
      <c r="S26" s="833"/>
      <c r="T26" s="833"/>
      <c r="U26" s="833"/>
      <c r="V26" s="833"/>
      <c r="W26" s="833"/>
      <c r="X26" s="833"/>
      <c r="AT26" s="533"/>
      <c r="AU26" s="533"/>
      <c r="AV26" s="533"/>
      <c r="AW26" s="533"/>
    </row>
    <row r="27" spans="1:49" ht="12" customHeight="1" thickTop="1" thickBot="1" x14ac:dyDescent="0.2">
      <c r="A27" s="821"/>
      <c r="B27" s="1458"/>
      <c r="C27" s="1459"/>
      <c r="D27" s="1459"/>
      <c r="E27" s="1459"/>
      <c r="F27" s="1459"/>
      <c r="G27" s="1459"/>
      <c r="H27" s="1459"/>
      <c r="I27" s="1459"/>
      <c r="J27" s="1459"/>
      <c r="K27" s="1459"/>
      <c r="L27" s="1459"/>
      <c r="M27" s="1459"/>
      <c r="N27" s="1459"/>
      <c r="O27" s="1459"/>
      <c r="P27" s="1459"/>
      <c r="Q27" s="868"/>
      <c r="R27" s="869"/>
      <c r="S27" s="868"/>
      <c r="T27" s="853"/>
      <c r="U27" s="870"/>
      <c r="V27" s="870"/>
      <c r="W27" s="853"/>
      <c r="X27" s="853"/>
      <c r="AT27" s="533"/>
      <c r="AU27" s="533"/>
      <c r="AV27" s="533"/>
      <c r="AW27" s="533"/>
    </row>
    <row r="28" spans="1:49" ht="18.75" thickTop="1" x14ac:dyDescent="0.2">
      <c r="A28" s="821"/>
      <c r="B28" s="1458">
        <v>12</v>
      </c>
      <c r="C28" s="1646" t="s">
        <v>232</v>
      </c>
      <c r="D28" s="1647"/>
      <c r="E28" s="1647"/>
      <c r="F28" s="1647"/>
      <c r="G28" s="1647"/>
      <c r="H28" s="1647"/>
      <c r="I28" s="1647"/>
      <c r="J28" s="1647"/>
      <c r="K28" s="1647"/>
      <c r="L28" s="1647"/>
      <c r="M28" s="1647"/>
      <c r="N28" s="1647"/>
      <c r="O28" s="1648"/>
      <c r="P28" s="1459"/>
      <c r="Q28" s="868"/>
      <c r="R28" s="869"/>
      <c r="S28" s="868"/>
      <c r="T28" s="853"/>
      <c r="U28" s="870"/>
      <c r="V28" s="870"/>
      <c r="W28" s="853"/>
      <c r="X28" s="853"/>
      <c r="AT28" s="533"/>
      <c r="AU28" s="533"/>
      <c r="AV28" s="533"/>
      <c r="AW28" s="533"/>
    </row>
    <row r="29" spans="1:49" ht="12.75" customHeight="1" x14ac:dyDescent="0.15">
      <c r="A29" s="821"/>
      <c r="B29" s="1458"/>
      <c r="C29" s="1467"/>
      <c r="D29" s="1468"/>
      <c r="E29" s="1468"/>
      <c r="F29" s="1468"/>
      <c r="G29" s="1468"/>
      <c r="H29" s="1468"/>
      <c r="I29" s="1468"/>
      <c r="J29" s="1468"/>
      <c r="K29" s="1468"/>
      <c r="L29" s="1468"/>
      <c r="M29" s="1468"/>
      <c r="N29" s="1468"/>
      <c r="O29" s="1469"/>
      <c r="P29" s="1459"/>
      <c r="Q29" s="868"/>
      <c r="R29" s="869"/>
      <c r="S29" s="868"/>
      <c r="T29" s="853"/>
      <c r="U29" s="870"/>
      <c r="V29" s="870"/>
      <c r="W29" s="853"/>
      <c r="X29" s="853"/>
      <c r="AT29" s="533"/>
      <c r="AU29" s="533"/>
      <c r="AV29" s="533"/>
      <c r="AW29" s="533"/>
    </row>
    <row r="30" spans="1:49" x14ac:dyDescent="0.15">
      <c r="A30" s="821"/>
      <c r="B30" s="1464">
        <v>13</v>
      </c>
      <c r="C30" s="1656" t="s">
        <v>264</v>
      </c>
      <c r="D30" s="1657"/>
      <c r="E30" s="1657"/>
      <c r="F30" s="1657"/>
      <c r="G30" s="1657"/>
      <c r="H30" s="1657"/>
      <c r="I30" s="1658"/>
      <c r="J30" s="1468"/>
      <c r="K30" s="1468"/>
      <c r="L30" s="1468"/>
      <c r="M30" s="1468"/>
      <c r="N30" s="1468"/>
      <c r="O30" s="1469"/>
      <c r="P30" s="1459"/>
      <c r="Q30" s="868"/>
      <c r="R30" s="869"/>
      <c r="S30" s="868"/>
      <c r="T30" s="853"/>
      <c r="U30" s="870"/>
      <c r="V30" s="870"/>
      <c r="W30" s="853"/>
      <c r="X30" s="853"/>
      <c r="AT30" s="533"/>
      <c r="AU30" s="533"/>
      <c r="AV30" s="533"/>
      <c r="AW30" s="533"/>
    </row>
    <row r="31" spans="1:49" x14ac:dyDescent="0.15">
      <c r="A31" s="821"/>
      <c r="B31" s="1659">
        <v>14</v>
      </c>
      <c r="C31" s="1692" t="s">
        <v>509</v>
      </c>
      <c r="D31" s="1693"/>
      <c r="E31" s="1698" t="s">
        <v>233</v>
      </c>
      <c r="F31" s="1698"/>
      <c r="G31" s="1698"/>
      <c r="H31" s="1641" t="str">
        <f>IF(OR('FICHA FUNCIONAL'!$E$4='FICHA FUNCIONAL'!$F$47,'FICHA FUNCIONAL'!$E$4='FICHA FUNCIONAL'!$F$48,'FICHA FUNCIONAL'!$E$4='FICHA FUNCIONAL'!$F$50),IF(AND('FICHA FUNCIONAL'!$E$6='FICHA FUNCIONAL'!$M$48,'FICHA FUNCIONAL'!$M$29="X"),"SIM","NÃO"),'FICHA FUNCIONAL'!$M$55)</f>
        <v>REVER</v>
      </c>
      <c r="I31" s="1642"/>
      <c r="J31" s="1468"/>
      <c r="K31" s="1468"/>
      <c r="L31" s="1468"/>
      <c r="M31" s="1468"/>
      <c r="N31" s="1468"/>
      <c r="O31" s="1469"/>
      <c r="P31" s="1459"/>
      <c r="Q31" s="868"/>
      <c r="R31" s="869"/>
      <c r="S31" s="868"/>
      <c r="T31" s="853"/>
      <c r="U31" s="870"/>
      <c r="V31" s="870"/>
      <c r="W31" s="853"/>
      <c r="X31" s="853"/>
      <c r="AT31" s="533"/>
      <c r="AU31" s="533"/>
      <c r="AV31" s="533"/>
      <c r="AW31" s="533"/>
    </row>
    <row r="32" spans="1:49" x14ac:dyDescent="0.15">
      <c r="A32" s="821"/>
      <c r="B32" s="1659"/>
      <c r="C32" s="1694"/>
      <c r="D32" s="1695"/>
      <c r="E32" s="1698" t="s">
        <v>234</v>
      </c>
      <c r="F32" s="1698"/>
      <c r="G32" s="1698"/>
      <c r="H32" s="1641" t="str">
        <f>IF(AND('FICHA FUNCIONAL'!E6='FICHA FUNCIONAL'!M48,'FICHA FUNCIONAL'!I29="X",OR('FICHA FUNCIONAL'!E4='FICHA FUNCIONAL'!F47,'FICHA FUNCIONAL'!E4='FICHA FUNCIONAL'!F48,'FICHA FUNCIONAL'!E4='FICHA FUNCIONAL'!F50)),"SIM",IF(AND('FICHA FUNCIONAL'!E6='FICHA FUNCIONAL'!M49,OR('FICHA FUNCIONAL'!E4='FICHA FUNCIONAL'!F47,'FICHA FUNCIONAL'!E4='FICHA FUNCIONAL'!F48)),"SIM",IF(AND('FICHA FUNCIONAL'!E6='FICHA FUNCIONAL'!M47,OR('FICHA FUNCIONAL'!E4='FICHA FUNCIONAL'!F47,'FICHA FUNCIONAL'!E4='FICHA FUNCIONAL'!F48,'FICHA FUNCIONAL'!E4='FICHA FUNCIONAL'!F50)),"SIM",IF(AND('FICHA FUNCIONAL'!E6='FICHA FUNCIONAL'!M51,OR('FICHA FUNCIONAL'!E4='FICHA FUNCIONAL'!F47,'FICHA FUNCIONAL'!E4='FICHA FUNCIONAL'!F48)),"SIM",IF(AND('FICHA FUNCIONAL'!E6='FICHA FUNCIONAL'!M52,'FICHA FUNCIONAL'!E4='FICHA FUNCIONAL'!F47),"SIM",'FICHA FUNCIONAL'!M54)))))</f>
        <v>REVER</v>
      </c>
      <c r="I32" s="1642"/>
      <c r="J32" s="1468"/>
      <c r="K32" s="1468"/>
      <c r="L32" s="1468"/>
      <c r="M32" s="1468"/>
      <c r="N32" s="1468"/>
      <c r="O32" s="1469"/>
      <c r="P32" s="1459"/>
      <c r="Q32" s="868"/>
      <c r="R32" s="869"/>
      <c r="S32" s="868"/>
      <c r="T32" s="853"/>
      <c r="U32" s="870"/>
      <c r="V32" s="870"/>
      <c r="W32" s="853"/>
      <c r="X32" s="853"/>
      <c r="AT32" s="533"/>
      <c r="AU32" s="533"/>
      <c r="AV32" s="533"/>
      <c r="AW32" s="533"/>
    </row>
    <row r="33" spans="1:49" x14ac:dyDescent="0.15">
      <c r="A33" s="821"/>
      <c r="B33" s="1659"/>
      <c r="C33" s="1700"/>
      <c r="D33" s="1701"/>
      <c r="E33" s="1698" t="s">
        <v>235</v>
      </c>
      <c r="F33" s="1698"/>
      <c r="G33" s="1698"/>
      <c r="H33" s="1641" t="str">
        <f>IF(AND($H$31="NÃO",$H$32="SIM"),"SIM","NÃO")</f>
        <v>NÃO</v>
      </c>
      <c r="I33" s="1642"/>
      <c r="J33" s="1471"/>
      <c r="K33" s="1705" t="s">
        <v>242</v>
      </c>
      <c r="L33" s="1693"/>
      <c r="M33" s="1705" t="s">
        <v>236</v>
      </c>
      <c r="N33" s="1706"/>
      <c r="O33" s="1707"/>
      <c r="P33" s="1459"/>
      <c r="Q33" s="868"/>
      <c r="R33" s="869"/>
      <c r="S33" s="868"/>
      <c r="T33" s="853"/>
      <c r="U33" s="870"/>
      <c r="V33" s="870"/>
      <c r="W33" s="853"/>
      <c r="X33" s="853"/>
      <c r="AT33" s="533"/>
      <c r="AU33" s="533"/>
      <c r="AV33" s="533"/>
      <c r="AW33" s="533"/>
    </row>
    <row r="34" spans="1:49" x14ac:dyDescent="0.15">
      <c r="A34" s="821"/>
      <c r="B34" s="1458"/>
      <c r="C34" s="1474"/>
      <c r="D34" s="1463"/>
      <c r="E34" s="1463"/>
      <c r="F34" s="1463"/>
      <c r="G34" s="1475"/>
      <c r="H34" s="1468"/>
      <c r="I34" s="1468"/>
      <c r="J34" s="1471"/>
      <c r="K34" s="1708"/>
      <c r="L34" s="1701"/>
      <c r="M34" s="1708"/>
      <c r="N34" s="1709"/>
      <c r="O34" s="1710"/>
      <c r="P34" s="1459"/>
      <c r="Q34" s="868"/>
      <c r="R34" s="869"/>
      <c r="S34" s="868"/>
      <c r="T34" s="853"/>
      <c r="U34" s="870"/>
      <c r="V34" s="870"/>
      <c r="W34" s="853"/>
      <c r="X34" s="853"/>
      <c r="AT34" s="533"/>
      <c r="AU34" s="533"/>
      <c r="AV34" s="533"/>
      <c r="AW34" s="533"/>
    </row>
    <row r="35" spans="1:49" x14ac:dyDescent="0.15">
      <c r="A35" s="821"/>
      <c r="B35" s="1659">
        <v>15</v>
      </c>
      <c r="C35" s="1692" t="s">
        <v>237</v>
      </c>
      <c r="D35" s="1693"/>
      <c r="E35" s="1698" t="s">
        <v>233</v>
      </c>
      <c r="F35" s="1698"/>
      <c r="G35" s="1698"/>
      <c r="H35" s="1641" t="str">
        <f>IF(AND('FICHA FUNCIONAL'!E6='FICHA FUNCIONAL'!M48,'FICHA FUNCIONAL'!M29="X"),IF(OR('FICHA FUNCIONAL'!E4='FICHA FUNCIONAL'!F49,'FICHA FUNCIONAL'!E4='FICHA FUNCIONAL'!F51),"SIM",'FICHA FUNCIONAL'!M57),IF(AND('FICHA FUNCIONAL'!E6='FICHA FUNCIONAL'!M50,'FICHA FUNCIONAL'!E4='FICHA FUNCIONAL'!F55),"SIM","NÃO"))</f>
        <v>NÃO</v>
      </c>
      <c r="I35" s="1642"/>
      <c r="J35" s="1471"/>
      <c r="K35" s="1702" t="str">
        <f>IF(AND('FICHA FUNCIONAL'!$E$6='FICHA FUNCIONAL'!$M$48,'FICHA FUNCIONAL'!$M$29="X",OR('FICHA FUNCIONAL'!$E$4='FICHA FUNCIONAL'!$F$49,'FICHA FUNCIONAL'!$E$4='FICHA FUNCIONAL'!$F$51,'FICHA FUNCIONAL'!$E$4='FICHA FUNCIONAL'!$F$53)),CRÍTICA_IGP1!$N$77,"")</f>
        <v/>
      </c>
      <c r="L35" s="1703"/>
      <c r="M35" s="1713" t="str">
        <f>IF(AND('FICHA FUNCIONAL'!$E$6='FICHA FUNCIONAL'!$M$48,'FICHA FUNCIONAL'!$M$29="X",OR('FICHA FUNCIONAL'!$E$4='FICHA FUNCIONAL'!$F$49,'FICHA FUNCIONAL'!$E$4='FICHA FUNCIONAL'!$F$51,'FICHA FUNCIONAL'!$E$4='FICHA FUNCIONAL'!$F$53)),CRÍTICA_IGP1!$N$78,"")</f>
        <v/>
      </c>
      <c r="N35" s="1716"/>
      <c r="O35" s="1717"/>
      <c r="P35" s="1459"/>
      <c r="Q35" s="868"/>
      <c r="R35" s="869"/>
      <c r="S35" s="868"/>
      <c r="T35" s="853"/>
      <c r="U35" s="870"/>
      <c r="V35" s="870"/>
      <c r="W35" s="853"/>
      <c r="X35" s="853"/>
      <c r="AT35" s="533"/>
      <c r="AU35" s="533"/>
      <c r="AV35" s="533"/>
      <c r="AW35" s="533"/>
    </row>
    <row r="36" spans="1:49" x14ac:dyDescent="0.15">
      <c r="A36" s="821"/>
      <c r="B36" s="1659"/>
      <c r="C36" s="1694"/>
      <c r="D36" s="1695"/>
      <c r="E36" s="1698" t="s">
        <v>234</v>
      </c>
      <c r="F36" s="1698"/>
      <c r="G36" s="1698"/>
      <c r="H36" s="1641" t="str">
        <f>IF(AND('FICHA FUNCIONAL'!E6='FICHA FUNCIONAL'!M48,'FICHA FUNCIONAL'!I29="X",OR('FICHA FUNCIONAL'!E4='FICHA FUNCIONAL'!F49,'FICHA FUNCIONAL'!E4='FICHA FUNCIONAL'!F51)),"SIM",IF(AND('FICHA FUNCIONAL'!E6='FICHA FUNCIONAL'!M47,OR('FICHA FUNCIONAL'!E4='FICHA FUNCIONAL'!F49,'FICHA FUNCIONAL'!E4='FICHA FUNCIONAL'!F51,'FICHA FUNCIONAL'!E4='FICHA FUNCIONAL'!F54)),"SIM",IF(AND('FICHA FUNCIONAL'!E6='FICHA FUNCIONAL'!M49,'FICHA FUNCIONAL'!E4='FICHA FUNCIONAL'!F54),"SIM",'FICHA FUNCIONAL'!M56)))</f>
        <v>REVER</v>
      </c>
      <c r="I36" s="1642"/>
      <c r="J36" s="1471"/>
      <c r="K36" s="1702" t="str">
        <f>IF('FICHA FUNCIONAL'!$E$6='FICHA FUNCIONAL'!$M$47,CRÍTICA_IGP1!$N$75,IF(AND('FICHA FUNCIONAL'!$E$6='FICHA FUNCIONAL'!$M$49,'FICHA FUNCIONAL'!$E$4='FICHA FUNCIONAL'!$F$54),CRÍTICA_IGP1!$N$75,IF(AND('FICHA FUNCIONAL'!$E$6='FICHA FUNCIONAL'!$M$50,'FICHA FUNCIONAL'!$E$4='FICHA FUNCIONAL'!$F$55),CRÍTICA_IGP1!$N$75,IF(AND('FICHA FUNCIONAL'!E6='FICHA FUNCIONAL'!M48,'FICHA FUNCIONAL'!I29="X"),CRÍTICA_IGP1!$N$75,""))))</f>
        <v/>
      </c>
      <c r="L36" s="1704"/>
      <c r="M36" s="1713" t="str">
        <f>IF('FICHA FUNCIONAL'!$E$6='FICHA FUNCIONAL'!$M$47,CRÍTICA_IGP1!$N$76,IF(AND('FICHA FUNCIONAL'!$E$6='FICHA FUNCIONAL'!$M$49,'FICHA FUNCIONAL'!$E$4='FICHA FUNCIONAL'!$F$54),CRÍTICA_IGP1!$N$76,IF(AND('FICHA FUNCIONAL'!$E$6='FICHA FUNCIONAL'!$M$50,'FICHA FUNCIONAL'!$E$4='FICHA FUNCIONAL'!$F$55),CRÍTICA_IGP1!$N$76,IF(AND('FICHA FUNCIONAL'!E6='FICHA FUNCIONAL'!M48,'FICHA FUNCIONAL'!I29="X"),CRÍTICA_IGP1!$N$76,""))))</f>
        <v/>
      </c>
      <c r="N36" s="1714"/>
      <c r="O36" s="1715"/>
      <c r="P36" s="1459"/>
      <c r="Q36" s="868"/>
      <c r="R36" s="869"/>
      <c r="S36" s="868"/>
      <c r="T36" s="853"/>
      <c r="U36" s="870"/>
      <c r="V36" s="870"/>
      <c r="W36" s="853"/>
      <c r="X36" s="853"/>
      <c r="AT36" s="533"/>
      <c r="AU36" s="533"/>
      <c r="AV36" s="533"/>
      <c r="AW36" s="533"/>
    </row>
    <row r="37" spans="1:49" ht="15" thickBot="1" x14ac:dyDescent="0.2">
      <c r="A37" s="821"/>
      <c r="B37" s="1659"/>
      <c r="C37" s="1696"/>
      <c r="D37" s="1697"/>
      <c r="E37" s="1699" t="s">
        <v>235</v>
      </c>
      <c r="F37" s="1699"/>
      <c r="G37" s="1699"/>
      <c r="H37" s="1711" t="str">
        <f>IF(AND($H$35="NÃO",$H$36="SIM"),"SIM","NÃO")</f>
        <v>NÃO</v>
      </c>
      <c r="I37" s="1712"/>
      <c r="J37" s="1476"/>
      <c r="K37" s="1476"/>
      <c r="L37" s="1476"/>
      <c r="M37" s="1476"/>
      <c r="N37" s="1476"/>
      <c r="O37" s="1477"/>
      <c r="P37" s="1459"/>
      <c r="Q37" s="868"/>
      <c r="R37" s="869"/>
      <c r="S37" s="868"/>
      <c r="T37" s="853"/>
      <c r="U37" s="870"/>
      <c r="V37" s="870"/>
      <c r="W37" s="853"/>
      <c r="X37" s="853"/>
      <c r="AT37" s="533"/>
      <c r="AU37" s="533"/>
      <c r="AV37" s="533"/>
      <c r="AW37" s="533"/>
    </row>
    <row r="38" spans="1:49" ht="15.75" thickTop="1" thickBot="1" x14ac:dyDescent="0.2">
      <c r="A38" s="821"/>
      <c r="B38" s="1458"/>
      <c r="C38" s="1459"/>
      <c r="D38" s="1459"/>
      <c r="E38" s="1459"/>
      <c r="F38" s="1459"/>
      <c r="G38" s="1459"/>
      <c r="H38" s="1459"/>
      <c r="I38" s="1459"/>
      <c r="J38" s="1459"/>
      <c r="K38" s="1459"/>
      <c r="L38" s="1459"/>
      <c r="M38" s="1459"/>
      <c r="N38" s="1459"/>
      <c r="O38" s="1459"/>
      <c r="P38" s="1459"/>
      <c r="Q38" s="868"/>
      <c r="R38" s="869"/>
      <c r="S38" s="868"/>
      <c r="T38" s="853"/>
      <c r="U38" s="870"/>
      <c r="V38" s="870"/>
      <c r="W38" s="853"/>
      <c r="X38" s="853"/>
      <c r="AT38" s="533"/>
      <c r="AU38" s="533"/>
      <c r="AV38" s="533"/>
      <c r="AW38" s="533"/>
    </row>
    <row r="39" spans="1:49" ht="18.75" thickTop="1" x14ac:dyDescent="0.2">
      <c r="A39" s="821"/>
      <c r="B39" s="1458">
        <v>16</v>
      </c>
      <c r="C39" s="1563" t="s">
        <v>238</v>
      </c>
      <c r="D39" s="1564"/>
      <c r="E39" s="1564"/>
      <c r="F39" s="1564"/>
      <c r="G39" s="1564"/>
      <c r="H39" s="1564"/>
      <c r="I39" s="1564"/>
      <c r="J39" s="1564"/>
      <c r="K39" s="1564"/>
      <c r="L39" s="1564"/>
      <c r="M39" s="1564"/>
      <c r="N39" s="1564"/>
      <c r="O39" s="1565"/>
      <c r="P39" s="1459"/>
      <c r="Q39" s="833"/>
      <c r="R39" s="833"/>
      <c r="S39" s="833"/>
      <c r="T39" s="833"/>
      <c r="U39" s="833"/>
      <c r="V39" s="833"/>
      <c r="W39" s="833"/>
      <c r="X39" s="853"/>
      <c r="AW39" s="823"/>
    </row>
    <row r="40" spans="1:49" x14ac:dyDescent="0.15">
      <c r="A40" s="844"/>
      <c r="B40" s="1458"/>
      <c r="C40" s="1467"/>
      <c r="D40" s="1468"/>
      <c r="E40" s="1468"/>
      <c r="F40" s="1468"/>
      <c r="G40" s="1468"/>
      <c r="H40" s="1468"/>
      <c r="I40" s="1468"/>
      <c r="J40" s="1468"/>
      <c r="K40" s="1468"/>
      <c r="L40" s="1468"/>
      <c r="M40" s="1468"/>
      <c r="N40" s="1468"/>
      <c r="O40" s="1469"/>
      <c r="P40" s="1459"/>
      <c r="Z40" s="820"/>
      <c r="AA40" s="820"/>
      <c r="AB40" s="820"/>
      <c r="AW40" s="823"/>
    </row>
    <row r="41" spans="1:49" x14ac:dyDescent="0.15">
      <c r="A41" s="821"/>
      <c r="B41" s="1465">
        <v>17</v>
      </c>
      <c r="C41" s="1141" t="s">
        <v>541</v>
      </c>
      <c r="D41" s="1688" t="s">
        <v>252</v>
      </c>
      <c r="E41" s="1657"/>
      <c r="F41" s="1658"/>
      <c r="G41" s="1688" t="s">
        <v>253</v>
      </c>
      <c r="H41" s="1657"/>
      <c r="I41" s="1658"/>
      <c r="J41" s="1688" t="s">
        <v>748</v>
      </c>
      <c r="K41" s="1657"/>
      <c r="L41" s="1688" t="s">
        <v>501</v>
      </c>
      <c r="M41" s="1658"/>
      <c r="N41" s="948" t="s">
        <v>749</v>
      </c>
      <c r="O41" s="1142"/>
      <c r="P41" s="1459"/>
      <c r="Z41" s="820"/>
      <c r="AA41" s="820"/>
      <c r="AB41" s="820"/>
      <c r="AG41" s="833"/>
      <c r="AH41" s="833"/>
      <c r="AI41" s="833"/>
      <c r="AJ41" s="833"/>
      <c r="AW41" s="823"/>
    </row>
    <row r="42" spans="1:49" x14ac:dyDescent="0.15">
      <c r="A42" s="856"/>
      <c r="B42" s="1465"/>
      <c r="C42" s="1175" t="str">
        <f>IF('FICHA FUNCIONAL'!$E$8&lt;&gt;"REVER FUNDAMENTAÇÃO E/OU MODALIDADE",IF(AND('FICHA FUNCIONAL'!$E$4='RESUMO CONCLUSIVO'!D42,'FICHA FUNCIONAL'!$E$6='RESUMO CONCLUSIVO'!G42),"X",""),"")</f>
        <v/>
      </c>
      <c r="D42" s="1158">
        <f>CRÍTICA_IGP1!$B$77</f>
        <v>0</v>
      </c>
      <c r="E42" s="1151"/>
      <c r="F42" s="1152"/>
      <c r="G42" s="1159">
        <f>CRÍTICA_IGP1!$C$77</f>
        <v>0</v>
      </c>
      <c r="H42" s="1145"/>
      <c r="I42" s="1146"/>
      <c r="J42" s="1147">
        <f>CRÍTICA_IGP1!$F$77</f>
        <v>0</v>
      </c>
      <c r="K42" s="1148"/>
      <c r="L42" s="1149" t="e">
        <f>CRÍTICA_IGP1!$I$77</f>
        <v>#N/A</v>
      </c>
      <c r="M42" s="1150"/>
      <c r="N42" s="1143" t="e">
        <f>CRÍTICA_IGP1!$J$77</f>
        <v>#N/A</v>
      </c>
      <c r="O42" s="1144"/>
      <c r="P42" s="1459"/>
      <c r="Q42" s="833"/>
      <c r="R42" s="833"/>
      <c r="S42" s="833"/>
      <c r="T42" s="833"/>
      <c r="U42" s="833"/>
      <c r="V42" s="833"/>
      <c r="W42" s="833"/>
      <c r="X42" s="833"/>
      <c r="Y42" s="833"/>
      <c r="AW42" s="823"/>
    </row>
    <row r="43" spans="1:49" x14ac:dyDescent="0.15">
      <c r="A43" s="821"/>
      <c r="B43" s="1465"/>
      <c r="C43" s="1175" t="str">
        <f>IF('FICHA FUNCIONAL'!$E$8&lt;&gt;"REVER FUNDAMENTAÇÃO E/OU MODALIDADE",IF(AND('FICHA FUNCIONAL'!$E$4='RESUMO CONCLUSIVO'!D43,'FICHA FUNCIONAL'!$E$6='RESUMO CONCLUSIVO'!G43),"X",""),"")</f>
        <v/>
      </c>
      <c r="D43" s="1158">
        <f>CRÍTICA_IGP1!$B$78</f>
        <v>0</v>
      </c>
      <c r="E43" s="1151"/>
      <c r="F43" s="1152"/>
      <c r="G43" s="1159">
        <f>CRÍTICA_IGP1!$C$78</f>
        <v>0</v>
      </c>
      <c r="H43" s="1145"/>
      <c r="I43" s="1146"/>
      <c r="J43" s="1147">
        <f>CRÍTICA_IGP1!$F$78</f>
        <v>0</v>
      </c>
      <c r="K43" s="1148"/>
      <c r="L43" s="1149" t="e">
        <f>CRÍTICA_IGP1!$I$78</f>
        <v>#N/A</v>
      </c>
      <c r="M43" s="1150"/>
      <c r="N43" s="1143" t="e">
        <f>CRÍTICA_IGP1!$J$78</f>
        <v>#N/A</v>
      </c>
      <c r="O43" s="1144"/>
      <c r="P43" s="1459"/>
      <c r="Z43" s="820"/>
      <c r="AA43" s="820"/>
      <c r="AB43" s="820"/>
      <c r="AW43" s="823"/>
    </row>
    <row r="44" spans="1:49" x14ac:dyDescent="0.15">
      <c r="A44" s="844"/>
      <c r="B44" s="1465"/>
      <c r="C44" s="1175" t="str">
        <f>IF('FICHA FUNCIONAL'!$E$8&lt;&gt;"REVER FUNDAMENTAÇÃO E/OU MODALIDADE",IF(AND('FICHA FUNCIONAL'!$E$4='RESUMO CONCLUSIVO'!D44,'FICHA FUNCIONAL'!$E$6='RESUMO CONCLUSIVO'!G44),"X",""),"")</f>
        <v/>
      </c>
      <c r="D44" s="1158">
        <f>CRÍTICA_IGP1!$B$79</f>
        <v>0</v>
      </c>
      <c r="E44" s="1151"/>
      <c r="F44" s="1152"/>
      <c r="G44" s="1159">
        <f>CRÍTICA_IGP1!$C$79</f>
        <v>0</v>
      </c>
      <c r="H44" s="1145"/>
      <c r="I44" s="1146"/>
      <c r="J44" s="1147">
        <f>CRÍTICA_IGP1!$F$79</f>
        <v>0</v>
      </c>
      <c r="K44" s="1148"/>
      <c r="L44" s="1149" t="e">
        <f>CRÍTICA_IGP1!$I$79</f>
        <v>#N/A</v>
      </c>
      <c r="M44" s="1150"/>
      <c r="N44" s="1143" t="e">
        <f>CRÍTICA_IGP1!$J$79</f>
        <v>#N/A</v>
      </c>
      <c r="O44" s="1144"/>
      <c r="P44" s="1459"/>
      <c r="Z44" s="820"/>
      <c r="AA44" s="820"/>
      <c r="AB44" s="820"/>
      <c r="AW44" s="823"/>
    </row>
    <row r="45" spans="1:49" x14ac:dyDescent="0.15">
      <c r="A45" s="844"/>
      <c r="B45" s="1465"/>
      <c r="C45" s="1175" t="str">
        <f>IF('FICHA FUNCIONAL'!$E$8&lt;&gt;"REVER FUNDAMENTAÇÃO E/OU MODALIDADE",IF(AND('FICHA FUNCIONAL'!$E$4='RESUMO CONCLUSIVO'!D45,'FICHA FUNCIONAL'!$E$6='RESUMO CONCLUSIVO'!G45,'FICHA FUNCIONAL'!$I$29="X"),"X",""),"")</f>
        <v/>
      </c>
      <c r="D45" s="1158">
        <f>CRÍTICA_IGP1!$B$80</f>
        <v>0</v>
      </c>
      <c r="E45" s="1151"/>
      <c r="F45" s="1152"/>
      <c r="G45" s="1159">
        <f>CRÍTICA_IGP1!$C$80</f>
        <v>0</v>
      </c>
      <c r="H45" s="1145"/>
      <c r="I45" s="1146"/>
      <c r="J45" s="1147">
        <f>CRÍTICA_IGP1!$F$80</f>
        <v>0</v>
      </c>
      <c r="K45" s="1148"/>
      <c r="L45" s="1149" t="e">
        <f>CRÍTICA_IGP1!$I$80</f>
        <v>#N/A</v>
      </c>
      <c r="M45" s="1150"/>
      <c r="N45" s="1143" t="e">
        <f>CRÍTICA_IGP1!$J$80</f>
        <v>#N/A</v>
      </c>
      <c r="O45" s="1144"/>
      <c r="P45" s="1459"/>
      <c r="Q45" s="833"/>
      <c r="R45" s="833"/>
      <c r="S45" s="833"/>
      <c r="T45" s="833"/>
      <c r="U45" s="833"/>
      <c r="V45" s="833"/>
      <c r="W45" s="833"/>
      <c r="X45" s="833"/>
      <c r="Y45" s="833"/>
      <c r="Z45" s="833"/>
      <c r="AA45" s="833"/>
      <c r="AB45" s="833"/>
      <c r="AC45" s="833"/>
      <c r="AW45" s="823"/>
    </row>
    <row r="46" spans="1:49" x14ac:dyDescent="0.15">
      <c r="A46" s="844"/>
      <c r="B46" s="1465"/>
      <c r="C46" s="1175" t="str">
        <f>IF('FICHA FUNCIONAL'!$E$8&lt;&gt;"REVER FUNDAMENTAÇÃO E/OU MODALIDADE",IF(AND('FICHA FUNCIONAL'!$E$4='RESUMO CONCLUSIVO'!D46,'FICHA FUNCIONAL'!$E$6='RESUMO CONCLUSIVO'!G46),"X",""),"")</f>
        <v/>
      </c>
      <c r="D46" s="1158">
        <f>CRÍTICA_IGP1!$B$81</f>
        <v>0</v>
      </c>
      <c r="E46" s="1151"/>
      <c r="F46" s="1152"/>
      <c r="G46" s="1159">
        <f>CRÍTICA_IGP1!$C$81</f>
        <v>0</v>
      </c>
      <c r="H46" s="1145"/>
      <c r="I46" s="1146"/>
      <c r="J46" s="1147">
        <f>CRÍTICA_IGP1!$F$81</f>
        <v>0</v>
      </c>
      <c r="K46" s="1148"/>
      <c r="L46" s="1149" t="e">
        <f>CRÍTICA_IGP1!$I$81</f>
        <v>#N/A</v>
      </c>
      <c r="M46" s="1150"/>
      <c r="N46" s="1143" t="e">
        <f>CRÍTICA_IGP1!$J$81</f>
        <v>#N/A</v>
      </c>
      <c r="O46" s="1144"/>
      <c r="P46" s="1459"/>
      <c r="Z46" s="820"/>
      <c r="AA46" s="820"/>
      <c r="AB46" s="820"/>
      <c r="AW46" s="823"/>
    </row>
    <row r="47" spans="1:49" x14ac:dyDescent="0.15">
      <c r="A47" s="844"/>
      <c r="B47" s="1465"/>
      <c r="C47" s="1175" t="str">
        <f>IF('FICHA FUNCIONAL'!$E$8&lt;&gt;"REVER FUNDAMENTAÇÃO E/OU MODALIDADE",IF(AND('FICHA FUNCIONAL'!$E$4='RESUMO CONCLUSIVO'!D47,'FICHA FUNCIONAL'!$E$6='RESUMO CONCLUSIVO'!G47),"X",""),"")</f>
        <v/>
      </c>
      <c r="D47" s="1158">
        <f>CRÍTICA_IGP1!$B$82</f>
        <v>0</v>
      </c>
      <c r="E47" s="1151"/>
      <c r="F47" s="1152"/>
      <c r="G47" s="1159">
        <f>CRÍTICA_IGP1!$C$82</f>
        <v>0</v>
      </c>
      <c r="H47" s="1145"/>
      <c r="I47" s="1146"/>
      <c r="J47" s="1147">
        <f>CRÍTICA_IGP1!$F$82</f>
        <v>0</v>
      </c>
      <c r="K47" s="1148"/>
      <c r="L47" s="1149" t="e">
        <f>CRÍTICA_IGP1!$I$82</f>
        <v>#N/A</v>
      </c>
      <c r="M47" s="1150"/>
      <c r="N47" s="1143" t="e">
        <f>CRÍTICA_IGP1!$J$82</f>
        <v>#N/A</v>
      </c>
      <c r="O47" s="1144"/>
      <c r="P47" s="1459"/>
      <c r="Z47" s="820"/>
      <c r="AA47" s="820"/>
      <c r="AB47" s="820"/>
      <c r="AW47" s="823"/>
    </row>
    <row r="48" spans="1:49" x14ac:dyDescent="0.15">
      <c r="A48" s="844"/>
      <c r="B48" s="1465"/>
      <c r="C48" s="1175" t="str">
        <f>IF('FICHA FUNCIONAL'!$E$8&lt;&gt;"REVER FUNDAMENTAÇÃO E/OU MODALIDADE",IF(AND('FICHA FUNCIONAL'!$E$4='RESUMO CONCLUSIVO'!D48,'FICHA FUNCIONAL'!$E$6='RESUMO CONCLUSIVO'!G48),"X",""),"")</f>
        <v/>
      </c>
      <c r="D48" s="1158">
        <f>CRÍTICA_IGP1!$B$83</f>
        <v>0</v>
      </c>
      <c r="E48" s="1151"/>
      <c r="F48" s="1152"/>
      <c r="G48" s="1159">
        <f>CRÍTICA_IGP1!$C$83</f>
        <v>0</v>
      </c>
      <c r="H48" s="1145"/>
      <c r="I48" s="1146"/>
      <c r="J48" s="1147">
        <f>CRÍTICA_IGP1!$F$83</f>
        <v>0</v>
      </c>
      <c r="K48" s="1148"/>
      <c r="L48" s="1149" t="e">
        <f>CRÍTICA_IGP1!$I$83</f>
        <v>#N/A</v>
      </c>
      <c r="M48" s="1150"/>
      <c r="N48" s="1143" t="e">
        <f>CRÍTICA_IGP1!$J$83</f>
        <v>#N/A</v>
      </c>
      <c r="O48" s="1144"/>
      <c r="P48" s="1459"/>
      <c r="Z48" s="820"/>
      <c r="AA48" s="820"/>
      <c r="AB48" s="820"/>
      <c r="AW48" s="823"/>
    </row>
    <row r="49" spans="1:49" x14ac:dyDescent="0.15">
      <c r="A49" s="844"/>
      <c r="B49" s="1465"/>
      <c r="C49" s="1175" t="str">
        <f>IF('FICHA FUNCIONAL'!$E$8&lt;&gt;"REVER FUNDAMENTAÇÃO E/OU MODALIDADE",IF(AND('FICHA FUNCIONAL'!$E$4='RESUMO CONCLUSIVO'!D49,'FICHA FUNCIONAL'!$E$6='RESUMO CONCLUSIVO'!G49),"X",""),"")</f>
        <v/>
      </c>
      <c r="D49" s="1158">
        <f>CRÍTICA_IGP1!$B$84</f>
        <v>0</v>
      </c>
      <c r="E49" s="1151"/>
      <c r="F49" s="1152"/>
      <c r="G49" s="1159">
        <f>CRÍTICA_IGP1!$C$84</f>
        <v>0</v>
      </c>
      <c r="H49" s="1145"/>
      <c r="I49" s="1146"/>
      <c r="J49" s="1147">
        <f>CRÍTICA_IGP1!$F$84</f>
        <v>0</v>
      </c>
      <c r="K49" s="1148"/>
      <c r="L49" s="1149" t="e">
        <f>CRÍTICA_IGP1!$I$84</f>
        <v>#N/A</v>
      </c>
      <c r="M49" s="1150"/>
      <c r="N49" s="1143" t="e">
        <f>CRÍTICA_IGP1!$J$84</f>
        <v>#N/A</v>
      </c>
      <c r="O49" s="1144"/>
      <c r="P49" s="1459"/>
      <c r="AW49" s="823"/>
    </row>
    <row r="50" spans="1:49" x14ac:dyDescent="0.15">
      <c r="A50" s="844"/>
      <c r="B50" s="1465"/>
      <c r="C50" s="1175" t="str">
        <f>IF('FICHA FUNCIONAL'!$E$8&lt;&gt;"REVER FUNDAMENTAÇÃO E/OU MODALIDADE",IF(AND('FICHA FUNCIONAL'!$E$4='RESUMO CONCLUSIVO'!D50,'FICHA FUNCIONAL'!$E$6='RESUMO CONCLUSIVO'!G50,'FICHA FUNCIONAL'!$I$29="X"),"X",""),"")</f>
        <v/>
      </c>
      <c r="D50" s="1158">
        <f>CRÍTICA_IGP1!$B$85</f>
        <v>0</v>
      </c>
      <c r="E50" s="1151"/>
      <c r="F50" s="1152"/>
      <c r="G50" s="1159">
        <f>CRÍTICA_IGP1!$C$85</f>
        <v>0</v>
      </c>
      <c r="H50" s="1145"/>
      <c r="I50" s="1146"/>
      <c r="J50" s="1147">
        <f>CRÍTICA_IGP1!$F$85</f>
        <v>0</v>
      </c>
      <c r="K50" s="1148"/>
      <c r="L50" s="1149" t="e">
        <f>CRÍTICA_IGP1!$I$85</f>
        <v>#N/A</v>
      </c>
      <c r="M50" s="1150"/>
      <c r="N50" s="1143" t="e">
        <f>CRÍTICA_IGP1!$J$85</f>
        <v>#N/A</v>
      </c>
      <c r="O50" s="1144"/>
      <c r="P50" s="1459"/>
      <c r="Q50" s="833"/>
      <c r="R50" s="833"/>
      <c r="S50" s="833"/>
      <c r="T50" s="833"/>
      <c r="U50" s="833"/>
      <c r="V50" s="833"/>
      <c r="W50" s="833"/>
      <c r="X50" s="833"/>
      <c r="AW50" s="823"/>
    </row>
    <row r="51" spans="1:49" x14ac:dyDescent="0.15">
      <c r="A51" s="844"/>
      <c r="B51" s="1465"/>
      <c r="C51" s="1175" t="str">
        <f>IF('FICHA FUNCIONAL'!$E$8&lt;&gt;"REVER FUNDAMENTAÇÃO E/OU MODALIDADE",IF(AND('FICHA FUNCIONAL'!$E$4='RESUMO CONCLUSIVO'!D51,'FICHA FUNCIONAL'!$E$6='RESUMO CONCLUSIVO'!G51,'FICHA FUNCIONAL'!$M$29="X"),"X",""),"")</f>
        <v/>
      </c>
      <c r="D51" s="1158">
        <f>CRÍTICA_IGP1!$B$86</f>
        <v>0</v>
      </c>
      <c r="E51" s="1151"/>
      <c r="F51" s="1152"/>
      <c r="G51" s="1159">
        <f>CRÍTICA_IGP1!$C$86</f>
        <v>0</v>
      </c>
      <c r="H51" s="1145"/>
      <c r="I51" s="1146"/>
      <c r="J51" s="1147">
        <f>CRÍTICA_IGP1!$F$86</f>
        <v>0</v>
      </c>
      <c r="K51" s="1148"/>
      <c r="L51" s="1149" t="e">
        <f>CRÍTICA_IGP1!$I$86</f>
        <v>#N/A</v>
      </c>
      <c r="M51" s="1150"/>
      <c r="N51" s="1143" t="e">
        <f>CRÍTICA_IGP1!$J$86</f>
        <v>#N/A</v>
      </c>
      <c r="O51" s="1144"/>
      <c r="P51" s="1459"/>
      <c r="Q51" s="833"/>
      <c r="R51" s="833"/>
      <c r="S51" s="833"/>
      <c r="T51" s="833"/>
      <c r="U51" s="833"/>
      <c r="V51" s="833"/>
      <c r="W51" s="833"/>
      <c r="AW51" s="823"/>
    </row>
    <row r="52" spans="1:49" x14ac:dyDescent="0.15">
      <c r="A52" s="844"/>
      <c r="B52" s="1466"/>
      <c r="C52" s="1175" t="str">
        <f>IF('FICHA FUNCIONAL'!$E$8&lt;&gt;"REVER FUNDAMENTAÇÃO E/OU MODALIDADE",IF(AND('FICHA FUNCIONAL'!$E$4='RESUMO CONCLUSIVO'!D52,'FICHA FUNCIONAL'!$E$6='RESUMO CONCLUSIVO'!G52,'FICHA FUNCIONAL'!$M$29="X"),"X",""),"")</f>
        <v/>
      </c>
      <c r="D52" s="1158">
        <f>CRÍTICA_IGP1!$B$87</f>
        <v>0</v>
      </c>
      <c r="E52" s="1151"/>
      <c r="F52" s="1152"/>
      <c r="G52" s="1159">
        <f>CRÍTICA_IGP1!$C$87</f>
        <v>0</v>
      </c>
      <c r="H52" s="1145"/>
      <c r="I52" s="1146"/>
      <c r="J52" s="1147">
        <f>CRÍTICA_IGP1!$F$87</f>
        <v>0</v>
      </c>
      <c r="K52" s="1148"/>
      <c r="L52" s="1149" t="e">
        <f>CRÍTICA_IGP1!$I$87</f>
        <v>#N/A</v>
      </c>
      <c r="M52" s="1150"/>
      <c r="N52" s="1143" t="e">
        <f>CRÍTICA_IGP1!$J$87</f>
        <v>#N/A</v>
      </c>
      <c r="O52" s="1144"/>
      <c r="P52" s="1459"/>
      <c r="Z52" s="820"/>
      <c r="AA52" s="820"/>
      <c r="AB52" s="820"/>
      <c r="AW52" s="823"/>
    </row>
    <row r="53" spans="1:49" x14ac:dyDescent="0.15">
      <c r="A53" s="844"/>
      <c r="B53" s="1465"/>
      <c r="C53" s="1175" t="str">
        <f>IF('FICHA FUNCIONAL'!$E$8&lt;&gt;"REVER FUNDAMENTAÇÃO E/OU MODALIDADE",IF(AND('FICHA FUNCIONAL'!$E$4='RESUMO CONCLUSIVO'!D53,'FICHA FUNCIONAL'!$E$6='RESUMO CONCLUSIVO'!G53),"X",""),"")</f>
        <v/>
      </c>
      <c r="D53" s="1158">
        <f>CRÍTICA_IGP1!$B$88</f>
        <v>0</v>
      </c>
      <c r="E53" s="1151"/>
      <c r="F53" s="1152"/>
      <c r="G53" s="1159">
        <f>CRÍTICA_IGP1!$C$88</f>
        <v>0</v>
      </c>
      <c r="H53" s="1145"/>
      <c r="I53" s="1146"/>
      <c r="J53" s="1147">
        <f>CRÍTICA_IGP1!$F$88</f>
        <v>0</v>
      </c>
      <c r="K53" s="1148"/>
      <c r="L53" s="1149" t="e">
        <f>CRÍTICA_IGP1!$I$88</f>
        <v>#N/A</v>
      </c>
      <c r="M53" s="1150"/>
      <c r="N53" s="1143" t="e">
        <f>CRÍTICA_IGP1!$J$88</f>
        <v>#N/A</v>
      </c>
      <c r="O53" s="1144"/>
      <c r="P53" s="1459"/>
      <c r="Q53" s="833"/>
      <c r="R53" s="833"/>
      <c r="S53" s="833"/>
      <c r="T53" s="833"/>
      <c r="U53" s="833"/>
      <c r="V53" s="833"/>
      <c r="W53" s="833"/>
      <c r="X53" s="833"/>
      <c r="Y53" s="833"/>
      <c r="Z53" s="833"/>
      <c r="AA53" s="833"/>
      <c r="AB53" s="833"/>
      <c r="AC53" s="833"/>
      <c r="AD53" s="833"/>
      <c r="AE53" s="833"/>
      <c r="AF53" s="833"/>
      <c r="AW53" s="823"/>
    </row>
    <row r="54" spans="1:49" ht="15.75" customHeight="1" x14ac:dyDescent="0.15">
      <c r="A54" s="844"/>
      <c r="B54" s="1465"/>
      <c r="C54" s="1175" t="str">
        <f>IF('FICHA FUNCIONAL'!$E$8&lt;&gt;"REVER FUNDAMENTAÇÃO E/OU MODALIDADE",IF(AND('FICHA FUNCIONAL'!$E$4='RESUMO CONCLUSIVO'!D54,'FICHA FUNCIONAL'!$E$6='RESUMO CONCLUSIVO'!G54),"X",""),"")</f>
        <v/>
      </c>
      <c r="D54" s="1158">
        <f>CRÍTICA_IGP1!$B$89</f>
        <v>0</v>
      </c>
      <c r="E54" s="1151"/>
      <c r="F54" s="1152"/>
      <c r="G54" s="1159">
        <f>CRÍTICA_IGP1!$C$89</f>
        <v>0</v>
      </c>
      <c r="H54" s="1145"/>
      <c r="I54" s="1146"/>
      <c r="J54" s="1147">
        <f>CRÍTICA_IGP1!$F$89</f>
        <v>0</v>
      </c>
      <c r="K54" s="1148"/>
      <c r="L54" s="1149" t="e">
        <f>CRÍTICA_IGP1!$I$89</f>
        <v>#N/A</v>
      </c>
      <c r="M54" s="1150"/>
      <c r="N54" s="1143" t="e">
        <f>CRÍTICA_IGP1!$J$89</f>
        <v>#N/A</v>
      </c>
      <c r="O54" s="1144"/>
      <c r="P54" s="1459"/>
      <c r="Q54" s="833"/>
      <c r="R54" s="833"/>
      <c r="S54" s="833"/>
      <c r="T54" s="833"/>
      <c r="U54" s="833"/>
      <c r="V54" s="833"/>
      <c r="W54" s="833"/>
      <c r="AW54" s="823"/>
    </row>
    <row r="55" spans="1:49" x14ac:dyDescent="0.15">
      <c r="A55" s="821"/>
      <c r="B55" s="1465"/>
      <c r="C55" s="1175" t="str">
        <f>IF('FICHA FUNCIONAL'!$E$8&lt;&gt;"REVER FUNDAMENTAÇÃO E/OU MODALIDADE",IF(AND('FICHA FUNCIONAL'!$E$4='RESUMO CONCLUSIVO'!D55,'FICHA FUNCIONAL'!$E$6='RESUMO CONCLUSIVO'!G55),"X",""),"")</f>
        <v/>
      </c>
      <c r="D55" s="1158">
        <f>CRÍTICA_IGP1!$B$90</f>
        <v>0</v>
      </c>
      <c r="E55" s="1151"/>
      <c r="F55" s="1152"/>
      <c r="G55" s="1159">
        <f>CRÍTICA_IGP1!$C$90</f>
        <v>0</v>
      </c>
      <c r="H55" s="1145"/>
      <c r="I55" s="1146"/>
      <c r="J55" s="1147">
        <f>CRÍTICA_IGP1!$F$90</f>
        <v>0</v>
      </c>
      <c r="K55" s="1148"/>
      <c r="L55" s="1149" t="e">
        <f>CRÍTICA_IGP1!$I$90</f>
        <v>#N/A</v>
      </c>
      <c r="M55" s="1150"/>
      <c r="N55" s="1143" t="e">
        <f>CRÍTICA_IGP1!$J$90</f>
        <v>#N/A</v>
      </c>
      <c r="O55" s="1144"/>
      <c r="P55" s="1459"/>
      <c r="Z55" s="820"/>
      <c r="AA55" s="820"/>
      <c r="AB55" s="820"/>
      <c r="AW55" s="823"/>
    </row>
    <row r="56" spans="1:49" x14ac:dyDescent="0.15">
      <c r="A56" s="844"/>
      <c r="B56" s="1465"/>
      <c r="C56" s="1175" t="str">
        <f>IF('FICHA FUNCIONAL'!$E$8&lt;&gt;"REVER FUNDAMENTAÇÃO E/OU MODALIDADE",IF(AND('FICHA FUNCIONAL'!$E$4='RESUMO CONCLUSIVO'!D56,'FICHA FUNCIONAL'!$E$6='RESUMO CONCLUSIVO'!G56,OR('FICHA FUNCIONAL'!I29="X",'FICHA FUNCIONAL'!M29="X")),"X",""),"")</f>
        <v/>
      </c>
      <c r="D56" s="1158">
        <f>CRÍTICA_IGP1!$B$91</f>
        <v>0</v>
      </c>
      <c r="E56" s="1151"/>
      <c r="F56" s="1152"/>
      <c r="G56" s="1159">
        <f>CRÍTICA_IGP1!$C$91</f>
        <v>0</v>
      </c>
      <c r="H56" s="1145"/>
      <c r="I56" s="1146"/>
      <c r="J56" s="1147">
        <f>CRÍTICA_IGP1!F91</f>
        <v>0</v>
      </c>
      <c r="K56" s="1148"/>
      <c r="L56" s="1149" t="e">
        <f>CRÍTICA_IGP1!$I$91</f>
        <v>#N/A</v>
      </c>
      <c r="M56" s="1150"/>
      <c r="N56" s="1143" t="e">
        <f>CRÍTICA_IGP1!$J$91</f>
        <v>#N/A</v>
      </c>
      <c r="O56" s="1144"/>
      <c r="P56" s="1459"/>
      <c r="Q56" s="833"/>
      <c r="R56" s="833"/>
      <c r="S56" s="833"/>
      <c r="T56" s="833"/>
      <c r="U56" s="833"/>
      <c r="V56" s="833"/>
      <c r="W56" s="833"/>
      <c r="X56" s="833"/>
      <c r="Z56" s="820"/>
      <c r="AA56" s="820"/>
      <c r="AB56" s="820"/>
      <c r="AW56" s="823"/>
    </row>
    <row r="57" spans="1:49" x14ac:dyDescent="0.15">
      <c r="A57" s="844"/>
      <c r="B57" s="1465"/>
      <c r="C57" s="1175" t="str">
        <f>IF('FICHA FUNCIONAL'!$E$8&lt;&gt;"REVER FUNDAMENTAÇÃO E/OU MODALIDADE",IF(AND('FICHA FUNCIONAL'!$E$4='RESUMO CONCLUSIVO'!D57,'FICHA FUNCIONAL'!$E$6='RESUMO CONCLUSIVO'!G57),"X",""),"")</f>
        <v/>
      </c>
      <c r="D57" s="1158">
        <f>CRÍTICA_IGP1!$B$92</f>
        <v>0</v>
      </c>
      <c r="E57" s="1151"/>
      <c r="F57" s="1152"/>
      <c r="G57" s="1159">
        <f>CRÍTICA_IGP1!$C$92</f>
        <v>0</v>
      </c>
      <c r="H57" s="1145"/>
      <c r="I57" s="1146"/>
      <c r="J57" s="1155">
        <f>CRÍTICA_IGP1!F92</f>
        <v>0</v>
      </c>
      <c r="K57" s="1156"/>
      <c r="L57" s="1153" t="e">
        <f>CRÍTICA_IGP1!$I$92</f>
        <v>#N/A</v>
      </c>
      <c r="M57" s="1154"/>
      <c r="N57" s="1143" t="e">
        <f>CRÍTICA_IGP1!$J$92</f>
        <v>#N/A</v>
      </c>
      <c r="O57" s="1144"/>
      <c r="P57" s="1459"/>
      <c r="Q57" s="833"/>
      <c r="R57" s="833"/>
      <c r="S57" s="833"/>
      <c r="T57" s="833"/>
      <c r="U57" s="833"/>
      <c r="V57" s="833"/>
      <c r="W57" s="833"/>
      <c r="X57" s="833"/>
      <c r="Z57" s="820"/>
      <c r="AA57" s="820"/>
      <c r="AB57" s="820"/>
      <c r="AW57" s="823"/>
    </row>
    <row r="58" spans="1:49" ht="21" thickBot="1" x14ac:dyDescent="0.3">
      <c r="A58" s="844"/>
      <c r="B58" s="1465"/>
      <c r="C58" s="1718" t="str">
        <f>IF(AND(D42=0,D43=0,D44=0,D45=0,D46=0,D47=0,D48=0,D49=0,D50=0,D51=0,D52=0,D53=0,D54=0,D55=0,D56=0,D57=0),"NÃO HÁ MODALIDADE E/OU REGRA QUE POSSIBILITE A APOSENTADORIA VOLUNTÁRIA","")</f>
        <v>NÃO HÁ MODALIDADE E/OU REGRA QUE POSSIBILITE A APOSENTADORIA VOLUNTÁRIA</v>
      </c>
      <c r="D58" s="1719"/>
      <c r="E58" s="1720"/>
      <c r="F58" s="1720"/>
      <c r="G58" s="1720"/>
      <c r="H58" s="1720"/>
      <c r="I58" s="1720"/>
      <c r="J58" s="1720"/>
      <c r="K58" s="1720"/>
      <c r="L58" s="1720"/>
      <c r="M58" s="1720"/>
      <c r="N58" s="1720"/>
      <c r="O58" s="1721"/>
      <c r="P58" s="1459"/>
      <c r="Q58" s="833"/>
      <c r="R58" s="833"/>
      <c r="S58" s="833"/>
      <c r="T58" s="833"/>
      <c r="U58" s="833"/>
      <c r="V58" s="833"/>
      <c r="W58" s="833"/>
      <c r="X58" s="833"/>
      <c r="Z58" s="820"/>
      <c r="AA58" s="820"/>
      <c r="AB58" s="820"/>
      <c r="AW58" s="823"/>
    </row>
    <row r="59" spans="1:49" ht="18.75" thickTop="1" x14ac:dyDescent="0.2">
      <c r="A59" s="844"/>
      <c r="B59" s="1458"/>
      <c r="C59" s="1569" t="s">
        <v>23</v>
      </c>
      <c r="D59" s="1569"/>
      <c r="E59" s="1569"/>
      <c r="F59" s="1569"/>
      <c r="G59" s="1569"/>
      <c r="H59" s="1569"/>
      <c r="I59" s="1569"/>
      <c r="J59" s="1569"/>
      <c r="K59" s="1569"/>
      <c r="L59" s="1569"/>
      <c r="M59" s="1569"/>
      <c r="N59" s="1569"/>
      <c r="O59" s="1569"/>
      <c r="P59" s="1459"/>
      <c r="Z59" s="820"/>
      <c r="AA59" s="820"/>
      <c r="AB59" s="820"/>
      <c r="AW59" s="823"/>
    </row>
    <row r="60" spans="1:49" x14ac:dyDescent="0.15">
      <c r="A60" s="844"/>
      <c r="B60" s="972"/>
      <c r="C60" s="967" t="s">
        <v>32</v>
      </c>
      <c r="D60" s="967"/>
      <c r="E60" s="973"/>
      <c r="F60" s="554"/>
      <c r="G60" s="967"/>
      <c r="H60" s="967" t="s">
        <v>33</v>
      </c>
      <c r="I60" s="230"/>
      <c r="J60" s="230"/>
      <c r="K60" s="2"/>
      <c r="L60" s="230"/>
      <c r="M60" s="230"/>
      <c r="N60" s="974"/>
      <c r="O60" s="278"/>
      <c r="P60" s="975"/>
      <c r="Q60" s="833"/>
      <c r="R60" s="833"/>
      <c r="S60" s="833"/>
      <c r="T60" s="833"/>
      <c r="U60" s="833"/>
      <c r="V60" s="833"/>
      <c r="W60" s="833"/>
      <c r="X60" s="833"/>
      <c r="Y60" s="833"/>
      <c r="Z60" s="833"/>
      <c r="AA60" s="833"/>
      <c r="AB60" s="833"/>
      <c r="AC60" s="833"/>
      <c r="AD60" s="833"/>
      <c r="AE60" s="833"/>
      <c r="AF60" s="833"/>
      <c r="AG60" s="833"/>
      <c r="AH60" s="833"/>
      <c r="AI60" s="833"/>
      <c r="AJ60" s="833"/>
      <c r="AK60" s="833"/>
      <c r="AL60" s="833"/>
      <c r="AM60" s="833"/>
      <c r="AN60" s="833"/>
      <c r="AW60" s="823"/>
    </row>
    <row r="61" spans="1:49" x14ac:dyDescent="0.15">
      <c r="A61" s="844"/>
      <c r="B61" s="1463"/>
      <c r="C61" s="1478"/>
      <c r="D61" s="1478"/>
      <c r="E61" s="1479"/>
      <c r="F61" s="1480"/>
      <c r="G61" s="1463"/>
      <c r="H61" s="1463"/>
      <c r="I61" s="1463"/>
      <c r="J61" s="1480"/>
      <c r="K61" s="1480"/>
      <c r="L61" s="1463"/>
      <c r="M61" s="1471"/>
      <c r="N61" s="1463"/>
      <c r="O61" s="1463"/>
      <c r="P61" s="1481"/>
      <c r="X61" s="833"/>
      <c r="Z61" s="820"/>
      <c r="AA61" s="820"/>
      <c r="AB61" s="820"/>
      <c r="AW61" s="823"/>
    </row>
    <row r="62" spans="1:49" ht="6" customHeight="1" x14ac:dyDescent="0.15">
      <c r="A62" s="821"/>
      <c r="B62" s="1483"/>
      <c r="C62" s="1723" t="s">
        <v>299</v>
      </c>
      <c r="D62" s="1723"/>
      <c r="E62" s="1723"/>
      <c r="F62" s="1723"/>
      <c r="G62" s="1723"/>
      <c r="H62" s="1723"/>
      <c r="I62" s="1723"/>
      <c r="J62" s="1723"/>
      <c r="K62" s="1723"/>
      <c r="L62" s="1723"/>
      <c r="M62" s="1723"/>
      <c r="N62" s="1723"/>
      <c r="O62" s="1723"/>
      <c r="P62" s="1463"/>
      <c r="Q62" s="833"/>
      <c r="R62" s="833"/>
      <c r="S62" s="833"/>
      <c r="T62" s="833"/>
      <c r="U62" s="833"/>
      <c r="V62" s="833"/>
      <c r="W62" s="833"/>
      <c r="X62" s="853"/>
      <c r="AW62" s="823"/>
    </row>
    <row r="63" spans="1:49" ht="15.75" customHeight="1" x14ac:dyDescent="0.15">
      <c r="A63" s="844"/>
      <c r="B63" s="1471"/>
      <c r="C63" s="1723"/>
      <c r="D63" s="1723"/>
      <c r="E63" s="1723"/>
      <c r="F63" s="1723"/>
      <c r="G63" s="1723"/>
      <c r="H63" s="1723"/>
      <c r="I63" s="1723"/>
      <c r="J63" s="1723"/>
      <c r="K63" s="1723"/>
      <c r="L63" s="1723"/>
      <c r="M63" s="1723"/>
      <c r="N63" s="1723"/>
      <c r="O63" s="1723"/>
      <c r="P63" s="1463"/>
      <c r="Z63" s="820"/>
      <c r="AA63" s="820"/>
      <c r="AB63" s="820"/>
      <c r="AW63" s="823"/>
    </row>
    <row r="64" spans="1:49" ht="6" customHeight="1" x14ac:dyDescent="0.15">
      <c r="A64" s="821"/>
      <c r="B64" s="1482"/>
      <c r="C64" s="1484"/>
      <c r="D64" s="1484"/>
      <c r="E64" s="1485"/>
      <c r="F64" s="1482"/>
      <c r="G64" s="1482"/>
      <c r="H64" s="1482"/>
      <c r="I64" s="1482"/>
      <c r="J64" s="1482"/>
      <c r="K64" s="1482"/>
      <c r="L64" s="1482"/>
      <c r="M64" s="1471"/>
      <c r="N64" s="1463"/>
      <c r="O64" s="1463"/>
      <c r="P64" s="1481"/>
      <c r="Z64" s="820"/>
      <c r="AA64" s="820"/>
      <c r="AB64" s="820"/>
      <c r="AG64" s="833"/>
      <c r="AH64" s="833"/>
      <c r="AI64" s="833"/>
      <c r="AJ64" s="833"/>
      <c r="AW64" s="823"/>
    </row>
    <row r="65" spans="1:49" x14ac:dyDescent="0.15">
      <c r="A65" s="856"/>
      <c r="B65" s="1471"/>
      <c r="C65" s="1486"/>
      <c r="D65" s="1487"/>
      <c r="E65" s="1487"/>
      <c r="F65" s="1480"/>
      <c r="G65" s="1463"/>
      <c r="H65" s="1471"/>
      <c r="I65" s="1471"/>
      <c r="J65" s="1463"/>
      <c r="K65" s="1463"/>
      <c r="L65" s="1463"/>
      <c r="M65" s="1471"/>
      <c r="N65" s="1481"/>
      <c r="O65" s="1481"/>
      <c r="P65" s="1463"/>
      <c r="Q65" s="833"/>
      <c r="R65" s="833"/>
      <c r="S65" s="833"/>
      <c r="T65" s="833"/>
      <c r="U65" s="833"/>
      <c r="V65" s="833"/>
      <c r="W65" s="833"/>
      <c r="X65" s="833"/>
      <c r="Y65" s="833"/>
      <c r="AW65" s="823"/>
    </row>
    <row r="66" spans="1:49" x14ac:dyDescent="0.15">
      <c r="B66" s="1463"/>
      <c r="C66" s="1724" t="e">
        <f>IF(OR('FICHA FUNCIONAL'!E4=0,'FICHA FUNCIONAL'!E6=0),"",CONCATENATE("Considerando a lista de possibilidades acima, Eu, ",'FICHA FUNCIONAL'!E16,", matrícula nº ",'FICHA FUNCIONAL'!E17,", declaro expressamente minha opção pela aposentadoria ",B77,", com fundamento no ",CRÍTICA_IGP1!O73))</f>
        <v>#N/A</v>
      </c>
      <c r="D66" s="1725"/>
      <c r="E66" s="1725"/>
      <c r="F66" s="1725"/>
      <c r="G66" s="1725"/>
      <c r="H66" s="1725"/>
      <c r="I66" s="1725"/>
      <c r="J66" s="1725"/>
      <c r="K66" s="1725"/>
      <c r="L66" s="1725"/>
      <c r="M66" s="1725"/>
      <c r="N66" s="1725"/>
      <c r="O66" s="1725"/>
      <c r="P66" s="1463"/>
      <c r="AW66" s="823"/>
    </row>
    <row r="67" spans="1:49" x14ac:dyDescent="0.15">
      <c r="B67" s="1471"/>
      <c r="C67" s="1725"/>
      <c r="D67" s="1725"/>
      <c r="E67" s="1725"/>
      <c r="F67" s="1725"/>
      <c r="G67" s="1725"/>
      <c r="H67" s="1725"/>
      <c r="I67" s="1725"/>
      <c r="J67" s="1725"/>
      <c r="K67" s="1725"/>
      <c r="L67" s="1725"/>
      <c r="M67" s="1725"/>
      <c r="N67" s="1725"/>
      <c r="O67" s="1725"/>
      <c r="P67" s="1481"/>
      <c r="AW67" s="823"/>
    </row>
    <row r="68" spans="1:49" x14ac:dyDescent="0.15">
      <c r="B68" s="1471"/>
      <c r="C68" s="1726"/>
      <c r="D68" s="1726"/>
      <c r="E68" s="1726"/>
      <c r="F68" s="1726"/>
      <c r="G68" s="1726"/>
      <c r="H68" s="1726"/>
      <c r="I68" s="1726"/>
      <c r="J68" s="1726"/>
      <c r="K68" s="1726"/>
      <c r="L68" s="1726"/>
      <c r="M68" s="1726"/>
      <c r="N68" s="1726"/>
      <c r="O68" s="1726"/>
      <c r="P68" s="1463"/>
      <c r="Q68" s="833"/>
      <c r="R68" s="833"/>
      <c r="S68" s="833"/>
      <c r="T68" s="833"/>
      <c r="U68" s="833"/>
      <c r="V68" s="833"/>
      <c r="W68" s="833"/>
      <c r="AW68" s="823"/>
    </row>
    <row r="69" spans="1:49" x14ac:dyDescent="0.15">
      <c r="B69" s="1471"/>
      <c r="C69" s="1726"/>
      <c r="D69" s="1726"/>
      <c r="E69" s="1726"/>
      <c r="F69" s="1726"/>
      <c r="G69" s="1726"/>
      <c r="H69" s="1726"/>
      <c r="I69" s="1726"/>
      <c r="J69" s="1726"/>
      <c r="K69" s="1726"/>
      <c r="L69" s="1726"/>
      <c r="M69" s="1726"/>
      <c r="N69" s="1726"/>
      <c r="O69" s="1726"/>
      <c r="P69" s="1463"/>
      <c r="Z69" s="820"/>
      <c r="AA69" s="820"/>
      <c r="AB69" s="820"/>
      <c r="AW69" s="823"/>
    </row>
    <row r="70" spans="1:49" x14ac:dyDescent="0.15">
      <c r="B70" s="1463"/>
      <c r="C70" s="1486"/>
      <c r="D70" s="1486"/>
      <c r="E70" s="1463"/>
      <c r="F70" s="1463"/>
      <c r="G70" s="1463"/>
      <c r="H70" s="1463"/>
      <c r="I70" s="1463"/>
      <c r="J70" s="1463"/>
      <c r="K70" s="1463"/>
      <c r="L70" s="1489"/>
      <c r="M70" s="1471"/>
      <c r="N70" s="1463"/>
      <c r="O70" s="1463"/>
      <c r="P70" s="1481"/>
      <c r="Z70" s="820"/>
      <c r="AA70" s="820"/>
      <c r="AB70" s="820"/>
      <c r="AW70" s="823"/>
    </row>
    <row r="71" spans="1:49" x14ac:dyDescent="0.15">
      <c r="B71" s="1471"/>
      <c r="C71" s="1722"/>
      <c r="D71" s="1722"/>
      <c r="E71" s="1722"/>
      <c r="F71" s="1722"/>
      <c r="G71" s="1722"/>
      <c r="H71" s="1722"/>
      <c r="I71" s="1722"/>
      <c r="J71" s="1722"/>
      <c r="K71" s="1722"/>
      <c r="L71" s="1722"/>
      <c r="M71" s="1722"/>
      <c r="N71" s="1722"/>
      <c r="O71" s="1722"/>
      <c r="P71" s="1463"/>
      <c r="AW71" s="823"/>
    </row>
    <row r="72" spans="1:49" x14ac:dyDescent="0.15">
      <c r="A72" s="821"/>
      <c r="B72" s="1471"/>
      <c r="C72" s="1722" t="str">
        <f>IF(OR('FICHA FUNCIONAL'!$E$4=0,'FICHA FUNCIONAL'!$E$6=0),""," ________________________________________________________________________ ")</f>
        <v xml:space="preserve"> ________________________________________________________________________ </v>
      </c>
      <c r="D72" s="1722"/>
      <c r="E72" s="1722"/>
      <c r="F72" s="1722"/>
      <c r="G72" s="1722"/>
      <c r="H72" s="1722"/>
      <c r="I72" s="1722"/>
      <c r="J72" s="1722"/>
      <c r="K72" s="1722"/>
      <c r="L72" s="1722"/>
      <c r="M72" s="1722"/>
      <c r="N72" s="1722"/>
      <c r="O72" s="1722"/>
      <c r="P72" s="1488"/>
      <c r="AW72" s="823"/>
    </row>
    <row r="73" spans="1:49" x14ac:dyDescent="0.15">
      <c r="A73" s="821"/>
      <c r="B73" s="1471"/>
      <c r="C73" s="1722" t="str">
        <f>IF(OR('FICHA FUNCIONAL'!$E$4=0,'FICHA FUNCIONAL'!$E$6=0),"",CONCATENATE('FICHA FUNCIONAL'!E16))</f>
        <v/>
      </c>
      <c r="D73" s="1722"/>
      <c r="E73" s="1722"/>
      <c r="F73" s="1722"/>
      <c r="G73" s="1722"/>
      <c r="H73" s="1722"/>
      <c r="I73" s="1722"/>
      <c r="J73" s="1722"/>
      <c r="K73" s="1722"/>
      <c r="L73" s="1722"/>
      <c r="M73" s="1722"/>
      <c r="N73" s="1722"/>
      <c r="O73" s="1722"/>
      <c r="P73" s="1463"/>
      <c r="Q73" s="835"/>
      <c r="R73" s="835"/>
      <c r="S73" s="835"/>
      <c r="T73" s="835"/>
      <c r="U73" s="835"/>
      <c r="V73" s="835"/>
      <c r="W73" s="835"/>
      <c r="X73" s="835"/>
      <c r="Y73" s="835"/>
      <c r="AV73" s="533"/>
      <c r="AW73" s="865"/>
    </row>
    <row r="74" spans="1:49" x14ac:dyDescent="0.15">
      <c r="A74" s="821"/>
      <c r="B74" s="1471"/>
      <c r="C74" s="1490"/>
      <c r="D74" s="1491"/>
      <c r="E74" s="1492"/>
      <c r="F74" s="1493"/>
      <c r="G74" s="1494"/>
      <c r="H74" s="1471"/>
      <c r="I74" s="1463"/>
      <c r="J74" s="1463"/>
      <c r="K74" s="1463"/>
      <c r="L74" s="1463"/>
      <c r="M74" s="1463"/>
      <c r="N74" s="1463"/>
      <c r="O74" s="1463"/>
      <c r="P74" s="1463"/>
      <c r="AV74" s="533"/>
      <c r="AW74" s="865"/>
    </row>
    <row r="75" spans="1:49" x14ac:dyDescent="0.15">
      <c r="A75" s="821"/>
      <c r="B75" s="1471"/>
      <c r="C75" s="1651" t="str">
        <f>IF(OR('FICHA FUNCIONAL'!$E$4=0,'FICHA FUNCIONAL'!$E$6=0),"",CONCATENATE('FICHA FUNCIONAL'!E12))</f>
        <v/>
      </c>
      <c r="D75" s="1651"/>
      <c r="E75" s="1651"/>
      <c r="F75" s="1651"/>
      <c r="G75" s="1651"/>
      <c r="H75" s="1651"/>
      <c r="I75" s="1651"/>
      <c r="J75" s="1651"/>
      <c r="K75" s="1651"/>
      <c r="L75" s="1651"/>
      <c r="M75" s="1651"/>
      <c r="N75" s="1651"/>
      <c r="O75" s="1651"/>
      <c r="P75" s="1463"/>
      <c r="AV75" s="533"/>
      <c r="AW75" s="865"/>
    </row>
    <row r="76" spans="1:49" x14ac:dyDescent="0.15">
      <c r="A76" s="821"/>
      <c r="B76" s="537"/>
      <c r="E76" s="552"/>
      <c r="M76" s="537"/>
      <c r="W76" s="833"/>
      <c r="Z76" s="820"/>
      <c r="AA76" s="820"/>
      <c r="AB76" s="820"/>
      <c r="AT76" s="533"/>
      <c r="AU76" s="533"/>
      <c r="AV76" s="533"/>
      <c r="AW76" s="865"/>
    </row>
    <row r="77" spans="1:49" hidden="1" x14ac:dyDescent="0.15">
      <c r="A77" s="821"/>
      <c r="B77" s="1176" t="e">
        <f>VLOOKUP($B$78,$C$42:$O$57,2,FALSE)</f>
        <v>#N/A</v>
      </c>
      <c r="C77" s="1167"/>
      <c r="D77" s="1167"/>
      <c r="E77" s="1167"/>
      <c r="F77" s="1167"/>
      <c r="J77" s="854"/>
      <c r="K77" s="854"/>
      <c r="L77" s="533"/>
      <c r="M77" s="537"/>
      <c r="Z77" s="820"/>
      <c r="AA77" s="820"/>
      <c r="AB77" s="820"/>
      <c r="AV77" s="533"/>
      <c r="AW77" s="865"/>
    </row>
    <row r="78" spans="1:49" hidden="1" x14ac:dyDescent="0.15">
      <c r="A78" s="821"/>
      <c r="B78" s="1177" t="s">
        <v>744</v>
      </c>
      <c r="C78" s="841"/>
      <c r="D78" s="841"/>
      <c r="E78" s="841"/>
      <c r="F78" s="841"/>
      <c r="G78" s="841"/>
      <c r="H78" s="841"/>
      <c r="L78" s="893"/>
      <c r="M78" s="537"/>
      <c r="N78" s="833"/>
      <c r="O78" s="833"/>
      <c r="P78" s="833"/>
      <c r="Q78" s="833"/>
      <c r="R78" s="833"/>
      <c r="S78" s="833"/>
      <c r="T78" s="833"/>
      <c r="U78" s="833"/>
      <c r="V78" s="833"/>
      <c r="W78" s="833"/>
      <c r="X78" s="833"/>
      <c r="Z78" s="820"/>
      <c r="AA78" s="820"/>
      <c r="AB78" s="820"/>
      <c r="AO78" s="833"/>
      <c r="AP78" s="833"/>
      <c r="AQ78" s="833"/>
      <c r="AR78" s="833"/>
      <c r="AS78" s="833"/>
      <c r="AT78" s="833"/>
      <c r="AU78" s="833"/>
      <c r="AV78" s="533"/>
      <c r="AW78" s="533"/>
    </row>
    <row r="79" spans="1:49" ht="15" hidden="1" thickBot="1" x14ac:dyDescent="0.2">
      <c r="A79" s="821"/>
      <c r="B79" s="1178" t="e">
        <f>VLOOKUP($B$78,$C$42:$O$57,5,FALSE)</f>
        <v>#N/A</v>
      </c>
      <c r="C79" s="1167"/>
      <c r="D79" s="1167"/>
      <c r="E79" s="1167"/>
      <c r="F79" s="1167"/>
      <c r="G79" s="765"/>
      <c r="H79" s="765"/>
      <c r="I79" s="537"/>
      <c r="L79" s="894"/>
      <c r="M79" s="869"/>
      <c r="O79" s="868"/>
      <c r="P79" s="869"/>
      <c r="Q79" s="868"/>
      <c r="R79" s="869"/>
      <c r="S79" s="868"/>
      <c r="T79" s="853"/>
      <c r="U79" s="870"/>
      <c r="V79" s="870"/>
      <c r="W79" s="853"/>
      <c r="X79" s="853"/>
      <c r="AT79" s="533"/>
      <c r="AU79" s="533"/>
      <c r="AV79" s="533"/>
      <c r="AW79" s="533"/>
    </row>
    <row r="80" spans="1:49" hidden="1" x14ac:dyDescent="0.15">
      <c r="A80" s="821"/>
      <c r="C80" s="846"/>
      <c r="D80" s="846"/>
      <c r="E80" s="846"/>
      <c r="F80" s="846"/>
      <c r="G80" s="846"/>
      <c r="H80" s="824"/>
      <c r="L80" s="863"/>
      <c r="AT80" s="533"/>
      <c r="AU80" s="533"/>
      <c r="AV80" s="533"/>
      <c r="AW80" s="533"/>
    </row>
    <row r="81" spans="1:49" hidden="1" x14ac:dyDescent="0.15">
      <c r="A81" s="821"/>
      <c r="B81" s="877"/>
      <c r="C81" s="846"/>
      <c r="D81" s="846"/>
      <c r="E81" s="846"/>
      <c r="F81" s="846"/>
      <c r="G81" s="846"/>
      <c r="H81" s="824"/>
      <c r="I81" s="537"/>
      <c r="L81" s="894"/>
      <c r="M81" s="537"/>
      <c r="AT81" s="533"/>
      <c r="AU81" s="533"/>
      <c r="AV81" s="533"/>
      <c r="AW81" s="533"/>
    </row>
    <row r="82" spans="1:49" hidden="1" x14ac:dyDescent="0.15">
      <c r="A82" s="821"/>
      <c r="B82" s="877"/>
      <c r="C82" s="846"/>
      <c r="D82" s="846"/>
      <c r="E82" s="846"/>
      <c r="F82" s="846"/>
      <c r="G82" s="846"/>
      <c r="H82" s="824"/>
      <c r="M82" s="537"/>
      <c r="N82" s="833"/>
      <c r="O82" s="833"/>
      <c r="P82" s="833"/>
      <c r="Q82" s="833"/>
      <c r="R82" s="833"/>
      <c r="S82" s="833"/>
      <c r="T82" s="833"/>
      <c r="U82" s="833"/>
      <c r="V82" s="833"/>
      <c r="W82" s="833"/>
      <c r="X82" s="833"/>
      <c r="AT82" s="533"/>
      <c r="AU82" s="533"/>
      <c r="AV82" s="533"/>
      <c r="AW82" s="533"/>
    </row>
    <row r="83" spans="1:49" hidden="1" x14ac:dyDescent="0.15">
      <c r="A83" s="821"/>
      <c r="B83" s="877"/>
      <c r="C83" s="846"/>
      <c r="D83" s="846"/>
      <c r="E83" s="846"/>
      <c r="F83" s="846"/>
      <c r="G83" s="846"/>
      <c r="H83" s="824"/>
      <c r="AT83" s="533"/>
      <c r="AU83" s="533"/>
      <c r="AV83" s="533"/>
      <c r="AW83" s="533"/>
    </row>
    <row r="84" spans="1:49" hidden="1" x14ac:dyDescent="0.15">
      <c r="A84" s="821"/>
      <c r="B84" s="877"/>
      <c r="C84" s="846"/>
      <c r="D84" s="846"/>
      <c r="E84" s="846"/>
      <c r="F84" s="846"/>
      <c r="G84" s="846"/>
      <c r="H84" s="824"/>
      <c r="M84" s="537"/>
      <c r="AT84" s="533"/>
      <c r="AU84" s="533"/>
      <c r="AV84" s="533"/>
      <c r="AW84" s="533"/>
    </row>
    <row r="85" spans="1:49" hidden="1" x14ac:dyDescent="0.15">
      <c r="A85" s="821"/>
      <c r="B85" s="877"/>
      <c r="C85" s="846"/>
      <c r="D85" s="846"/>
      <c r="E85" s="846"/>
      <c r="F85" s="846"/>
      <c r="G85" s="846"/>
      <c r="H85" s="824"/>
      <c r="J85" s="537"/>
      <c r="K85" s="537"/>
      <c r="L85" s="844"/>
      <c r="M85" s="537"/>
      <c r="N85" s="833"/>
      <c r="O85" s="833"/>
      <c r="P85" s="833"/>
      <c r="Q85" s="833"/>
      <c r="R85" s="833"/>
      <c r="S85" s="833"/>
      <c r="T85" s="833"/>
      <c r="U85" s="833"/>
      <c r="V85" s="833"/>
      <c r="W85" s="833"/>
      <c r="X85" s="833"/>
      <c r="AT85" s="533"/>
      <c r="AU85" s="533"/>
      <c r="AV85" s="533"/>
      <c r="AW85" s="533"/>
    </row>
    <row r="86" spans="1:49" hidden="1" x14ac:dyDescent="0.15">
      <c r="A86" s="821"/>
      <c r="B86" s="877"/>
      <c r="C86" s="846"/>
      <c r="D86" s="846"/>
      <c r="E86" s="846"/>
      <c r="F86" s="846"/>
      <c r="G86" s="846"/>
      <c r="H86" s="824"/>
      <c r="J86" s="854"/>
      <c r="K86" s="854"/>
      <c r="L86" s="533"/>
      <c r="M86" s="869"/>
      <c r="O86" s="868"/>
      <c r="P86" s="869"/>
      <c r="Q86" s="868"/>
      <c r="R86" s="869"/>
      <c r="S86" s="868"/>
      <c r="T86" s="853"/>
      <c r="U86" s="870"/>
      <c r="V86" s="870"/>
      <c r="W86" s="853"/>
      <c r="X86" s="853"/>
      <c r="AT86" s="533"/>
      <c r="AU86" s="533"/>
      <c r="AV86" s="533"/>
      <c r="AW86" s="533"/>
    </row>
    <row r="87" spans="1:49" hidden="1" x14ac:dyDescent="0.15">
      <c r="A87" s="821"/>
      <c r="B87" s="877"/>
      <c r="C87" s="846"/>
      <c r="D87" s="846"/>
      <c r="E87" s="846"/>
      <c r="F87" s="846"/>
      <c r="G87" s="846"/>
      <c r="H87" s="824"/>
      <c r="J87" s="854"/>
      <c r="K87" s="854"/>
      <c r="L87" s="533"/>
      <c r="M87" s="869"/>
      <c r="O87" s="868"/>
      <c r="P87" s="869"/>
      <c r="Q87" s="868"/>
      <c r="R87" s="869"/>
      <c r="S87" s="868"/>
      <c r="T87" s="853"/>
      <c r="U87" s="870"/>
      <c r="V87" s="870"/>
      <c r="W87" s="853"/>
      <c r="X87" s="853"/>
      <c r="AT87" s="533"/>
      <c r="AU87" s="533"/>
      <c r="AV87" s="533"/>
      <c r="AW87" s="533"/>
    </row>
    <row r="88" spans="1:49" hidden="1" x14ac:dyDescent="0.15">
      <c r="A88" s="821"/>
      <c r="B88" s="877"/>
      <c r="C88" s="846"/>
      <c r="D88" s="846"/>
      <c r="E88" s="846"/>
      <c r="F88" s="846"/>
      <c r="G88" s="846"/>
      <c r="H88" s="824"/>
      <c r="J88" s="854"/>
      <c r="K88" s="854"/>
      <c r="L88" s="533"/>
      <c r="M88" s="869"/>
      <c r="O88" s="868"/>
      <c r="P88" s="869"/>
      <c r="Q88" s="868"/>
      <c r="R88" s="869"/>
      <c r="S88" s="868"/>
      <c r="T88" s="853"/>
      <c r="U88" s="870"/>
      <c r="V88" s="870"/>
      <c r="W88" s="853"/>
      <c r="X88" s="853"/>
      <c r="AT88" s="533"/>
      <c r="AU88" s="533"/>
      <c r="AV88" s="533"/>
      <c r="AW88" s="533"/>
    </row>
    <row r="89" spans="1:49" hidden="1" x14ac:dyDescent="0.15">
      <c r="A89" s="821"/>
      <c r="B89" s="877"/>
      <c r="C89" s="846"/>
      <c r="D89" s="846"/>
      <c r="E89" s="846"/>
      <c r="F89" s="846"/>
      <c r="G89" s="846"/>
      <c r="H89" s="824"/>
      <c r="J89" s="854"/>
      <c r="K89" s="854"/>
      <c r="L89" s="533"/>
      <c r="M89" s="869"/>
      <c r="O89" s="868"/>
      <c r="P89" s="869"/>
      <c r="Q89" s="868"/>
      <c r="R89" s="869"/>
      <c r="S89" s="868"/>
      <c r="T89" s="853"/>
      <c r="U89" s="870"/>
      <c r="V89" s="870"/>
      <c r="W89" s="853"/>
      <c r="X89" s="853"/>
      <c r="AT89" s="533"/>
      <c r="AU89" s="533"/>
      <c r="AV89" s="533"/>
      <c r="AW89" s="533"/>
    </row>
    <row r="90" spans="1:49" hidden="1" x14ac:dyDescent="0.15">
      <c r="A90" s="821"/>
      <c r="B90" s="877"/>
      <c r="C90" s="846"/>
      <c r="D90" s="846"/>
      <c r="E90" s="846"/>
      <c r="F90" s="846"/>
      <c r="G90" s="846"/>
      <c r="H90" s="824"/>
      <c r="J90" s="854"/>
      <c r="K90" s="854"/>
      <c r="L90" s="533"/>
      <c r="M90" s="869"/>
      <c r="O90" s="868"/>
      <c r="P90" s="869"/>
      <c r="Q90" s="868"/>
      <c r="R90" s="869"/>
      <c r="S90" s="868"/>
      <c r="T90" s="853"/>
      <c r="U90" s="870"/>
      <c r="V90" s="870"/>
      <c r="W90" s="853"/>
      <c r="X90" s="853"/>
      <c r="AT90" s="533"/>
      <c r="AU90" s="533"/>
      <c r="AV90" s="533"/>
      <c r="AW90" s="533"/>
    </row>
    <row r="91" spans="1:49" hidden="1" x14ac:dyDescent="0.15">
      <c r="A91" s="821"/>
      <c r="B91" s="877"/>
      <c r="C91" s="846"/>
      <c r="D91" s="846"/>
      <c r="E91" s="846"/>
      <c r="F91" s="846"/>
      <c r="G91" s="846"/>
      <c r="H91" s="824"/>
      <c r="J91" s="854"/>
      <c r="K91" s="854"/>
      <c r="L91" s="533"/>
      <c r="M91" s="869"/>
      <c r="O91" s="868"/>
      <c r="P91" s="869"/>
      <c r="Q91" s="868"/>
      <c r="R91" s="869"/>
      <c r="S91" s="868"/>
      <c r="T91" s="853"/>
      <c r="U91" s="870"/>
      <c r="V91" s="870"/>
      <c r="W91" s="853"/>
      <c r="X91" s="853"/>
      <c r="AT91" s="533"/>
      <c r="AU91" s="533"/>
      <c r="AV91" s="533"/>
      <c r="AW91" s="533"/>
    </row>
    <row r="92" spans="1:49" hidden="1" x14ac:dyDescent="0.15">
      <c r="A92" s="821"/>
      <c r="B92" s="877"/>
      <c r="C92" s="846"/>
      <c r="D92" s="846"/>
      <c r="E92" s="846"/>
      <c r="F92" s="846"/>
      <c r="G92" s="846"/>
      <c r="H92" s="824"/>
      <c r="J92" s="854"/>
      <c r="K92" s="854"/>
      <c r="L92" s="533"/>
      <c r="M92" s="869"/>
      <c r="O92" s="868"/>
      <c r="P92" s="869"/>
      <c r="Q92" s="868"/>
      <c r="R92" s="869"/>
      <c r="S92" s="868"/>
      <c r="T92" s="853"/>
      <c r="U92" s="870"/>
      <c r="V92" s="870"/>
      <c r="W92" s="853"/>
      <c r="X92" s="853"/>
      <c r="AT92" s="533"/>
      <c r="AU92" s="533"/>
      <c r="AV92" s="533"/>
      <c r="AW92" s="533"/>
    </row>
    <row r="93" spans="1:49" hidden="1" x14ac:dyDescent="0.15">
      <c r="A93" s="821"/>
      <c r="B93" s="877"/>
      <c r="C93" s="846"/>
      <c r="D93" s="846"/>
      <c r="E93" s="846"/>
      <c r="F93" s="846"/>
      <c r="G93" s="846"/>
      <c r="H93" s="824"/>
      <c r="J93" s="854"/>
      <c r="K93" s="854"/>
      <c r="L93" s="533"/>
      <c r="M93" s="869"/>
      <c r="O93" s="868"/>
      <c r="P93" s="869"/>
      <c r="Q93" s="868"/>
      <c r="R93" s="869"/>
      <c r="S93" s="868"/>
      <c r="T93" s="853"/>
      <c r="U93" s="870"/>
      <c r="V93" s="870"/>
      <c r="W93" s="853"/>
      <c r="X93" s="853"/>
      <c r="AT93" s="533"/>
      <c r="AU93" s="533"/>
      <c r="AV93" s="533"/>
      <c r="AW93" s="533"/>
    </row>
    <row r="94" spans="1:49" hidden="1" x14ac:dyDescent="0.15">
      <c r="A94" s="821"/>
      <c r="B94" s="877"/>
      <c r="C94" s="846"/>
      <c r="D94" s="846"/>
      <c r="E94" s="846"/>
      <c r="F94" s="846"/>
      <c r="G94" s="846"/>
      <c r="H94" s="824"/>
      <c r="J94" s="854"/>
      <c r="K94" s="854"/>
      <c r="L94" s="533"/>
      <c r="M94" s="869"/>
      <c r="O94" s="868"/>
      <c r="P94" s="869"/>
      <c r="Q94" s="868"/>
      <c r="R94" s="869"/>
      <c r="S94" s="868"/>
      <c r="T94" s="853"/>
      <c r="U94" s="870"/>
      <c r="V94" s="870"/>
      <c r="W94" s="853"/>
      <c r="X94" s="853"/>
      <c r="AT94" s="533"/>
      <c r="AU94" s="533"/>
      <c r="AV94" s="533"/>
      <c r="AW94" s="533"/>
    </row>
    <row r="95" spans="1:49" hidden="1" x14ac:dyDescent="0.15">
      <c r="A95" s="821"/>
      <c r="B95" s="877"/>
      <c r="C95" s="846"/>
      <c r="D95" s="846"/>
      <c r="E95" s="846"/>
      <c r="F95" s="846"/>
      <c r="G95" s="846"/>
      <c r="H95" s="824"/>
      <c r="J95" s="854"/>
      <c r="K95" s="854"/>
      <c r="L95" s="533"/>
      <c r="M95" s="869"/>
      <c r="O95" s="868"/>
      <c r="P95" s="869"/>
      <c r="Q95" s="868"/>
      <c r="R95" s="869"/>
      <c r="S95" s="868"/>
      <c r="T95" s="853"/>
      <c r="U95" s="870"/>
      <c r="V95" s="870"/>
      <c r="W95" s="853"/>
      <c r="X95" s="853"/>
      <c r="AT95" s="533"/>
      <c r="AU95" s="533"/>
      <c r="AV95" s="533"/>
      <c r="AW95" s="533"/>
    </row>
    <row r="96" spans="1:49" hidden="1" x14ac:dyDescent="0.15">
      <c r="A96" s="821"/>
      <c r="B96" s="872"/>
      <c r="C96" s="820"/>
      <c r="D96" s="493"/>
      <c r="J96" s="854"/>
      <c r="K96" s="854"/>
      <c r="L96" s="533"/>
      <c r="M96" s="869"/>
      <c r="O96" s="868"/>
      <c r="P96" s="869"/>
      <c r="Q96" s="868"/>
      <c r="R96" s="869"/>
      <c r="S96" s="868"/>
      <c r="T96" s="853"/>
      <c r="U96" s="870"/>
      <c r="V96" s="870"/>
      <c r="W96" s="853"/>
      <c r="X96" s="853"/>
      <c r="AT96" s="533"/>
      <c r="AU96" s="533"/>
      <c r="AV96" s="533"/>
      <c r="AW96" s="533"/>
    </row>
    <row r="97" spans="1:49" hidden="1" x14ac:dyDescent="0.15">
      <c r="A97" s="821"/>
      <c r="B97" s="872"/>
      <c r="C97" s="820"/>
      <c r="D97" s="493"/>
      <c r="J97" s="854"/>
      <c r="K97" s="854"/>
      <c r="L97" s="533"/>
      <c r="M97" s="869"/>
      <c r="O97" s="868"/>
      <c r="P97" s="869"/>
      <c r="Q97" s="868"/>
      <c r="R97" s="869"/>
      <c r="S97" s="868"/>
      <c r="T97" s="853"/>
      <c r="U97" s="870"/>
      <c r="V97" s="870"/>
      <c r="W97" s="853"/>
      <c r="X97" s="853"/>
      <c r="AT97" s="533"/>
      <c r="AU97" s="533"/>
      <c r="AV97" s="533"/>
      <c r="AW97" s="533"/>
    </row>
    <row r="98" spans="1:49" ht="20.100000000000001" hidden="1" customHeight="1" x14ac:dyDescent="0.15">
      <c r="A98" s="840"/>
      <c r="B98" s="840"/>
      <c r="C98" s="537"/>
      <c r="D98" s="537"/>
      <c r="E98" s="840"/>
      <c r="F98" s="841"/>
      <c r="G98" s="537"/>
      <c r="H98" s="841"/>
      <c r="I98" s="854"/>
      <c r="J98" s="537"/>
      <c r="K98" s="537"/>
      <c r="L98" s="841"/>
      <c r="P98" s="869"/>
      <c r="Q98" s="868"/>
      <c r="R98" s="869"/>
      <c r="S98" s="868"/>
      <c r="T98" s="853"/>
      <c r="U98" s="870"/>
      <c r="V98" s="870"/>
      <c r="W98" s="853"/>
      <c r="X98" s="853"/>
      <c r="AT98" s="533"/>
      <c r="AU98" s="533"/>
      <c r="AV98" s="533"/>
      <c r="AW98" s="533"/>
    </row>
    <row r="99" spans="1:49" ht="20.100000000000001" hidden="1" customHeight="1" x14ac:dyDescent="0.15">
      <c r="A99" s="862"/>
      <c r="C99" s="820"/>
      <c r="D99" s="546"/>
      <c r="E99" s="824"/>
      <c r="F99" s="871"/>
      <c r="G99" s="824"/>
      <c r="H99" s="824"/>
      <c r="I99" s="824"/>
      <c r="L99" s="533"/>
      <c r="M99" s="854"/>
      <c r="P99" s="869"/>
      <c r="Q99" s="868"/>
      <c r="R99" s="869"/>
      <c r="S99" s="868"/>
      <c r="T99" s="853"/>
      <c r="U99" s="870"/>
      <c r="V99" s="870"/>
      <c r="W99" s="853"/>
      <c r="X99" s="853"/>
      <c r="AT99" s="533"/>
      <c r="AU99" s="533"/>
      <c r="AV99" s="533"/>
      <c r="AW99" s="533"/>
    </row>
    <row r="100" spans="1:49" ht="20.100000000000001" hidden="1" customHeight="1" x14ac:dyDescent="0.15">
      <c r="A100" s="862"/>
      <c r="C100" s="820"/>
      <c r="D100" s="546"/>
      <c r="E100" s="824"/>
      <c r="F100" s="871"/>
      <c r="G100" s="824"/>
      <c r="H100" s="824"/>
      <c r="I100" s="824"/>
      <c r="L100" s="533"/>
      <c r="M100" s="854"/>
      <c r="P100" s="869"/>
      <c r="Q100" s="868"/>
      <c r="R100" s="869"/>
      <c r="S100" s="868"/>
      <c r="T100" s="853"/>
      <c r="U100" s="870"/>
      <c r="V100" s="870"/>
      <c r="W100" s="853"/>
      <c r="X100" s="853"/>
      <c r="AT100" s="533"/>
      <c r="AU100" s="533"/>
      <c r="AV100" s="533"/>
      <c r="AW100" s="533"/>
    </row>
    <row r="101" spans="1:49" ht="20.100000000000001" hidden="1" customHeight="1" x14ac:dyDescent="0.15">
      <c r="A101" s="862"/>
      <c r="C101" s="820"/>
      <c r="D101" s="546"/>
      <c r="E101" s="824"/>
      <c r="F101" s="871"/>
      <c r="G101" s="824"/>
      <c r="H101" s="824"/>
      <c r="I101" s="824"/>
      <c r="L101" s="533"/>
      <c r="M101" s="854"/>
      <c r="P101" s="869"/>
      <c r="Q101" s="868"/>
      <c r="R101" s="869"/>
      <c r="S101" s="868"/>
      <c r="T101" s="853"/>
      <c r="U101" s="870"/>
      <c r="V101" s="870"/>
      <c r="W101" s="853"/>
      <c r="X101" s="853"/>
      <c r="AT101" s="533"/>
      <c r="AU101" s="533"/>
      <c r="AV101" s="533"/>
      <c r="AW101" s="533"/>
    </row>
    <row r="102" spans="1:49" ht="20.100000000000001" hidden="1" customHeight="1" x14ac:dyDescent="0.15">
      <c r="A102" s="862"/>
      <c r="C102" s="820"/>
      <c r="D102" s="546"/>
      <c r="E102" s="824"/>
      <c r="F102" s="871"/>
      <c r="G102" s="824"/>
      <c r="H102" s="824"/>
      <c r="I102" s="824"/>
      <c r="L102" s="533"/>
      <c r="M102" s="854"/>
      <c r="P102" s="869"/>
      <c r="Q102" s="868"/>
      <c r="R102" s="869"/>
      <c r="S102" s="868"/>
      <c r="T102" s="853"/>
      <c r="U102" s="870"/>
      <c r="V102" s="870"/>
      <c r="W102" s="853"/>
      <c r="X102" s="853"/>
      <c r="AT102" s="533"/>
      <c r="AU102" s="533"/>
      <c r="AV102" s="533"/>
      <c r="AW102" s="533"/>
    </row>
    <row r="103" spans="1:49" ht="20.100000000000001" hidden="1" customHeight="1" x14ac:dyDescent="0.15">
      <c r="A103" s="862"/>
      <c r="C103" s="820"/>
      <c r="D103" s="546"/>
      <c r="E103" s="824"/>
      <c r="F103" s="871"/>
      <c r="G103" s="824"/>
      <c r="H103" s="824"/>
      <c r="I103" s="824"/>
      <c r="L103" s="533"/>
      <c r="M103" s="854"/>
      <c r="N103" s="833"/>
      <c r="O103" s="833"/>
      <c r="P103" s="869"/>
      <c r="Q103" s="868"/>
      <c r="R103" s="869"/>
      <c r="S103" s="868"/>
      <c r="T103" s="853"/>
      <c r="U103" s="870"/>
      <c r="V103" s="870"/>
      <c r="W103" s="853"/>
      <c r="X103" s="853"/>
      <c r="AT103" s="533"/>
      <c r="AU103" s="533"/>
      <c r="AV103" s="533"/>
      <c r="AW103" s="533"/>
    </row>
    <row r="104" spans="1:49" ht="20.100000000000001" hidden="1" customHeight="1" x14ac:dyDescent="0.15">
      <c r="A104" s="862"/>
      <c r="C104" s="820"/>
      <c r="D104" s="546"/>
      <c r="E104" s="824"/>
      <c r="F104" s="871"/>
      <c r="G104" s="824"/>
      <c r="H104" s="824"/>
      <c r="I104" s="824"/>
      <c r="L104" s="533"/>
      <c r="M104" s="854"/>
      <c r="N104" s="833"/>
      <c r="O104" s="833"/>
      <c r="P104" s="869"/>
      <c r="Q104" s="868"/>
      <c r="R104" s="869"/>
      <c r="S104" s="868"/>
      <c r="T104" s="853"/>
      <c r="U104" s="870"/>
      <c r="V104" s="870"/>
      <c r="W104" s="853"/>
      <c r="X104" s="853"/>
      <c r="AT104" s="533"/>
      <c r="AU104" s="533"/>
      <c r="AV104" s="533"/>
      <c r="AW104" s="533"/>
    </row>
    <row r="105" spans="1:49" ht="20.100000000000001" hidden="1" customHeight="1" x14ac:dyDescent="0.15">
      <c r="A105" s="862"/>
      <c r="C105" s="820"/>
      <c r="D105" s="546"/>
      <c r="E105" s="824"/>
      <c r="F105" s="871"/>
      <c r="G105" s="824"/>
      <c r="H105" s="824"/>
      <c r="I105" s="824"/>
      <c r="L105" s="533"/>
      <c r="M105" s="854"/>
      <c r="N105" s="833"/>
      <c r="O105" s="833"/>
      <c r="P105" s="869"/>
      <c r="Q105" s="868"/>
      <c r="R105" s="869"/>
      <c r="S105" s="868"/>
      <c r="T105" s="853"/>
      <c r="U105" s="870"/>
      <c r="V105" s="870"/>
      <c r="W105" s="853"/>
      <c r="X105" s="853"/>
      <c r="AT105" s="533"/>
      <c r="AU105" s="533"/>
      <c r="AV105" s="533"/>
      <c r="AW105" s="533"/>
    </row>
    <row r="106" spans="1:49" ht="20.100000000000001" hidden="1" customHeight="1" x14ac:dyDescent="0.15">
      <c r="A106" s="862"/>
      <c r="C106" s="820"/>
      <c r="D106" s="546"/>
      <c r="E106" s="824"/>
      <c r="F106" s="871"/>
      <c r="G106" s="824"/>
      <c r="H106" s="824"/>
      <c r="I106" s="824"/>
      <c r="L106" s="533"/>
      <c r="M106" s="854"/>
      <c r="N106" s="833"/>
      <c r="O106" s="833"/>
      <c r="P106" s="869"/>
      <c r="Q106" s="868"/>
      <c r="R106" s="869"/>
      <c r="S106" s="868"/>
      <c r="T106" s="853"/>
      <c r="U106" s="870"/>
      <c r="V106" s="870"/>
      <c r="W106" s="853"/>
      <c r="X106" s="853"/>
      <c r="AT106" s="533"/>
      <c r="AU106" s="533"/>
      <c r="AV106" s="533"/>
      <c r="AW106" s="533"/>
    </row>
    <row r="107" spans="1:49" ht="20.100000000000001" hidden="1" customHeight="1" x14ac:dyDescent="0.15">
      <c r="A107" s="862"/>
      <c r="C107" s="820"/>
      <c r="D107" s="820"/>
      <c r="E107" s="824"/>
      <c r="F107" s="871"/>
      <c r="G107" s="824"/>
      <c r="H107" s="824"/>
      <c r="I107" s="824"/>
      <c r="L107" s="533"/>
      <c r="M107" s="854"/>
      <c r="N107" s="833"/>
      <c r="O107" s="833"/>
      <c r="P107" s="869"/>
      <c r="Q107" s="868"/>
      <c r="R107" s="869"/>
      <c r="S107" s="868"/>
      <c r="T107" s="853"/>
      <c r="U107" s="870"/>
      <c r="V107" s="870"/>
      <c r="W107" s="853"/>
      <c r="X107" s="853"/>
      <c r="AT107" s="533"/>
      <c r="AU107" s="533"/>
      <c r="AV107" s="533"/>
      <c r="AW107" s="533"/>
    </row>
    <row r="108" spans="1:49" ht="20.100000000000001" hidden="1" customHeight="1" x14ac:dyDescent="0.15">
      <c r="A108" s="862"/>
      <c r="C108" s="820"/>
      <c r="D108" s="820"/>
      <c r="E108" s="824"/>
      <c r="F108" s="871"/>
      <c r="G108" s="824"/>
      <c r="H108" s="824"/>
      <c r="I108" s="824"/>
      <c r="L108" s="533"/>
      <c r="M108" s="854"/>
      <c r="N108" s="833"/>
      <c r="O108" s="833"/>
      <c r="P108" s="869"/>
      <c r="Q108" s="868"/>
      <c r="R108" s="869"/>
      <c r="S108" s="868"/>
      <c r="T108" s="853"/>
      <c r="U108" s="870"/>
      <c r="V108" s="870"/>
      <c r="W108" s="853"/>
      <c r="X108" s="853"/>
      <c r="AT108" s="533"/>
      <c r="AU108" s="533"/>
      <c r="AV108" s="533"/>
      <c r="AW108" s="533"/>
    </row>
    <row r="109" spans="1:49" ht="20.100000000000001" hidden="1" customHeight="1" x14ac:dyDescent="0.15">
      <c r="A109" s="862"/>
      <c r="C109" s="820"/>
      <c r="D109" s="546"/>
      <c r="E109" s="824"/>
      <c r="F109" s="871"/>
      <c r="G109" s="871"/>
      <c r="H109" s="824"/>
      <c r="I109" s="824"/>
      <c r="L109" s="533"/>
      <c r="M109" s="854"/>
      <c r="N109" s="833"/>
      <c r="O109" s="833"/>
      <c r="P109" s="869"/>
      <c r="Q109" s="868"/>
      <c r="R109" s="869"/>
      <c r="S109" s="868"/>
      <c r="T109" s="853"/>
      <c r="U109" s="870"/>
      <c r="V109" s="870"/>
      <c r="W109" s="853"/>
      <c r="X109" s="853"/>
      <c r="AT109" s="533"/>
      <c r="AU109" s="533"/>
      <c r="AV109" s="533"/>
      <c r="AW109" s="533"/>
    </row>
    <row r="110" spans="1:49" ht="20.100000000000001" hidden="1" customHeight="1" x14ac:dyDescent="0.15">
      <c r="A110" s="862"/>
      <c r="B110" s="533"/>
      <c r="C110" s="820"/>
      <c r="D110" s="546"/>
      <c r="E110" s="824"/>
      <c r="F110" s="871"/>
      <c r="G110" s="824"/>
      <c r="H110" s="824"/>
      <c r="I110" s="824"/>
      <c r="L110" s="533"/>
      <c r="M110" s="854"/>
      <c r="N110" s="833"/>
      <c r="O110" s="833"/>
      <c r="P110" s="869"/>
      <c r="Q110" s="868"/>
      <c r="R110" s="869"/>
      <c r="S110" s="868"/>
      <c r="T110" s="853"/>
      <c r="U110" s="870"/>
      <c r="V110" s="870"/>
      <c r="W110" s="853"/>
      <c r="X110" s="853"/>
      <c r="AT110" s="533"/>
      <c r="AU110" s="533"/>
      <c r="AV110" s="533"/>
      <c r="AW110" s="533"/>
    </row>
    <row r="111" spans="1:49" ht="20.100000000000001" hidden="1" customHeight="1" x14ac:dyDescent="0.15">
      <c r="A111" s="862"/>
      <c r="B111" s="533"/>
      <c r="C111" s="820"/>
      <c r="D111" s="546"/>
      <c r="E111" s="824"/>
      <c r="F111" s="871"/>
      <c r="G111" s="824"/>
      <c r="H111" s="824"/>
      <c r="I111" s="824"/>
      <c r="L111" s="533"/>
      <c r="M111" s="854"/>
      <c r="N111" s="833"/>
      <c r="O111" s="833"/>
      <c r="P111" s="869"/>
      <c r="Q111" s="868"/>
      <c r="R111" s="869"/>
      <c r="S111" s="868"/>
      <c r="T111" s="853"/>
      <c r="U111" s="870"/>
      <c r="V111" s="870"/>
      <c r="W111" s="853"/>
      <c r="X111" s="853"/>
      <c r="AT111" s="533"/>
      <c r="AU111" s="533"/>
      <c r="AV111" s="533"/>
      <c r="AW111" s="533"/>
    </row>
    <row r="112" spans="1:49" ht="20.100000000000001" hidden="1" customHeight="1" x14ac:dyDescent="0.15">
      <c r="A112" s="862"/>
      <c r="C112" s="820"/>
      <c r="D112" s="546"/>
      <c r="E112" s="824"/>
      <c r="F112" s="871"/>
      <c r="G112" s="824"/>
      <c r="H112" s="824"/>
      <c r="I112" s="824"/>
      <c r="L112" s="533"/>
      <c r="M112" s="854"/>
      <c r="N112" s="833"/>
      <c r="O112" s="833"/>
      <c r="P112" s="869"/>
      <c r="Q112" s="868"/>
      <c r="R112" s="869"/>
      <c r="S112" s="868"/>
      <c r="T112" s="853"/>
      <c r="U112" s="870"/>
      <c r="V112" s="870"/>
      <c r="W112" s="853"/>
      <c r="X112" s="853"/>
      <c r="AT112" s="533"/>
      <c r="AU112" s="533"/>
      <c r="AV112" s="533"/>
      <c r="AW112" s="533"/>
    </row>
    <row r="113" spans="1:60" ht="20.100000000000001" hidden="1" customHeight="1" x14ac:dyDescent="0.15">
      <c r="A113" s="862"/>
      <c r="C113" s="820"/>
      <c r="D113" s="546"/>
      <c r="E113" s="824"/>
      <c r="F113" s="871"/>
      <c r="G113" s="824"/>
      <c r="H113" s="824"/>
      <c r="I113" s="824"/>
      <c r="L113" s="533"/>
      <c r="M113" s="854"/>
      <c r="P113" s="869"/>
      <c r="Q113" s="868"/>
      <c r="R113" s="869"/>
      <c r="S113" s="868"/>
      <c r="T113" s="853"/>
      <c r="U113" s="870"/>
      <c r="V113" s="870"/>
      <c r="W113" s="853"/>
      <c r="X113" s="853"/>
      <c r="AT113" s="533"/>
      <c r="AU113" s="533"/>
      <c r="AV113" s="533"/>
      <c r="AW113" s="533"/>
    </row>
    <row r="114" spans="1:60" ht="20.100000000000001" hidden="1" customHeight="1" x14ac:dyDescent="0.15">
      <c r="A114" s="862"/>
      <c r="B114" s="533"/>
      <c r="C114" s="867"/>
      <c r="D114" s="546"/>
      <c r="E114" s="824"/>
      <c r="F114" s="871"/>
      <c r="G114" s="824"/>
      <c r="H114" s="824"/>
      <c r="I114" s="824"/>
      <c r="L114" s="533"/>
      <c r="M114" s="897"/>
      <c r="P114" s="869"/>
      <c r="Q114" s="868"/>
      <c r="R114" s="869"/>
      <c r="S114" s="868"/>
      <c r="T114" s="853"/>
      <c r="U114" s="870"/>
      <c r="V114" s="870"/>
      <c r="W114" s="853"/>
      <c r="X114" s="853"/>
      <c r="AT114" s="533"/>
      <c r="AU114" s="533"/>
      <c r="AV114" s="533"/>
      <c r="AW114" s="533"/>
    </row>
    <row r="115" spans="1:60" hidden="1" x14ac:dyDescent="0.15">
      <c r="A115" s="821"/>
      <c r="B115" s="872"/>
      <c r="C115" s="820"/>
      <c r="D115" s="493"/>
      <c r="J115" s="854"/>
      <c r="K115" s="854"/>
      <c r="L115" s="533"/>
      <c r="M115" s="869"/>
      <c r="O115" s="868"/>
      <c r="P115" s="869"/>
      <c r="Q115" s="868"/>
      <c r="R115" s="869"/>
      <c r="S115" s="868"/>
      <c r="T115" s="853"/>
      <c r="U115" s="870"/>
      <c r="V115" s="870"/>
      <c r="W115" s="853"/>
      <c r="X115" s="853"/>
      <c r="AT115" s="533"/>
      <c r="AU115" s="533"/>
      <c r="AV115" s="533"/>
      <c r="AW115" s="533"/>
    </row>
    <row r="116" spans="1:60" ht="15.95" hidden="1" customHeight="1" x14ac:dyDescent="0.15">
      <c r="C116" s="820"/>
      <c r="D116" s="820"/>
      <c r="J116" s="554"/>
      <c r="K116" s="554"/>
      <c r="AV116" s="533"/>
      <c r="AW116" s="533"/>
      <c r="AX116" s="841"/>
      <c r="AY116" s="434"/>
      <c r="AZ116" s="434"/>
      <c r="BA116" s="434"/>
      <c r="BB116" s="434"/>
      <c r="BC116" s="841"/>
      <c r="BD116" s="841"/>
      <c r="BE116" s="826"/>
      <c r="BF116" s="826"/>
      <c r="BG116" s="826"/>
      <c r="BH116" s="826"/>
    </row>
    <row r="117" spans="1:60" ht="15.95" hidden="1" customHeight="1" x14ac:dyDescent="0.15">
      <c r="C117" s="537"/>
      <c r="D117" s="854"/>
      <c r="E117" s="822"/>
      <c r="F117" s="822"/>
      <c r="J117" s="554"/>
      <c r="K117" s="554"/>
      <c r="AV117" s="533"/>
      <c r="AW117" s="533"/>
      <c r="AX117" s="841"/>
      <c r="AY117" s="434"/>
      <c r="AZ117" s="434"/>
      <c r="BA117" s="434"/>
      <c r="BB117" s="434"/>
      <c r="BC117" s="841"/>
      <c r="BD117" s="841"/>
      <c r="BE117" s="826"/>
      <c r="BF117" s="826"/>
      <c r="BG117" s="826"/>
      <c r="BH117" s="826"/>
    </row>
    <row r="118" spans="1:60" ht="15.95" hidden="1" customHeight="1" x14ac:dyDescent="0.15">
      <c r="C118" s="820"/>
      <c r="D118" s="820"/>
      <c r="J118" s="554"/>
      <c r="K118" s="554"/>
      <c r="Z118" s="820"/>
      <c r="AA118" s="820"/>
      <c r="AB118" s="820"/>
      <c r="AV118" s="533"/>
      <c r="AW118" s="533"/>
      <c r="AX118" s="841"/>
      <c r="AY118" s="898"/>
      <c r="AZ118" s="434"/>
      <c r="BA118" s="434"/>
      <c r="BB118" s="434"/>
      <c r="BC118" s="434"/>
      <c r="BD118" s="434"/>
      <c r="BE118" s="841"/>
      <c r="BF118" s="841"/>
      <c r="BG118" s="841"/>
      <c r="BH118" s="899"/>
    </row>
    <row r="119" spans="1:60" ht="15.95" hidden="1" customHeight="1" x14ac:dyDescent="0.15">
      <c r="C119" s="820"/>
      <c r="D119" s="820"/>
      <c r="J119" s="554"/>
      <c r="K119" s="554"/>
      <c r="AV119" s="533"/>
      <c r="AW119" s="533"/>
      <c r="AY119" s="879"/>
      <c r="AZ119" s="879"/>
      <c r="BA119" s="879"/>
      <c r="BB119" s="879"/>
      <c r="BC119" s="879"/>
      <c r="BD119" s="879"/>
      <c r="BE119" s="880"/>
      <c r="BF119" s="817"/>
      <c r="BG119" s="818"/>
      <c r="BH119" s="818"/>
    </row>
    <row r="120" spans="1:60" ht="15.95" hidden="1" customHeight="1" x14ac:dyDescent="0.15">
      <c r="C120" s="820"/>
      <c r="D120" s="820"/>
      <c r="J120" s="554"/>
      <c r="K120" s="554"/>
      <c r="AV120" s="533"/>
      <c r="AW120" s="533"/>
      <c r="AY120" s="879"/>
      <c r="AZ120" s="879"/>
      <c r="BA120" s="879"/>
      <c r="BB120" s="879"/>
      <c r="BC120" s="879"/>
      <c r="BD120" s="879"/>
      <c r="BE120" s="880"/>
      <c r="BF120" s="817"/>
      <c r="BG120" s="818"/>
      <c r="BH120" s="818"/>
    </row>
    <row r="121" spans="1:60" ht="15.95" hidden="1" customHeight="1" x14ac:dyDescent="0.15">
      <c r="C121" s="820"/>
      <c r="D121" s="820"/>
      <c r="J121" s="554"/>
      <c r="K121" s="554"/>
      <c r="AV121" s="533"/>
      <c r="AW121" s="533"/>
      <c r="AY121" s="879"/>
      <c r="AZ121" s="879"/>
      <c r="BA121" s="879"/>
      <c r="BB121" s="879"/>
      <c r="BC121" s="879"/>
      <c r="BD121" s="879"/>
      <c r="BE121" s="880"/>
      <c r="BF121" s="817"/>
      <c r="BG121" s="818"/>
      <c r="BH121" s="818"/>
    </row>
    <row r="122" spans="1:60" ht="15.95" hidden="1" customHeight="1" x14ac:dyDescent="0.15">
      <c r="C122" s="820"/>
      <c r="D122" s="820"/>
      <c r="J122" s="554"/>
      <c r="K122" s="554"/>
      <c r="AV122" s="533"/>
      <c r="AW122" s="533"/>
      <c r="AY122" s="879"/>
      <c r="AZ122" s="879"/>
      <c r="BA122" s="879"/>
      <c r="BB122" s="879"/>
      <c r="BC122" s="879"/>
      <c r="BD122" s="879"/>
      <c r="BE122" s="880"/>
      <c r="BF122" s="817"/>
      <c r="BG122" s="818"/>
      <c r="BH122" s="818"/>
    </row>
    <row r="123" spans="1:60" ht="15.95" hidden="1" customHeight="1" x14ac:dyDescent="0.15">
      <c r="C123" s="820"/>
      <c r="D123" s="820"/>
      <c r="J123" s="554"/>
      <c r="K123" s="554"/>
      <c r="AV123" s="533"/>
      <c r="AW123" s="533"/>
      <c r="AY123" s="879"/>
      <c r="AZ123" s="879"/>
      <c r="BA123" s="879"/>
      <c r="BB123" s="879"/>
      <c r="BC123" s="879"/>
      <c r="BD123" s="879"/>
      <c r="BE123" s="880"/>
      <c r="BF123" s="817"/>
      <c r="BG123" s="818"/>
      <c r="BH123" s="818"/>
    </row>
    <row r="124" spans="1:60" ht="15.95" hidden="1" customHeight="1" x14ac:dyDescent="0.15">
      <c r="B124" s="533"/>
      <c r="C124" s="820"/>
      <c r="D124" s="820"/>
      <c r="J124" s="554"/>
      <c r="K124" s="554"/>
      <c r="AV124" s="533"/>
      <c r="AW124" s="533"/>
      <c r="AY124" s="879"/>
      <c r="AZ124" s="879"/>
      <c r="BA124" s="879"/>
      <c r="BB124" s="879"/>
      <c r="BC124" s="879"/>
      <c r="BD124" s="879"/>
      <c r="BE124" s="880"/>
      <c r="BF124" s="817"/>
      <c r="BG124" s="818"/>
      <c r="BH124" s="818"/>
    </row>
    <row r="125" spans="1:60" ht="15.95" hidden="1" customHeight="1" x14ac:dyDescent="0.15">
      <c r="B125" s="533"/>
      <c r="C125" s="820"/>
      <c r="D125" s="820"/>
      <c r="J125" s="554"/>
      <c r="K125" s="554"/>
      <c r="AV125" s="533"/>
      <c r="AW125" s="533"/>
      <c r="AY125" s="879"/>
      <c r="AZ125" s="879"/>
      <c r="BA125" s="879"/>
      <c r="BB125" s="879"/>
      <c r="BC125" s="879"/>
      <c r="BD125" s="879"/>
      <c r="BE125" s="880"/>
      <c r="BF125" s="817"/>
      <c r="BG125" s="818"/>
      <c r="BH125" s="818"/>
    </row>
    <row r="126" spans="1:60" ht="15.95" hidden="1" customHeight="1" x14ac:dyDescent="0.15">
      <c r="B126" s="533"/>
      <c r="C126" s="820"/>
      <c r="D126" s="820"/>
      <c r="J126" s="554"/>
      <c r="K126" s="554"/>
      <c r="AV126" s="533"/>
      <c r="AW126" s="533"/>
      <c r="AY126" s="879"/>
      <c r="AZ126" s="879"/>
      <c r="BA126" s="879"/>
      <c r="BB126" s="879"/>
      <c r="BC126" s="879"/>
      <c r="BD126" s="879"/>
      <c r="BE126" s="880"/>
      <c r="BF126" s="817"/>
      <c r="BG126" s="818"/>
      <c r="BH126" s="818"/>
    </row>
    <row r="127" spans="1:60" ht="15.95" hidden="1" customHeight="1" x14ac:dyDescent="0.15">
      <c r="B127" s="830"/>
      <c r="C127" s="820"/>
      <c r="D127" s="820"/>
      <c r="J127" s="554"/>
      <c r="K127" s="554"/>
      <c r="AV127" s="533"/>
      <c r="AW127" s="533"/>
      <c r="AY127" s="879"/>
      <c r="AZ127" s="879"/>
      <c r="BA127" s="879"/>
      <c r="BB127" s="879"/>
      <c r="BC127" s="879"/>
      <c r="BD127" s="879"/>
      <c r="BE127" s="880"/>
      <c r="BF127" s="817"/>
      <c r="BG127" s="818"/>
      <c r="BH127" s="818"/>
    </row>
    <row r="128" spans="1:60" hidden="1" x14ac:dyDescent="0.15">
      <c r="B128" s="830"/>
      <c r="C128" s="820"/>
      <c r="D128" s="820"/>
      <c r="J128" s="554"/>
      <c r="K128" s="554"/>
      <c r="AV128" s="533"/>
      <c r="AW128" s="533"/>
      <c r="AY128" s="879"/>
      <c r="AZ128" s="879"/>
      <c r="BA128" s="879"/>
      <c r="BB128" s="879"/>
      <c r="BC128" s="879"/>
      <c r="BD128" s="879"/>
      <c r="BE128" s="880"/>
      <c r="BF128" s="817"/>
      <c r="BG128" s="818"/>
      <c r="BH128" s="818"/>
    </row>
    <row r="129" spans="2:60" hidden="1" x14ac:dyDescent="0.15">
      <c r="B129" s="841"/>
      <c r="C129" s="841"/>
      <c r="D129" s="841"/>
      <c r="E129" s="841"/>
      <c r="H129" s="869"/>
      <c r="I129" s="868"/>
      <c r="J129" s="868"/>
      <c r="K129" s="868"/>
      <c r="L129" s="873"/>
      <c r="AV129" s="533"/>
      <c r="AW129" s="533"/>
      <c r="AY129" s="879"/>
      <c r="AZ129" s="879"/>
      <c r="BA129" s="879"/>
      <c r="BB129" s="879"/>
      <c r="BC129" s="879"/>
      <c r="BD129" s="879"/>
      <c r="BE129" s="880"/>
      <c r="BF129" s="817"/>
      <c r="BG129" s="818"/>
      <c r="BH129" s="818"/>
    </row>
    <row r="130" spans="2:60" hidden="1" x14ac:dyDescent="0.15">
      <c r="B130" s="537"/>
      <c r="C130" s="820"/>
      <c r="D130" s="820"/>
      <c r="E130" s="874"/>
      <c r="G130" s="869"/>
      <c r="I130" s="868"/>
      <c r="J130" s="868"/>
      <c r="K130" s="868"/>
      <c r="L130" s="873"/>
      <c r="T130" s="533"/>
      <c r="U130" s="533"/>
      <c r="V130" s="533"/>
      <c r="W130" s="533"/>
      <c r="X130" s="533"/>
      <c r="AV130" s="533"/>
      <c r="AW130" s="533"/>
      <c r="AY130" s="879"/>
      <c r="AZ130" s="879"/>
      <c r="BA130" s="879"/>
      <c r="BB130" s="879"/>
      <c r="BC130" s="879"/>
      <c r="BD130" s="879"/>
      <c r="BE130" s="880"/>
      <c r="BF130" s="817"/>
      <c r="BG130" s="818"/>
      <c r="BH130" s="818"/>
    </row>
    <row r="131" spans="2:60" hidden="1" x14ac:dyDescent="0.15">
      <c r="B131" s="537"/>
      <c r="C131" s="820"/>
      <c r="D131" s="867"/>
      <c r="E131" s="875"/>
      <c r="F131" s="862"/>
      <c r="G131" s="869"/>
      <c r="I131" s="868"/>
      <c r="J131" s="537"/>
      <c r="K131" s="537"/>
      <c r="T131" s="533"/>
      <c r="U131" s="533"/>
      <c r="V131" s="533"/>
      <c r="W131" s="533"/>
      <c r="X131" s="533"/>
      <c r="AV131" s="533"/>
      <c r="AW131" s="533"/>
      <c r="AY131" s="879"/>
      <c r="AZ131" s="879"/>
      <c r="BA131" s="879"/>
      <c r="BB131" s="879"/>
      <c r="BC131" s="879"/>
      <c r="BD131" s="879"/>
      <c r="BE131" s="880"/>
      <c r="BF131" s="817"/>
      <c r="BG131" s="818"/>
      <c r="BH131" s="818"/>
    </row>
    <row r="132" spans="2:60" hidden="1" x14ac:dyDescent="0.15">
      <c r="B132" s="537"/>
      <c r="C132" s="820"/>
      <c r="D132" s="867"/>
      <c r="E132" s="868"/>
      <c r="F132" s="862"/>
      <c r="G132" s="869"/>
      <c r="I132" s="868"/>
      <c r="J132" s="851"/>
      <c r="K132" s="851"/>
      <c r="L132" s="873"/>
      <c r="T132" s="533"/>
      <c r="U132" s="533"/>
      <c r="V132" s="533"/>
      <c r="W132" s="533"/>
      <c r="X132" s="533"/>
      <c r="AV132" s="533"/>
      <c r="AW132" s="533"/>
      <c r="AY132" s="879"/>
      <c r="AZ132" s="879"/>
      <c r="BA132" s="879"/>
      <c r="BB132" s="879"/>
      <c r="BC132" s="879"/>
      <c r="BD132" s="879"/>
      <c r="BE132" s="880"/>
      <c r="BF132" s="817"/>
      <c r="BG132" s="818"/>
      <c r="BH132" s="818"/>
    </row>
    <row r="133" spans="2:60" hidden="1" x14ac:dyDescent="0.15">
      <c r="B133" s="840"/>
      <c r="C133" s="867"/>
      <c r="D133" s="867"/>
      <c r="E133" s="874"/>
      <c r="G133" s="869"/>
      <c r="H133" s="867"/>
      <c r="I133" s="868"/>
      <c r="J133" s="868"/>
      <c r="K133" s="868"/>
      <c r="L133" s="873"/>
      <c r="T133" s="533"/>
      <c r="U133" s="533"/>
      <c r="V133" s="533"/>
      <c r="W133" s="533"/>
      <c r="X133" s="533"/>
      <c r="AT133" s="533"/>
      <c r="AU133" s="533"/>
      <c r="AV133" s="533"/>
      <c r="AW133" s="533"/>
      <c r="AY133" s="879"/>
      <c r="AZ133" s="879"/>
      <c r="BA133" s="879"/>
      <c r="BB133" s="879"/>
      <c r="BC133" s="879"/>
      <c r="BD133" s="879"/>
      <c r="BE133" s="880"/>
      <c r="BF133" s="817"/>
      <c r="BG133" s="818"/>
      <c r="BH133" s="818"/>
    </row>
    <row r="134" spans="2:60" hidden="1" x14ac:dyDescent="0.15">
      <c r="B134" s="834"/>
      <c r="C134" s="533"/>
      <c r="D134" s="867"/>
      <c r="E134" s="874"/>
      <c r="G134" s="869"/>
      <c r="I134" s="868"/>
      <c r="J134" s="868"/>
      <c r="K134" s="868"/>
      <c r="L134" s="873"/>
      <c r="T134" s="533"/>
      <c r="U134" s="533"/>
      <c r="V134" s="533"/>
      <c r="W134" s="533"/>
      <c r="X134" s="533"/>
      <c r="AT134" s="533"/>
      <c r="AU134" s="533"/>
      <c r="AV134" s="533"/>
      <c r="AW134" s="533"/>
      <c r="AY134" s="879"/>
      <c r="AZ134" s="879"/>
      <c r="BA134" s="879"/>
      <c r="BB134" s="879"/>
      <c r="BC134" s="879"/>
      <c r="BD134" s="879"/>
      <c r="BE134" s="880"/>
      <c r="BF134" s="817"/>
      <c r="BG134" s="818"/>
      <c r="BH134" s="818"/>
    </row>
    <row r="135" spans="2:60" hidden="1" x14ac:dyDescent="0.15">
      <c r="B135" s="834"/>
      <c r="C135" s="533"/>
      <c r="E135" s="876"/>
      <c r="J135" s="862"/>
      <c r="K135" s="862"/>
      <c r="L135" s="533"/>
      <c r="T135" s="533"/>
      <c r="U135" s="533"/>
      <c r="V135" s="533"/>
      <c r="W135" s="533"/>
      <c r="X135" s="533"/>
      <c r="AT135" s="533"/>
      <c r="AU135" s="533"/>
      <c r="AV135" s="533"/>
      <c r="AW135" s="533"/>
      <c r="AY135" s="879"/>
      <c r="AZ135" s="879"/>
      <c r="BA135" s="879"/>
      <c r="BB135" s="879"/>
      <c r="BC135" s="879"/>
      <c r="BD135" s="879"/>
      <c r="BE135" s="880"/>
      <c r="BF135" s="817"/>
      <c r="BG135" s="818"/>
      <c r="BH135" s="818"/>
    </row>
    <row r="136" spans="2:60" hidden="1" x14ac:dyDescent="0.15">
      <c r="B136" s="828"/>
      <c r="C136" s="877"/>
      <c r="J136" s="862"/>
      <c r="K136" s="862"/>
      <c r="L136" s="533"/>
      <c r="T136" s="533"/>
      <c r="U136" s="533"/>
      <c r="V136" s="533"/>
      <c r="W136" s="533"/>
      <c r="X136" s="533"/>
      <c r="AT136" s="533"/>
      <c r="AU136" s="533"/>
      <c r="AV136" s="533"/>
      <c r="AW136" s="533"/>
      <c r="AY136" s="879"/>
      <c r="AZ136" s="879"/>
      <c r="BA136" s="879"/>
      <c r="BB136" s="879"/>
      <c r="BC136" s="879"/>
      <c r="BD136" s="879"/>
      <c r="BE136" s="880"/>
      <c r="BF136" s="817"/>
      <c r="BG136" s="818"/>
      <c r="BH136" s="818"/>
    </row>
    <row r="137" spans="2:60" hidden="1" x14ac:dyDescent="0.15">
      <c r="C137" s="877"/>
      <c r="J137" s="862"/>
      <c r="K137" s="862"/>
      <c r="L137" s="533"/>
      <c r="T137" s="533"/>
      <c r="U137" s="533"/>
      <c r="V137" s="533"/>
      <c r="W137" s="533"/>
      <c r="X137" s="533"/>
      <c r="AT137" s="533"/>
      <c r="AU137" s="533"/>
      <c r="AV137" s="533"/>
      <c r="AW137" s="533"/>
      <c r="AY137" s="879"/>
      <c r="AZ137" s="879"/>
      <c r="BA137" s="879"/>
      <c r="BB137" s="879"/>
      <c r="BC137" s="879"/>
      <c r="BD137" s="879"/>
      <c r="BE137" s="880"/>
      <c r="BF137" s="817"/>
      <c r="BG137" s="818"/>
      <c r="BH137" s="818"/>
    </row>
    <row r="138" spans="2:60" hidden="1" x14ac:dyDescent="0.15">
      <c r="B138" s="841"/>
      <c r="C138" s="841"/>
      <c r="D138" s="841"/>
      <c r="E138" s="841"/>
      <c r="F138" s="841"/>
      <c r="G138" s="841"/>
      <c r="H138" s="841"/>
      <c r="I138" s="841"/>
      <c r="J138" s="841"/>
      <c r="K138" s="841"/>
      <c r="L138" s="841"/>
      <c r="M138" s="841"/>
      <c r="N138" s="841"/>
      <c r="O138" s="841"/>
      <c r="P138" s="533"/>
      <c r="Q138" s="533"/>
      <c r="R138" s="533"/>
      <c r="S138" s="533"/>
      <c r="T138" s="533"/>
      <c r="U138" s="533"/>
      <c r="V138" s="533"/>
      <c r="W138" s="533"/>
      <c r="X138" s="533"/>
      <c r="AT138" s="533"/>
      <c r="AU138" s="533"/>
      <c r="AV138" s="533"/>
      <c r="AW138" s="533"/>
      <c r="AY138" s="879"/>
      <c r="AZ138" s="879"/>
      <c r="BA138" s="879"/>
      <c r="BB138" s="879"/>
      <c r="BC138" s="879"/>
      <c r="BD138" s="879"/>
      <c r="BE138" s="880"/>
      <c r="BF138" s="817"/>
      <c r="BG138" s="818"/>
      <c r="BH138" s="818"/>
    </row>
    <row r="139" spans="2:60" hidden="1" x14ac:dyDescent="0.15">
      <c r="J139" s="862"/>
      <c r="K139" s="862"/>
      <c r="L139" s="533"/>
      <c r="M139" s="533"/>
      <c r="N139" s="533"/>
      <c r="O139" s="533"/>
      <c r="P139" s="533"/>
      <c r="Q139" s="533"/>
      <c r="R139" s="533"/>
      <c r="S139" s="533"/>
      <c r="T139" s="533"/>
      <c r="U139" s="533"/>
      <c r="V139" s="533"/>
      <c r="W139" s="533"/>
      <c r="X139" s="533"/>
      <c r="AT139" s="533"/>
      <c r="AU139" s="533"/>
      <c r="AV139" s="533"/>
      <c r="AW139" s="533"/>
      <c r="AY139" s="879"/>
      <c r="AZ139" s="879"/>
      <c r="BA139" s="879"/>
      <c r="BB139" s="879"/>
      <c r="BC139" s="879"/>
      <c r="BD139" s="879"/>
      <c r="BE139" s="880"/>
      <c r="BF139" s="817"/>
      <c r="BG139" s="818"/>
      <c r="BH139" s="818"/>
    </row>
    <row r="140" spans="2:60" hidden="1" x14ac:dyDescent="0.15">
      <c r="D140" s="862"/>
      <c r="E140" s="533"/>
      <c r="M140" s="533"/>
      <c r="N140" s="533"/>
      <c r="O140" s="533"/>
      <c r="P140" s="533"/>
      <c r="Q140" s="533"/>
      <c r="R140" s="533"/>
      <c r="S140" s="533"/>
      <c r="T140" s="533"/>
      <c r="U140" s="533"/>
      <c r="V140" s="533"/>
      <c r="W140" s="533"/>
      <c r="X140" s="533"/>
      <c r="AT140" s="533"/>
      <c r="AU140" s="533"/>
      <c r="AV140" s="533"/>
      <c r="AW140" s="533"/>
      <c r="AY140" s="879"/>
      <c r="AZ140" s="879"/>
      <c r="BA140" s="879"/>
      <c r="BB140" s="879"/>
      <c r="BC140" s="879"/>
      <c r="BD140" s="879"/>
      <c r="BE140" s="880"/>
      <c r="BF140" s="817"/>
      <c r="BG140" s="818"/>
      <c r="BH140" s="818"/>
    </row>
    <row r="141" spans="2:60" hidden="1" x14ac:dyDescent="0.15">
      <c r="B141" s="900"/>
      <c r="M141" s="533"/>
      <c r="N141" s="533"/>
      <c r="O141" s="533"/>
      <c r="P141" s="533"/>
      <c r="Q141" s="533"/>
      <c r="R141" s="533"/>
      <c r="S141" s="533"/>
      <c r="T141" s="533"/>
      <c r="U141" s="533"/>
      <c r="V141" s="533"/>
      <c r="W141" s="533"/>
      <c r="X141" s="533"/>
      <c r="AT141" s="533"/>
      <c r="AU141" s="533"/>
      <c r="AV141" s="533"/>
      <c r="AW141" s="533"/>
      <c r="AY141" s="879"/>
      <c r="AZ141" s="879"/>
      <c r="BA141" s="879"/>
      <c r="BB141" s="879"/>
      <c r="BC141" s="879"/>
      <c r="BD141" s="879"/>
      <c r="BE141" s="880"/>
      <c r="BF141" s="817"/>
      <c r="BG141" s="818"/>
      <c r="BH141" s="818"/>
    </row>
    <row r="142" spans="2:60" hidden="1" x14ac:dyDescent="0.15">
      <c r="J142" s="862"/>
      <c r="K142" s="862"/>
      <c r="L142" s="533"/>
      <c r="M142" s="533"/>
      <c r="N142" s="533"/>
      <c r="O142" s="533"/>
      <c r="P142" s="533"/>
      <c r="Q142" s="533"/>
      <c r="R142" s="533"/>
      <c r="S142" s="533"/>
      <c r="T142" s="533"/>
      <c r="U142" s="533"/>
      <c r="V142" s="533"/>
      <c r="W142" s="533"/>
      <c r="X142" s="533"/>
      <c r="AT142" s="533"/>
      <c r="AU142" s="533"/>
      <c r="AV142" s="533"/>
      <c r="AW142" s="533"/>
      <c r="AY142" s="879"/>
      <c r="AZ142" s="879"/>
      <c r="BA142" s="879"/>
      <c r="BB142" s="879"/>
      <c r="BC142" s="879"/>
      <c r="BD142" s="879"/>
      <c r="BE142" s="880"/>
      <c r="BF142" s="817"/>
      <c r="BG142" s="818"/>
      <c r="BH142" s="818"/>
    </row>
    <row r="143" spans="2:60" hidden="1" x14ac:dyDescent="0.15">
      <c r="J143" s="862"/>
      <c r="K143" s="862"/>
      <c r="L143" s="533"/>
      <c r="M143" s="533"/>
      <c r="N143" s="533"/>
      <c r="O143" s="533"/>
      <c r="P143" s="533"/>
      <c r="Q143" s="533"/>
      <c r="R143" s="533"/>
      <c r="S143" s="533"/>
      <c r="T143" s="533"/>
      <c r="U143" s="533"/>
      <c r="V143" s="533"/>
      <c r="W143" s="533"/>
      <c r="X143" s="533"/>
      <c r="AT143" s="533"/>
      <c r="AU143" s="533"/>
      <c r="AV143" s="533"/>
      <c r="AW143" s="533"/>
      <c r="AY143" s="879"/>
      <c r="AZ143" s="879"/>
      <c r="BA143" s="879"/>
      <c r="BB143" s="879"/>
      <c r="BC143" s="879"/>
      <c r="BD143" s="879"/>
      <c r="BE143" s="880"/>
      <c r="BF143" s="817"/>
      <c r="BG143" s="818"/>
      <c r="BH143" s="818"/>
    </row>
    <row r="144" spans="2:60" hidden="1" x14ac:dyDescent="0.15">
      <c r="B144" s="900"/>
      <c r="I144" s="824"/>
      <c r="L144" s="533"/>
      <c r="M144" s="536"/>
      <c r="N144" s="533"/>
      <c r="O144" s="533"/>
      <c r="P144" s="533"/>
      <c r="Q144" s="533"/>
      <c r="R144" s="533"/>
      <c r="S144" s="533"/>
      <c r="T144" s="533"/>
      <c r="U144" s="533"/>
      <c r="V144" s="533"/>
      <c r="W144" s="533"/>
      <c r="X144" s="533"/>
      <c r="AT144" s="533"/>
      <c r="AU144" s="533"/>
      <c r="AV144" s="533"/>
      <c r="AW144" s="533"/>
      <c r="AY144" s="879"/>
      <c r="AZ144" s="879"/>
      <c r="BA144" s="879"/>
      <c r="BB144" s="879"/>
      <c r="BC144" s="879"/>
      <c r="BD144" s="879"/>
      <c r="BE144" s="880"/>
      <c r="BF144" s="817"/>
      <c r="BG144" s="818"/>
      <c r="BH144" s="818"/>
    </row>
    <row r="145" spans="2:60" hidden="1" x14ac:dyDescent="0.15">
      <c r="B145" s="900"/>
      <c r="M145" s="533"/>
      <c r="N145" s="533"/>
      <c r="O145" s="533"/>
      <c r="P145" s="533"/>
      <c r="Q145" s="533"/>
      <c r="R145" s="533"/>
      <c r="S145" s="533"/>
      <c r="T145" s="533"/>
      <c r="U145" s="533"/>
      <c r="V145" s="533"/>
      <c r="W145" s="533"/>
      <c r="X145" s="533"/>
      <c r="AT145" s="533"/>
      <c r="AU145" s="533"/>
      <c r="AV145" s="533"/>
      <c r="AW145" s="533"/>
      <c r="AY145" s="879"/>
      <c r="AZ145" s="879"/>
      <c r="BA145" s="879"/>
      <c r="BB145" s="879"/>
      <c r="BC145" s="879"/>
      <c r="BD145" s="879"/>
      <c r="BE145" s="880"/>
      <c r="BF145" s="817"/>
      <c r="BG145" s="818"/>
      <c r="BH145" s="818"/>
    </row>
    <row r="146" spans="2:60" hidden="1" x14ac:dyDescent="0.15">
      <c r="L146" s="533"/>
      <c r="M146" s="533"/>
      <c r="N146" s="533"/>
      <c r="O146" s="533"/>
      <c r="P146" s="533"/>
      <c r="Q146" s="533"/>
      <c r="R146" s="533"/>
      <c r="S146" s="533"/>
      <c r="T146" s="533"/>
      <c r="U146" s="533"/>
      <c r="V146" s="533"/>
      <c r="W146" s="533"/>
      <c r="X146" s="533"/>
      <c r="AT146" s="533"/>
      <c r="AU146" s="533"/>
      <c r="AV146" s="533"/>
      <c r="AW146" s="533"/>
      <c r="AY146" s="879"/>
      <c r="AZ146" s="879"/>
      <c r="BA146" s="879"/>
      <c r="BB146" s="879"/>
      <c r="BC146" s="879"/>
      <c r="BD146" s="879"/>
      <c r="BE146" s="880"/>
      <c r="BF146" s="817"/>
      <c r="BG146" s="818"/>
      <c r="BH146" s="818"/>
    </row>
    <row r="147" spans="2:60" hidden="1" x14ac:dyDescent="0.15">
      <c r="J147" s="533"/>
      <c r="K147" s="533"/>
      <c r="L147" s="533"/>
      <c r="M147" s="865"/>
      <c r="N147" s="865"/>
      <c r="O147" s="533"/>
      <c r="P147" s="533"/>
      <c r="Q147" s="533"/>
      <c r="R147" s="533"/>
      <c r="S147" s="533"/>
      <c r="T147" s="533"/>
      <c r="U147" s="533"/>
      <c r="V147" s="533"/>
      <c r="W147" s="533"/>
      <c r="X147" s="533"/>
      <c r="AT147" s="533"/>
      <c r="AU147" s="533"/>
      <c r="AV147" s="533"/>
      <c r="AW147" s="533"/>
      <c r="AY147" s="879"/>
      <c r="AZ147" s="879"/>
      <c r="BA147" s="879"/>
      <c r="BB147" s="879"/>
      <c r="BC147" s="879"/>
      <c r="BD147" s="879"/>
      <c r="BE147" s="880"/>
      <c r="BF147" s="817"/>
      <c r="BG147" s="818"/>
      <c r="BH147" s="818"/>
    </row>
    <row r="148" spans="2:60" hidden="1" x14ac:dyDescent="0.15">
      <c r="C148" s="820"/>
      <c r="D148" s="820"/>
      <c r="J148" s="533"/>
      <c r="K148" s="533"/>
      <c r="L148" s="533"/>
      <c r="M148" s="865"/>
      <c r="N148" s="878"/>
      <c r="O148" s="533"/>
      <c r="P148" s="533"/>
      <c r="Q148" s="533"/>
      <c r="R148" s="533"/>
      <c r="S148" s="533"/>
      <c r="T148" s="533"/>
      <c r="U148" s="533"/>
      <c r="V148" s="533"/>
      <c r="W148" s="533"/>
      <c r="X148" s="533"/>
      <c r="AT148" s="533"/>
      <c r="AU148" s="533"/>
      <c r="AV148" s="533"/>
      <c r="AW148" s="533"/>
      <c r="AY148" s="879"/>
      <c r="AZ148" s="879"/>
      <c r="BA148" s="879"/>
      <c r="BB148" s="879"/>
      <c r="BC148" s="879"/>
      <c r="BD148" s="879"/>
      <c r="BE148" s="880"/>
      <c r="BF148" s="817"/>
      <c r="BG148" s="818"/>
      <c r="BH148" s="818"/>
    </row>
    <row r="149" spans="2:60" hidden="1" x14ac:dyDescent="0.15">
      <c r="B149" s="824"/>
      <c r="E149" s="824"/>
      <c r="F149" s="824"/>
      <c r="G149" s="824"/>
      <c r="H149" s="824"/>
      <c r="I149" s="824"/>
      <c r="J149" s="533"/>
      <c r="K149" s="533"/>
      <c r="L149" s="533"/>
      <c r="M149" s="865"/>
      <c r="N149" s="865"/>
      <c r="O149" s="533"/>
      <c r="P149" s="533"/>
      <c r="Q149" s="533"/>
      <c r="R149" s="533"/>
      <c r="S149" s="533"/>
      <c r="T149" s="533"/>
      <c r="U149" s="533"/>
      <c r="V149" s="533"/>
      <c r="W149" s="533"/>
      <c r="X149" s="533"/>
      <c r="AT149" s="533"/>
      <c r="AU149" s="533"/>
      <c r="AV149" s="533"/>
      <c r="AW149" s="533"/>
      <c r="AY149" s="879"/>
      <c r="AZ149" s="879"/>
      <c r="BA149" s="879"/>
      <c r="BB149" s="879"/>
      <c r="BC149" s="879"/>
      <c r="BD149" s="879"/>
      <c r="BE149" s="880"/>
      <c r="BF149" s="817"/>
      <c r="BG149" s="818"/>
      <c r="BH149" s="818"/>
    </row>
    <row r="150" spans="2:60" hidden="1" x14ac:dyDescent="0.15">
      <c r="C150" s="820"/>
      <c r="D150" s="820"/>
      <c r="J150" s="533"/>
      <c r="K150" s="533"/>
      <c r="L150" s="533"/>
      <c r="M150" s="865"/>
      <c r="N150" s="878"/>
      <c r="O150" s="533"/>
      <c r="AT150" s="533"/>
      <c r="AU150" s="533"/>
      <c r="AY150" s="879"/>
      <c r="AZ150" s="879"/>
      <c r="BA150" s="879"/>
      <c r="BB150" s="879"/>
      <c r="BC150" s="879"/>
      <c r="BD150" s="879"/>
      <c r="BE150" s="880"/>
      <c r="BF150" s="817"/>
      <c r="BG150" s="818"/>
      <c r="BH150" s="818"/>
    </row>
    <row r="151" spans="2:60" ht="13.5" hidden="1" customHeight="1" x14ac:dyDescent="0.15">
      <c r="E151" s="824"/>
      <c r="F151" s="824"/>
      <c r="G151" s="824"/>
      <c r="H151" s="824"/>
      <c r="M151" s="823"/>
      <c r="N151" s="878"/>
      <c r="AT151" s="533"/>
      <c r="AU151" s="533"/>
      <c r="AY151" s="879"/>
      <c r="AZ151" s="879"/>
      <c r="BA151" s="879"/>
      <c r="BB151" s="879"/>
      <c r="BC151" s="879"/>
      <c r="BD151" s="879"/>
      <c r="BE151" s="880"/>
      <c r="BF151" s="817"/>
      <c r="BG151" s="818"/>
      <c r="BH151" s="818"/>
    </row>
    <row r="152" spans="2:60" ht="12.75" hidden="1" customHeight="1" x14ac:dyDescent="0.15">
      <c r="B152" s="824"/>
      <c r="H152" s="824"/>
      <c r="M152" s="823"/>
      <c r="N152" s="823"/>
      <c r="AT152" s="533"/>
      <c r="AU152" s="533"/>
      <c r="AY152" s="879"/>
      <c r="AZ152" s="879"/>
      <c r="BA152" s="879"/>
      <c r="BB152" s="879"/>
      <c r="BC152" s="879"/>
      <c r="BD152" s="879"/>
      <c r="BE152" s="880"/>
      <c r="BF152" s="817"/>
      <c r="BG152" s="818"/>
      <c r="BH152" s="818"/>
    </row>
    <row r="153" spans="2:60" ht="13.5" hidden="1" customHeight="1" x14ac:dyDescent="0.15">
      <c r="B153" s="867"/>
      <c r="C153" s="846"/>
      <c r="D153" s="846"/>
      <c r="E153" s="846"/>
      <c r="F153" s="846"/>
      <c r="G153" s="846"/>
      <c r="H153" s="846"/>
      <c r="M153" s="823"/>
      <c r="N153" s="823"/>
      <c r="AT153" s="533"/>
      <c r="AU153" s="533"/>
      <c r="AY153" s="879"/>
      <c r="AZ153" s="879"/>
      <c r="BA153" s="879"/>
      <c r="BB153" s="879"/>
      <c r="BC153" s="879"/>
      <c r="BD153" s="879"/>
      <c r="BE153" s="880"/>
      <c r="BF153" s="817"/>
      <c r="BG153" s="818"/>
      <c r="BH153" s="818"/>
    </row>
    <row r="154" spans="2:60" ht="12.75" hidden="1" customHeight="1" x14ac:dyDescent="0.15">
      <c r="B154" s="867"/>
      <c r="C154" s="533"/>
      <c r="D154" s="533"/>
      <c r="E154" s="533"/>
      <c r="F154" s="846"/>
      <c r="G154" s="846"/>
      <c r="H154" s="533"/>
      <c r="M154" s="823"/>
      <c r="N154" s="823"/>
      <c r="AT154" s="533"/>
      <c r="AU154" s="533"/>
      <c r="AY154" s="879"/>
      <c r="AZ154" s="879"/>
      <c r="BA154" s="879"/>
      <c r="BB154" s="879"/>
      <c r="BC154" s="879"/>
      <c r="BD154" s="879"/>
      <c r="BE154" s="880"/>
      <c r="BF154" s="817"/>
      <c r="BG154" s="818"/>
      <c r="BH154" s="818"/>
    </row>
    <row r="155" spans="2:60" ht="12.75" hidden="1" customHeight="1" x14ac:dyDescent="0.15">
      <c r="C155" s="820"/>
      <c r="D155" s="820"/>
      <c r="AY155" s="879"/>
      <c r="AZ155" s="879"/>
      <c r="BA155" s="879"/>
      <c r="BB155" s="879"/>
      <c r="BC155" s="879"/>
      <c r="BD155" s="879"/>
      <c r="BE155" s="880"/>
      <c r="BF155" s="817"/>
      <c r="BG155" s="818"/>
      <c r="BH155" s="818"/>
    </row>
    <row r="156" spans="2:60" ht="12.75" hidden="1" customHeight="1" x14ac:dyDescent="0.15">
      <c r="C156" s="533"/>
      <c r="D156" s="820"/>
      <c r="E156" s="533"/>
      <c r="AY156" s="879"/>
      <c r="AZ156" s="879"/>
      <c r="BA156" s="879"/>
      <c r="BB156" s="879"/>
      <c r="BC156" s="879"/>
      <c r="BD156" s="879"/>
      <c r="BE156" s="880"/>
      <c r="BF156" s="817"/>
      <c r="BG156" s="818"/>
      <c r="BH156" s="818"/>
    </row>
    <row r="157" spans="2:60" ht="12.75" hidden="1" customHeight="1" x14ac:dyDescent="0.15">
      <c r="C157" s="820"/>
      <c r="D157" s="820"/>
      <c r="AY157" s="879"/>
      <c r="AZ157" s="879"/>
      <c r="BA157" s="879"/>
      <c r="BB157" s="879"/>
      <c r="BC157" s="879"/>
      <c r="BD157" s="879"/>
      <c r="BE157" s="880"/>
      <c r="BF157" s="817"/>
      <c r="BG157" s="818"/>
      <c r="BH157" s="818"/>
    </row>
    <row r="158" spans="2:60" ht="12.75" hidden="1" customHeight="1" x14ac:dyDescent="0.15">
      <c r="B158" s="537"/>
      <c r="C158" s="537"/>
      <c r="D158" s="537"/>
      <c r="E158" s="537"/>
      <c r="F158" s="537"/>
      <c r="G158" s="537"/>
      <c r="H158" s="537"/>
      <c r="I158" s="537"/>
      <c r="J158" s="537"/>
      <c r="K158" s="537"/>
      <c r="L158" s="537"/>
      <c r="AY158" s="879"/>
      <c r="AZ158" s="879"/>
      <c r="BA158" s="879"/>
      <c r="BB158" s="841"/>
      <c r="BC158" s="841"/>
      <c r="BD158" s="841"/>
      <c r="BE158" s="880"/>
      <c r="BF158" s="817"/>
      <c r="BG158" s="818"/>
      <c r="BH158" s="818"/>
    </row>
    <row r="159" spans="2:60" ht="12.75" hidden="1" customHeight="1" x14ac:dyDescent="0.15">
      <c r="C159" s="820"/>
      <c r="D159" s="881"/>
      <c r="E159" s="881"/>
      <c r="F159" s="882"/>
      <c r="G159" s="828"/>
      <c r="J159" s="824"/>
      <c r="K159" s="824"/>
      <c r="M159" s="881"/>
      <c r="AX159" s="537"/>
      <c r="AY159" s="879"/>
      <c r="AZ159" s="879"/>
      <c r="BA159" s="879"/>
      <c r="BB159" s="841"/>
      <c r="BC159" s="841"/>
      <c r="BD159" s="841"/>
      <c r="BE159" s="880"/>
      <c r="BF159" s="817"/>
      <c r="BG159" s="818"/>
      <c r="BH159" s="818"/>
    </row>
    <row r="160" spans="2:60" ht="12.75" hidden="1" customHeight="1" x14ac:dyDescent="0.15">
      <c r="B160" s="901"/>
      <c r="C160" s="820"/>
      <c r="D160" s="884"/>
      <c r="E160" s="885"/>
      <c r="F160" s="886"/>
      <c r="M160" s="835"/>
      <c r="O160" s="824"/>
      <c r="S160" s="868"/>
      <c r="V160" s="870"/>
      <c r="AX160" s="537"/>
      <c r="AY160" s="879"/>
      <c r="AZ160" s="879"/>
      <c r="BA160" s="879"/>
      <c r="BB160" s="841"/>
      <c r="BC160" s="841"/>
      <c r="BD160" s="841"/>
      <c r="BE160" s="880"/>
      <c r="BF160" s="817"/>
      <c r="BG160" s="818"/>
      <c r="BH160" s="818"/>
    </row>
    <row r="161" spans="3:60" ht="12.75" hidden="1" customHeight="1" x14ac:dyDescent="0.15">
      <c r="C161" s="820"/>
      <c r="D161" s="884"/>
      <c r="E161" s="885"/>
      <c r="F161" s="886"/>
      <c r="G161" s="533"/>
      <c r="H161" s="533"/>
      <c r="M161" s="835"/>
      <c r="AX161" s="537"/>
      <c r="AY161" s="879"/>
      <c r="AZ161" s="879"/>
      <c r="BA161" s="879"/>
      <c r="BB161" s="841"/>
      <c r="BC161" s="841"/>
      <c r="BD161" s="841"/>
      <c r="BE161" s="880"/>
      <c r="BF161" s="817"/>
      <c r="BG161" s="818"/>
      <c r="BH161" s="818"/>
    </row>
    <row r="162" spans="3:60" ht="12.75" hidden="1" customHeight="1" x14ac:dyDescent="0.15">
      <c r="C162" s="820"/>
      <c r="D162" s="884"/>
      <c r="E162" s="885"/>
      <c r="F162" s="886"/>
      <c r="G162" s="533"/>
      <c r="H162" s="533"/>
      <c r="M162" s="835"/>
      <c r="AX162" s="537"/>
      <c r="AY162" s="879"/>
      <c r="AZ162" s="879"/>
      <c r="BA162" s="879"/>
      <c r="BB162" s="841"/>
      <c r="BC162" s="841"/>
      <c r="BD162" s="841"/>
      <c r="BE162" s="880"/>
      <c r="BF162" s="817"/>
      <c r="BG162" s="818"/>
      <c r="BH162" s="818"/>
    </row>
    <row r="163" spans="3:60" ht="12.75" hidden="1" customHeight="1" x14ac:dyDescent="0.15">
      <c r="C163" s="820"/>
      <c r="D163" s="884"/>
      <c r="E163" s="885"/>
      <c r="F163" s="886"/>
      <c r="G163" s="533"/>
      <c r="H163" s="533"/>
      <c r="M163" s="835"/>
      <c r="BG163" s="818"/>
      <c r="BH163" s="818"/>
    </row>
    <row r="164" spans="3:60" ht="12.75" hidden="1" customHeight="1" x14ac:dyDescent="0.15">
      <c r="C164" s="820"/>
      <c r="D164" s="884"/>
      <c r="E164" s="885"/>
      <c r="F164" s="886"/>
      <c r="G164" s="533"/>
      <c r="H164" s="533"/>
      <c r="M164" s="835"/>
      <c r="BA164" s="533"/>
      <c r="BB164" s="533"/>
      <c r="BC164" s="533"/>
      <c r="BD164" s="533"/>
      <c r="BE164" s="533"/>
      <c r="BF164" s="846"/>
      <c r="BG164" s="818"/>
      <c r="BH164" s="818"/>
    </row>
    <row r="165" spans="3:60" ht="12.75" hidden="1" customHeight="1" x14ac:dyDescent="0.15">
      <c r="C165" s="820"/>
      <c r="D165" s="884"/>
      <c r="E165" s="885"/>
      <c r="F165" s="886"/>
      <c r="G165" s="533"/>
      <c r="H165" s="533"/>
      <c r="M165" s="835"/>
      <c r="AY165" s="887"/>
      <c r="AZ165" s="887"/>
      <c r="BG165" s="818"/>
      <c r="BH165" s="818"/>
    </row>
    <row r="166" spans="3:60" ht="12.75" hidden="1" customHeight="1" x14ac:dyDescent="0.15">
      <c r="C166" s="820"/>
      <c r="D166" s="884"/>
      <c r="E166" s="885"/>
      <c r="F166" s="886"/>
      <c r="G166" s="533"/>
      <c r="H166" s="533"/>
      <c r="M166" s="835"/>
      <c r="AY166" s="887"/>
      <c r="AZ166" s="887"/>
      <c r="BG166" s="818"/>
      <c r="BH166" s="818"/>
    </row>
    <row r="167" spans="3:60" ht="12.75" hidden="1" customHeight="1" x14ac:dyDescent="0.15">
      <c r="C167" s="820"/>
      <c r="D167" s="884"/>
      <c r="E167" s="885"/>
      <c r="F167" s="886"/>
      <c r="G167" s="533"/>
      <c r="H167" s="533"/>
      <c r="M167" s="835"/>
      <c r="AY167" s="887"/>
      <c r="AZ167" s="887"/>
    </row>
    <row r="168" spans="3:60" ht="12.75" hidden="1" customHeight="1" x14ac:dyDescent="0.15">
      <c r="C168" s="820"/>
      <c r="D168" s="884"/>
      <c r="E168" s="885"/>
      <c r="F168" s="886"/>
      <c r="G168" s="533"/>
      <c r="H168" s="533"/>
      <c r="M168" s="835"/>
      <c r="AY168" s="887"/>
      <c r="AZ168" s="887"/>
    </row>
    <row r="169" spans="3:60" ht="12.75" hidden="1" customHeight="1" x14ac:dyDescent="0.15">
      <c r="C169" s="820"/>
      <c r="D169" s="884"/>
      <c r="E169" s="885"/>
      <c r="F169" s="886"/>
      <c r="G169" s="533"/>
      <c r="H169" s="533"/>
      <c r="M169" s="835"/>
    </row>
    <row r="170" spans="3:60" ht="12.75" hidden="1" customHeight="1" x14ac:dyDescent="0.15">
      <c r="C170" s="820"/>
      <c r="D170" s="884"/>
      <c r="E170" s="885"/>
      <c r="F170" s="886"/>
      <c r="G170" s="533"/>
      <c r="H170" s="533"/>
      <c r="M170" s="835"/>
    </row>
    <row r="171" spans="3:60" ht="12.75" hidden="1" customHeight="1" x14ac:dyDescent="0.15">
      <c r="C171" s="820"/>
      <c r="D171" s="884"/>
      <c r="E171" s="885"/>
      <c r="F171" s="886"/>
      <c r="G171" s="533"/>
      <c r="H171" s="533"/>
      <c r="M171" s="835"/>
      <c r="AY171" s="888"/>
      <c r="AZ171" s="533"/>
    </row>
    <row r="172" spans="3:60" ht="12.75" hidden="1" customHeight="1" x14ac:dyDescent="0.15">
      <c r="C172" s="820"/>
      <c r="D172" s="884"/>
      <c r="E172" s="885"/>
      <c r="F172" s="886"/>
      <c r="G172" s="533"/>
      <c r="H172" s="533"/>
      <c r="M172" s="835"/>
    </row>
    <row r="173" spans="3:60" ht="12.75" hidden="1" customHeight="1" x14ac:dyDescent="0.15">
      <c r="C173" s="820"/>
      <c r="D173" s="884"/>
      <c r="E173" s="885"/>
      <c r="F173" s="886"/>
      <c r="G173" s="533"/>
      <c r="H173" s="533"/>
      <c r="M173" s="835"/>
    </row>
    <row r="174" spans="3:60" ht="12.75" hidden="1" customHeight="1" x14ac:dyDescent="0.15">
      <c r="C174" s="820"/>
      <c r="D174" s="884"/>
      <c r="E174" s="885"/>
      <c r="F174" s="886"/>
      <c r="G174" s="533"/>
      <c r="H174" s="533"/>
      <c r="M174" s="835"/>
    </row>
    <row r="175" spans="3:60" ht="12.75" hidden="1" customHeight="1" x14ac:dyDescent="0.15">
      <c r="C175" s="820"/>
      <c r="D175" s="884"/>
      <c r="E175" s="884"/>
      <c r="F175" s="884"/>
      <c r="G175" s="533"/>
      <c r="H175" s="533"/>
      <c r="M175" s="835"/>
    </row>
    <row r="176" spans="3:60" ht="12.75" hidden="1" customHeight="1" x14ac:dyDescent="0.15">
      <c r="C176" s="820"/>
      <c r="D176" s="884"/>
      <c r="E176" s="884"/>
      <c r="F176" s="884"/>
      <c r="G176" s="533"/>
      <c r="H176" s="533"/>
      <c r="M176" s="835"/>
    </row>
    <row r="177" spans="3:60" ht="12.75" hidden="1" customHeight="1" x14ac:dyDescent="0.15">
      <c r="C177" s="820"/>
      <c r="D177" s="884"/>
      <c r="E177" s="884"/>
      <c r="F177" s="884"/>
      <c r="G177" s="533"/>
      <c r="H177" s="533"/>
      <c r="M177" s="835"/>
      <c r="BG177" s="533"/>
      <c r="BH177" s="846"/>
    </row>
    <row r="178" spans="3:60" ht="12.75" hidden="1" customHeight="1" x14ac:dyDescent="0.15">
      <c r="C178" s="820"/>
      <c r="D178" s="884"/>
      <c r="E178" s="884"/>
      <c r="F178" s="884"/>
      <c r="G178" s="533"/>
      <c r="H178" s="533"/>
      <c r="M178" s="835"/>
    </row>
    <row r="179" spans="3:60" ht="12.75" hidden="1" customHeight="1" x14ac:dyDescent="0.15">
      <c r="C179" s="820"/>
      <c r="D179" s="884"/>
      <c r="E179" s="884"/>
      <c r="F179" s="884"/>
      <c r="G179" s="533"/>
      <c r="H179" s="533"/>
      <c r="M179" s="835"/>
    </row>
    <row r="180" spans="3:60" ht="12.75" hidden="1" customHeight="1" x14ac:dyDescent="0.15">
      <c r="C180" s="820"/>
      <c r="D180" s="884"/>
      <c r="E180" s="884"/>
      <c r="F180" s="884"/>
      <c r="G180" s="533"/>
      <c r="H180" s="533"/>
      <c r="M180" s="835"/>
    </row>
    <row r="181" spans="3:60" ht="12.75" hidden="1" customHeight="1" x14ac:dyDescent="0.15">
      <c r="C181" s="820"/>
      <c r="D181" s="884"/>
      <c r="E181" s="884"/>
      <c r="F181" s="884"/>
      <c r="G181" s="533"/>
      <c r="H181" s="533"/>
      <c r="M181" s="835"/>
      <c r="AX181" s="533"/>
    </row>
    <row r="182" spans="3:60" ht="12.75" hidden="1" customHeight="1" x14ac:dyDescent="0.15">
      <c r="C182" s="820"/>
      <c r="D182" s="884"/>
      <c r="E182" s="884"/>
      <c r="F182" s="884"/>
      <c r="G182" s="533"/>
      <c r="H182" s="533"/>
      <c r="M182" s="835"/>
      <c r="AX182" s="533"/>
    </row>
    <row r="183" spans="3:60" ht="12.75" hidden="1" customHeight="1" x14ac:dyDescent="0.15">
      <c r="C183" s="820"/>
      <c r="D183" s="884"/>
      <c r="E183" s="884"/>
      <c r="F183" s="884"/>
      <c r="G183" s="533"/>
      <c r="H183" s="533"/>
      <c r="M183" s="835"/>
      <c r="AX183" s="533"/>
    </row>
    <row r="184" spans="3:60" ht="12.75" hidden="1" customHeight="1" x14ac:dyDescent="0.15">
      <c r="C184" s="820"/>
      <c r="D184" s="889"/>
      <c r="E184" s="835"/>
      <c r="F184" s="890"/>
      <c r="M184" s="835"/>
      <c r="AX184" s="533"/>
    </row>
    <row r="185" spans="3:60" ht="12.75" hidden="1" customHeight="1" x14ac:dyDescent="0.15">
      <c r="C185" s="820"/>
      <c r="D185" s="889"/>
      <c r="E185" s="835"/>
      <c r="F185" s="890"/>
      <c r="M185" s="835"/>
    </row>
    <row r="186" spans="3:60" ht="12.75" hidden="1" customHeight="1" x14ac:dyDescent="0.15">
      <c r="C186" s="820"/>
      <c r="D186" s="884"/>
      <c r="E186" s="884"/>
      <c r="F186" s="884"/>
      <c r="G186" s="533"/>
      <c r="H186" s="533"/>
      <c r="M186" s="835"/>
    </row>
    <row r="187" spans="3:60" ht="12.75" hidden="1" customHeight="1" x14ac:dyDescent="0.15">
      <c r="C187" s="820"/>
      <c r="D187" s="884"/>
      <c r="E187" s="884"/>
      <c r="F187" s="884"/>
      <c r="G187" s="533"/>
      <c r="H187" s="533"/>
      <c r="M187" s="835"/>
    </row>
    <row r="188" spans="3:60" ht="12.75" hidden="1" customHeight="1" x14ac:dyDescent="0.15">
      <c r="C188" s="820"/>
      <c r="D188" s="884"/>
      <c r="E188" s="884"/>
      <c r="F188" s="884"/>
      <c r="G188" s="533"/>
      <c r="H188" s="533"/>
      <c r="M188" s="835"/>
    </row>
    <row r="189" spans="3:60" ht="12.75" hidden="1" customHeight="1" x14ac:dyDescent="0.15">
      <c r="C189" s="820"/>
      <c r="D189" s="884"/>
      <c r="E189" s="884"/>
      <c r="F189" s="884"/>
      <c r="G189" s="533"/>
      <c r="H189" s="533"/>
      <c r="M189" s="835"/>
    </row>
    <row r="190" spans="3:60" ht="12.75" hidden="1" customHeight="1" x14ac:dyDescent="0.15">
      <c r="C190" s="820"/>
      <c r="D190" s="884"/>
      <c r="E190" s="884"/>
      <c r="F190" s="884"/>
      <c r="G190" s="533"/>
      <c r="H190" s="533"/>
      <c r="M190" s="835"/>
    </row>
    <row r="191" spans="3:60" ht="12.75" hidden="1" customHeight="1" x14ac:dyDescent="0.15">
      <c r="C191" s="820"/>
      <c r="D191" s="884"/>
      <c r="E191" s="884"/>
      <c r="F191" s="884"/>
      <c r="G191" s="533"/>
      <c r="H191" s="533"/>
      <c r="M191" s="835"/>
    </row>
    <row r="192" spans="3:60" ht="12.75" hidden="1" customHeight="1" x14ac:dyDescent="0.15">
      <c r="C192" s="820"/>
      <c r="D192" s="884"/>
      <c r="E192" s="884"/>
      <c r="F192" s="884"/>
      <c r="G192" s="533"/>
      <c r="H192" s="533"/>
      <c r="M192" s="835"/>
    </row>
    <row r="193" spans="2:41" ht="13.5" hidden="1" customHeight="1" x14ac:dyDescent="0.15">
      <c r="C193" s="820"/>
      <c r="D193" s="884"/>
      <c r="E193" s="884"/>
      <c r="F193" s="884"/>
      <c r="G193" s="533"/>
      <c r="H193" s="533"/>
      <c r="M193" s="835"/>
    </row>
    <row r="194" spans="2:41" ht="12.75" hidden="1" customHeight="1" x14ac:dyDescent="0.15">
      <c r="C194" s="820"/>
      <c r="D194" s="884"/>
      <c r="E194" s="884"/>
      <c r="F194" s="884"/>
      <c r="G194" s="533"/>
      <c r="H194" s="533"/>
      <c r="M194" s="835"/>
      <c r="AO194" s="533"/>
    </row>
    <row r="195" spans="2:41" ht="12.75" hidden="1" customHeight="1" x14ac:dyDescent="0.15">
      <c r="C195" s="820"/>
      <c r="D195" s="884"/>
      <c r="E195" s="884"/>
      <c r="F195" s="884"/>
      <c r="G195" s="533"/>
      <c r="H195" s="533"/>
      <c r="M195" s="835"/>
    </row>
    <row r="196" spans="2:41" ht="12.75" hidden="1" customHeight="1" x14ac:dyDescent="0.15">
      <c r="B196" s="902"/>
      <c r="C196" s="820"/>
      <c r="D196" s="884"/>
      <c r="E196" s="884"/>
      <c r="F196" s="884"/>
      <c r="G196" s="533"/>
      <c r="H196" s="533"/>
      <c r="J196" s="823"/>
      <c r="K196" s="823"/>
    </row>
    <row r="197" spans="2:41" ht="12.75" hidden="1" customHeight="1" x14ac:dyDescent="0.15">
      <c r="B197" s="902"/>
      <c r="C197" s="820"/>
      <c r="D197" s="884"/>
      <c r="E197" s="884"/>
      <c r="F197" s="884"/>
      <c r="G197" s="533"/>
      <c r="H197" s="533"/>
      <c r="J197" s="823"/>
      <c r="K197" s="823"/>
    </row>
    <row r="198" spans="2:41" ht="12.75" hidden="1" customHeight="1" x14ac:dyDescent="0.15">
      <c r="B198" s="902"/>
      <c r="C198" s="820"/>
      <c r="D198" s="884"/>
      <c r="E198" s="884"/>
      <c r="F198" s="884"/>
      <c r="G198" s="533"/>
      <c r="H198" s="533"/>
      <c r="J198" s="823"/>
      <c r="K198" s="823"/>
    </row>
    <row r="199" spans="2:41" ht="12.75" hidden="1" customHeight="1" x14ac:dyDescent="0.15">
      <c r="B199" s="902"/>
      <c r="C199" s="820"/>
      <c r="D199" s="884"/>
      <c r="E199" s="884"/>
      <c r="F199" s="884"/>
      <c r="G199" s="533"/>
      <c r="H199" s="533"/>
      <c r="J199" s="823"/>
      <c r="K199" s="823"/>
    </row>
    <row r="200" spans="2:41" ht="12.75" hidden="1" customHeight="1" x14ac:dyDescent="0.15">
      <c r="B200" s="903"/>
      <c r="C200" s="820"/>
      <c r="D200" s="884"/>
      <c r="E200" s="884"/>
      <c r="F200" s="884"/>
      <c r="G200" s="533"/>
      <c r="H200" s="533"/>
      <c r="J200" s="823"/>
      <c r="K200" s="823"/>
    </row>
    <row r="201" spans="2:41" ht="12.75" hidden="1" customHeight="1" x14ac:dyDescent="0.15">
      <c r="B201" s="902"/>
      <c r="C201" s="820"/>
      <c r="D201" s="884"/>
      <c r="E201" s="884"/>
      <c r="F201" s="884"/>
      <c r="G201" s="533"/>
      <c r="H201" s="533"/>
      <c r="J201" s="823"/>
      <c r="K201" s="823"/>
      <c r="AE201" s="533"/>
      <c r="AF201" s="533"/>
      <c r="AG201" s="533"/>
    </row>
    <row r="202" spans="2:41" ht="12.75" hidden="1" customHeight="1" x14ac:dyDescent="0.15">
      <c r="B202" s="902"/>
      <c r="C202" s="820"/>
      <c r="D202" s="884"/>
      <c r="E202" s="884"/>
      <c r="F202" s="884"/>
      <c r="G202" s="533"/>
      <c r="H202" s="533"/>
      <c r="J202" s="823"/>
      <c r="K202" s="823"/>
    </row>
    <row r="203" spans="2:41" ht="12.75" hidden="1" customHeight="1" x14ac:dyDescent="0.15">
      <c r="B203" s="902"/>
      <c r="C203" s="820"/>
      <c r="D203" s="884"/>
      <c r="E203" s="884"/>
      <c r="F203" s="884"/>
      <c r="G203" s="533"/>
      <c r="H203" s="533"/>
      <c r="J203" s="823"/>
      <c r="K203" s="823"/>
    </row>
    <row r="204" spans="2:41" ht="12.75" hidden="1" customHeight="1" x14ac:dyDescent="0.15">
      <c r="B204" s="902"/>
      <c r="C204" s="820"/>
      <c r="D204" s="884"/>
      <c r="E204" s="884"/>
      <c r="F204" s="884"/>
      <c r="G204" s="533"/>
      <c r="H204" s="533"/>
      <c r="J204" s="823"/>
      <c r="K204" s="823"/>
      <c r="M204" s="884"/>
    </row>
    <row r="205" spans="2:41" ht="12.75" hidden="1" customHeight="1" x14ac:dyDescent="0.15">
      <c r="B205" s="902"/>
      <c r="C205" s="820"/>
      <c r="D205" s="892"/>
      <c r="E205" s="892"/>
      <c r="F205" s="892"/>
      <c r="G205" s="533"/>
      <c r="H205" s="533"/>
      <c r="J205" s="823"/>
      <c r="K205" s="823"/>
      <c r="M205" s="884"/>
      <c r="N205" s="828"/>
      <c r="O205" s="533"/>
      <c r="P205" s="533"/>
    </row>
    <row r="206" spans="2:41" ht="12.75" hidden="1" customHeight="1" x14ac:dyDescent="0.15">
      <c r="B206" s="902"/>
      <c r="C206" s="820"/>
      <c r="D206" s="820"/>
      <c r="G206" s="533"/>
      <c r="H206" s="533"/>
      <c r="J206" s="823"/>
      <c r="K206" s="823"/>
    </row>
    <row r="207" spans="2:41" ht="12.75" hidden="1" customHeight="1" x14ac:dyDescent="0.15">
      <c r="B207" s="902"/>
      <c r="C207" s="820"/>
      <c r="D207" s="884"/>
      <c r="E207" s="884"/>
      <c r="F207" s="884"/>
      <c r="G207" s="533"/>
      <c r="H207" s="533"/>
      <c r="J207" s="823"/>
      <c r="K207" s="823"/>
    </row>
    <row r="208" spans="2:41" ht="12.75" hidden="1" customHeight="1" x14ac:dyDescent="0.15">
      <c r="B208" s="902"/>
      <c r="C208" s="820"/>
      <c r="D208" s="884"/>
      <c r="E208" s="884"/>
      <c r="F208" s="884"/>
      <c r="G208" s="533"/>
      <c r="H208" s="533"/>
      <c r="J208" s="823"/>
      <c r="K208" s="823"/>
    </row>
    <row r="209" spans="2:28" ht="12.75" hidden="1" customHeight="1" x14ac:dyDescent="0.15">
      <c r="B209" s="902"/>
      <c r="C209" s="820"/>
      <c r="D209" s="884"/>
      <c r="E209" s="884"/>
      <c r="F209" s="884"/>
      <c r="G209" s="533"/>
      <c r="H209" s="533"/>
      <c r="J209" s="823"/>
      <c r="K209" s="823"/>
    </row>
    <row r="210" spans="2:28" ht="12.75" hidden="1" customHeight="1" x14ac:dyDescent="0.15">
      <c r="B210" s="902"/>
      <c r="C210" s="820"/>
      <c r="D210" s="884"/>
      <c r="E210" s="884"/>
      <c r="F210" s="884"/>
      <c r="G210" s="533"/>
      <c r="H210" s="533"/>
      <c r="J210" s="823"/>
      <c r="K210" s="823"/>
    </row>
    <row r="211" spans="2:28" ht="12.75" hidden="1" customHeight="1" x14ac:dyDescent="0.15">
      <c r="B211" s="902"/>
      <c r="C211" s="820"/>
      <c r="D211" s="884"/>
      <c r="E211" s="884"/>
      <c r="F211" s="884"/>
      <c r="G211" s="533"/>
      <c r="H211" s="533"/>
      <c r="J211" s="823"/>
      <c r="K211" s="823"/>
    </row>
    <row r="212" spans="2:28" ht="12.75" hidden="1" customHeight="1" x14ac:dyDescent="0.15">
      <c r="B212" s="902"/>
      <c r="C212" s="820"/>
      <c r="D212" s="884"/>
      <c r="E212" s="884"/>
      <c r="F212" s="884"/>
      <c r="G212" s="533"/>
      <c r="H212" s="533"/>
      <c r="J212" s="823"/>
      <c r="K212" s="823"/>
    </row>
    <row r="213" spans="2:28" ht="12.75" hidden="1" customHeight="1" x14ac:dyDescent="0.15">
      <c r="B213" s="902"/>
      <c r="C213" s="820"/>
      <c r="D213" s="884"/>
      <c r="E213" s="884"/>
      <c r="F213" s="884"/>
      <c r="G213" s="533"/>
      <c r="H213" s="533"/>
      <c r="J213" s="823"/>
      <c r="K213" s="823"/>
    </row>
    <row r="214" spans="2:28" ht="12.75" hidden="1" customHeight="1" x14ac:dyDescent="0.15">
      <c r="B214" s="902"/>
      <c r="C214" s="820"/>
      <c r="D214" s="884"/>
      <c r="E214" s="884"/>
      <c r="F214" s="884"/>
      <c r="G214" s="533"/>
      <c r="H214" s="533"/>
      <c r="J214" s="823"/>
      <c r="K214" s="823"/>
    </row>
    <row r="215" spans="2:28" ht="12.75" hidden="1" customHeight="1" x14ac:dyDescent="0.15">
      <c r="B215" s="902"/>
      <c r="C215" s="820"/>
      <c r="D215" s="884"/>
      <c r="E215" s="884"/>
      <c r="F215" s="884"/>
      <c r="G215" s="533"/>
      <c r="H215" s="533"/>
      <c r="J215" s="823"/>
      <c r="K215" s="823"/>
    </row>
    <row r="216" spans="2:28" ht="12.75" hidden="1" customHeight="1" x14ac:dyDescent="0.15">
      <c r="B216" s="902"/>
      <c r="C216" s="820"/>
      <c r="D216" s="884"/>
      <c r="E216" s="884"/>
      <c r="F216" s="884"/>
      <c r="G216" s="533"/>
      <c r="H216" s="533"/>
      <c r="J216" s="823"/>
      <c r="K216" s="823"/>
    </row>
    <row r="217" spans="2:28" ht="12.75" hidden="1" customHeight="1" x14ac:dyDescent="0.15">
      <c r="B217" s="902"/>
      <c r="C217" s="820"/>
      <c r="D217" s="884"/>
      <c r="E217" s="884"/>
      <c r="F217" s="884"/>
      <c r="G217" s="533"/>
      <c r="H217" s="533"/>
      <c r="J217" s="823"/>
      <c r="K217" s="823"/>
    </row>
    <row r="218" spans="2:28" ht="12.75" hidden="1" customHeight="1" x14ac:dyDescent="0.15">
      <c r="B218" s="902"/>
      <c r="C218" s="820"/>
      <c r="D218" s="884"/>
      <c r="E218" s="884"/>
      <c r="F218" s="884"/>
      <c r="G218" s="533"/>
      <c r="H218" s="533"/>
      <c r="J218" s="823"/>
      <c r="K218" s="823"/>
    </row>
    <row r="219" spans="2:28" ht="12.75" hidden="1" customHeight="1" x14ac:dyDescent="0.15">
      <c r="B219" s="902"/>
      <c r="C219" s="820"/>
      <c r="D219" s="884"/>
      <c r="E219" s="884"/>
      <c r="F219" s="884"/>
      <c r="G219" s="533"/>
      <c r="H219" s="533"/>
      <c r="J219" s="823"/>
      <c r="K219" s="823"/>
    </row>
    <row r="220" spans="2:28" ht="12.75" hidden="1" customHeight="1" x14ac:dyDescent="0.15">
      <c r="B220" s="902"/>
      <c r="C220" s="820"/>
      <c r="D220" s="884"/>
      <c r="E220" s="884"/>
      <c r="F220" s="884"/>
      <c r="G220" s="533"/>
      <c r="H220" s="533"/>
      <c r="J220" s="823"/>
      <c r="K220" s="823"/>
    </row>
    <row r="221" spans="2:28" ht="12.75" hidden="1" customHeight="1" x14ac:dyDescent="0.15">
      <c r="B221" s="902"/>
      <c r="C221" s="820"/>
      <c r="D221" s="884"/>
      <c r="E221" s="884"/>
      <c r="F221" s="884"/>
      <c r="G221" s="533"/>
      <c r="H221" s="533"/>
      <c r="J221" s="823"/>
      <c r="K221" s="823"/>
    </row>
    <row r="222" spans="2:28" ht="12.75" hidden="1" customHeight="1" x14ac:dyDescent="0.15">
      <c r="B222" s="902"/>
      <c r="C222" s="820"/>
      <c r="D222" s="884"/>
      <c r="E222" s="884"/>
      <c r="F222" s="884"/>
      <c r="G222" s="533"/>
      <c r="H222" s="533"/>
      <c r="J222" s="823"/>
      <c r="K222" s="823"/>
    </row>
    <row r="223" spans="2:28" ht="12.75" hidden="1" customHeight="1" x14ac:dyDescent="0.15">
      <c r="B223" s="902"/>
      <c r="C223" s="820"/>
      <c r="D223" s="884"/>
      <c r="E223" s="884"/>
      <c r="F223" s="884"/>
      <c r="G223" s="533"/>
      <c r="H223" s="533"/>
      <c r="J223" s="823"/>
      <c r="K223" s="823"/>
      <c r="Z223" s="820"/>
      <c r="AA223" s="820"/>
      <c r="AB223" s="820"/>
    </row>
    <row r="224" spans="2:28" ht="12.75" hidden="1" customHeight="1" x14ac:dyDescent="0.15">
      <c r="B224" s="902"/>
      <c r="C224" s="820"/>
      <c r="D224" s="884"/>
      <c r="E224" s="884"/>
      <c r="F224" s="884"/>
      <c r="G224" s="533"/>
      <c r="H224" s="533"/>
      <c r="J224" s="823"/>
      <c r="K224" s="823"/>
      <c r="Z224" s="820"/>
      <c r="AA224" s="820"/>
      <c r="AB224" s="820"/>
    </row>
    <row r="225" spans="2:28" ht="12.75" hidden="1" customHeight="1" x14ac:dyDescent="0.15">
      <c r="B225" s="902"/>
      <c r="C225" s="820"/>
      <c r="D225" s="884"/>
      <c r="E225" s="884"/>
      <c r="F225" s="884"/>
      <c r="G225" s="533"/>
      <c r="H225" s="533"/>
      <c r="J225" s="823"/>
      <c r="K225" s="823"/>
      <c r="Z225" s="820"/>
      <c r="AA225" s="820"/>
      <c r="AB225" s="820"/>
    </row>
    <row r="226" spans="2:28" ht="12.75" hidden="1" customHeight="1" x14ac:dyDescent="0.15">
      <c r="B226" s="904"/>
      <c r="C226" s="820"/>
      <c r="D226" s="884"/>
      <c r="E226" s="884"/>
      <c r="F226" s="884"/>
      <c r="G226" s="533"/>
      <c r="H226" s="533"/>
      <c r="J226" s="870"/>
      <c r="K226" s="870"/>
      <c r="Z226" s="820"/>
      <c r="AA226" s="820"/>
      <c r="AB226" s="820"/>
    </row>
    <row r="227" spans="2:28" ht="12.75" hidden="1" customHeight="1" x14ac:dyDescent="0.15">
      <c r="B227" s="904"/>
      <c r="C227" s="820"/>
      <c r="D227" s="820"/>
      <c r="H227" s="862"/>
      <c r="J227" s="870"/>
      <c r="K227" s="870"/>
      <c r="Z227" s="820"/>
      <c r="AA227" s="820"/>
      <c r="AB227" s="820"/>
    </row>
    <row r="228" spans="2:28" ht="12.75" hidden="1" customHeight="1" x14ac:dyDescent="0.15">
      <c r="B228" s="904"/>
      <c r="C228" s="820"/>
      <c r="D228" s="884"/>
      <c r="E228" s="884"/>
      <c r="F228" s="884"/>
      <c r="G228" s="533"/>
      <c r="H228" s="533"/>
      <c r="J228" s="870"/>
      <c r="K228" s="870"/>
      <c r="L228" s="533"/>
      <c r="Z228" s="820"/>
      <c r="AA228" s="820"/>
      <c r="AB228" s="820"/>
    </row>
    <row r="229" spans="2:28" ht="12.75" hidden="1" customHeight="1" x14ac:dyDescent="0.15">
      <c r="B229" s="904"/>
      <c r="C229" s="820"/>
      <c r="D229" s="884"/>
      <c r="E229" s="885"/>
      <c r="F229" s="886"/>
      <c r="G229" s="533"/>
      <c r="H229" s="533"/>
      <c r="J229" s="870"/>
      <c r="K229" s="870"/>
      <c r="Z229" s="820"/>
      <c r="AA229" s="820"/>
      <c r="AB229" s="820"/>
    </row>
    <row r="230" spans="2:28" ht="12.75" hidden="1" customHeight="1" x14ac:dyDescent="0.15">
      <c r="B230" s="904"/>
      <c r="C230" s="820"/>
      <c r="D230" s="884"/>
      <c r="E230" s="884"/>
      <c r="F230" s="884"/>
      <c r="G230" s="533"/>
      <c r="H230" s="533"/>
      <c r="J230" s="870"/>
      <c r="K230" s="870"/>
      <c r="Z230" s="820"/>
      <c r="AA230" s="820"/>
      <c r="AB230" s="820"/>
    </row>
    <row r="231" spans="2:28" ht="12.75" hidden="1" customHeight="1" x14ac:dyDescent="0.15">
      <c r="B231" s="904"/>
      <c r="C231" s="820"/>
      <c r="D231" s="884"/>
      <c r="E231" s="884"/>
      <c r="F231" s="884"/>
      <c r="G231" s="533"/>
      <c r="H231" s="533"/>
      <c r="J231" s="870"/>
      <c r="K231" s="870"/>
      <c r="Z231" s="820"/>
      <c r="AA231" s="820"/>
      <c r="AB231" s="820"/>
    </row>
    <row r="232" spans="2:28" ht="12.75" hidden="1" customHeight="1" x14ac:dyDescent="0.15">
      <c r="B232" s="904"/>
      <c r="C232" s="820"/>
      <c r="D232" s="884"/>
      <c r="E232" s="884"/>
      <c r="F232" s="884"/>
      <c r="G232" s="533"/>
      <c r="H232" s="533"/>
      <c r="J232" s="870"/>
      <c r="K232" s="870"/>
      <c r="L232" s="533"/>
      <c r="Z232" s="820"/>
      <c r="AA232" s="820"/>
      <c r="AB232" s="820"/>
    </row>
    <row r="233" spans="2:28" ht="12.75" hidden="1" customHeight="1" x14ac:dyDescent="0.15">
      <c r="B233" s="904"/>
      <c r="C233" s="820"/>
      <c r="D233" s="884"/>
      <c r="E233" s="884"/>
      <c r="F233" s="884"/>
      <c r="G233" s="533"/>
      <c r="H233" s="533"/>
      <c r="J233" s="870"/>
      <c r="K233" s="870"/>
      <c r="Z233" s="820"/>
      <c r="AA233" s="820"/>
      <c r="AB233" s="820"/>
    </row>
    <row r="234" spans="2:28" hidden="1" x14ac:dyDescent="0.15">
      <c r="B234" s="904"/>
      <c r="C234" s="820"/>
      <c r="D234" s="884"/>
      <c r="E234" s="884"/>
      <c r="F234" s="884"/>
      <c r="G234" s="533"/>
      <c r="H234" s="533"/>
      <c r="J234" s="870"/>
      <c r="K234" s="870"/>
    </row>
    <row r="235" spans="2:28" hidden="1" x14ac:dyDescent="0.15">
      <c r="B235" s="904"/>
      <c r="C235" s="820"/>
      <c r="D235" s="884"/>
      <c r="E235" s="884"/>
      <c r="F235" s="884"/>
      <c r="G235" s="533"/>
      <c r="H235" s="533"/>
      <c r="J235" s="870"/>
      <c r="K235" s="870"/>
    </row>
    <row r="236" spans="2:28" hidden="1" x14ac:dyDescent="0.15">
      <c r="B236" s="904"/>
      <c r="C236" s="820"/>
      <c r="D236" s="884"/>
      <c r="E236" s="884"/>
      <c r="F236" s="884"/>
      <c r="G236" s="533"/>
      <c r="H236" s="533"/>
      <c r="J236" s="870"/>
      <c r="K236" s="870"/>
    </row>
    <row r="237" spans="2:28" hidden="1" x14ac:dyDescent="0.15">
      <c r="B237" s="904"/>
      <c r="C237" s="820"/>
      <c r="D237" s="884"/>
      <c r="E237" s="884"/>
      <c r="F237" s="884"/>
      <c r="G237" s="533"/>
      <c r="H237" s="533"/>
      <c r="J237" s="870"/>
      <c r="K237" s="870"/>
    </row>
    <row r="238" spans="2:28" hidden="1" x14ac:dyDescent="0.15">
      <c r="B238" s="904"/>
      <c r="C238" s="820"/>
      <c r="D238" s="884"/>
      <c r="E238" s="884"/>
      <c r="F238" s="884"/>
      <c r="G238" s="533"/>
      <c r="H238" s="533"/>
      <c r="J238" s="870"/>
      <c r="K238" s="870"/>
    </row>
    <row r="239" spans="2:28" hidden="1" x14ac:dyDescent="0.15">
      <c r="B239" s="904"/>
      <c r="C239" s="820"/>
      <c r="D239" s="884"/>
      <c r="E239" s="884"/>
      <c r="F239" s="884"/>
      <c r="G239" s="533"/>
      <c r="H239" s="533"/>
      <c r="J239" s="870"/>
      <c r="K239" s="870"/>
    </row>
    <row r="240" spans="2:28" hidden="1" x14ac:dyDescent="0.15">
      <c r="B240" s="904"/>
      <c r="C240" s="820"/>
      <c r="D240" s="884"/>
      <c r="E240" s="884"/>
      <c r="F240" s="884"/>
      <c r="G240" s="533"/>
      <c r="H240" s="533"/>
      <c r="J240" s="870"/>
      <c r="K240" s="870"/>
    </row>
    <row r="241" spans="2:12" hidden="1" x14ac:dyDescent="0.15">
      <c r="B241" s="904"/>
      <c r="C241" s="820"/>
      <c r="D241" s="884"/>
      <c r="E241" s="884"/>
      <c r="F241" s="884"/>
      <c r="G241" s="533"/>
      <c r="H241" s="533"/>
      <c r="J241" s="870"/>
      <c r="K241" s="870"/>
    </row>
    <row r="242" spans="2:12" hidden="1" x14ac:dyDescent="0.15">
      <c r="B242" s="904"/>
      <c r="C242" s="820"/>
      <c r="D242" s="884"/>
      <c r="E242" s="884"/>
      <c r="F242" s="884"/>
      <c r="G242" s="533"/>
      <c r="H242" s="533"/>
      <c r="J242" s="870"/>
      <c r="K242" s="870"/>
    </row>
    <row r="243" spans="2:12" hidden="1" x14ac:dyDescent="0.15">
      <c r="B243" s="904"/>
      <c r="C243" s="820"/>
      <c r="D243" s="884"/>
      <c r="E243" s="884"/>
      <c r="F243" s="884"/>
      <c r="G243" s="533"/>
      <c r="H243" s="533"/>
      <c r="J243" s="870"/>
      <c r="K243" s="870"/>
    </row>
    <row r="244" spans="2:12" hidden="1" x14ac:dyDescent="0.15">
      <c r="B244" s="904"/>
      <c r="C244" s="820"/>
      <c r="D244" s="884"/>
      <c r="E244" s="884"/>
      <c r="F244" s="884"/>
      <c r="G244" s="533"/>
      <c r="H244" s="533"/>
      <c r="J244" s="870"/>
      <c r="K244" s="870"/>
    </row>
    <row r="245" spans="2:12" hidden="1" x14ac:dyDescent="0.15">
      <c r="B245" s="904"/>
      <c r="C245" s="820"/>
      <c r="D245" s="892"/>
      <c r="E245" s="892"/>
      <c r="F245" s="892"/>
      <c r="G245" s="533"/>
      <c r="H245" s="533"/>
      <c r="J245" s="870"/>
      <c r="K245" s="870"/>
    </row>
    <row r="246" spans="2:12" hidden="1" x14ac:dyDescent="0.15">
      <c r="B246" s="904"/>
      <c r="C246" s="820"/>
      <c r="D246" s="884"/>
      <c r="E246" s="884"/>
      <c r="F246" s="884"/>
      <c r="G246" s="533"/>
      <c r="H246" s="533"/>
      <c r="J246" s="870"/>
      <c r="K246" s="870"/>
    </row>
    <row r="247" spans="2:12" hidden="1" x14ac:dyDescent="0.15">
      <c r="B247" s="904"/>
      <c r="C247" s="820"/>
      <c r="D247" s="884"/>
      <c r="E247" s="884"/>
      <c r="F247" s="884"/>
      <c r="G247" s="533"/>
      <c r="H247" s="533"/>
      <c r="J247" s="870"/>
      <c r="K247" s="870"/>
    </row>
    <row r="248" spans="2:12" hidden="1" x14ac:dyDescent="0.15">
      <c r="B248" s="904"/>
      <c r="C248" s="820"/>
      <c r="E248" s="824"/>
      <c r="J248" s="870"/>
      <c r="K248" s="870"/>
    </row>
    <row r="249" spans="2:12" hidden="1" x14ac:dyDescent="0.15">
      <c r="B249" s="904"/>
      <c r="C249" s="820"/>
      <c r="D249" s="884"/>
      <c r="E249" s="884"/>
      <c r="F249" s="884"/>
      <c r="G249" s="533"/>
      <c r="H249" s="533"/>
      <c r="J249" s="870"/>
      <c r="K249" s="870"/>
      <c r="L249" s="884"/>
    </row>
    <row r="250" spans="2:12" hidden="1" x14ac:dyDescent="0.15">
      <c r="B250" s="904"/>
      <c r="C250" s="820"/>
      <c r="D250" s="884"/>
      <c r="E250" s="884"/>
      <c r="F250" s="884"/>
      <c r="G250" s="533"/>
      <c r="H250" s="533"/>
      <c r="J250" s="870"/>
      <c r="K250" s="870"/>
    </row>
    <row r="251" spans="2:12" hidden="1" x14ac:dyDescent="0.15">
      <c r="B251" s="904"/>
      <c r="C251" s="820"/>
      <c r="D251" s="884"/>
      <c r="E251" s="884"/>
      <c r="F251" s="884"/>
      <c r="G251" s="533"/>
      <c r="H251" s="533"/>
      <c r="J251" s="870"/>
      <c r="K251" s="870"/>
    </row>
    <row r="252" spans="2:12" hidden="1" x14ac:dyDescent="0.15">
      <c r="B252" s="904"/>
      <c r="C252" s="820"/>
      <c r="D252" s="820"/>
      <c r="J252" s="870"/>
      <c r="K252" s="870"/>
    </row>
    <row r="253" spans="2:12" hidden="1" x14ac:dyDescent="0.15">
      <c r="B253" s="904"/>
      <c r="C253" s="820"/>
      <c r="D253" s="884"/>
      <c r="E253" s="884"/>
      <c r="F253" s="884"/>
      <c r="G253" s="533"/>
      <c r="H253" s="533"/>
      <c r="J253" s="870"/>
      <c r="K253" s="870"/>
    </row>
    <row r="254" spans="2:12" hidden="1" x14ac:dyDescent="0.15">
      <c r="B254" s="904"/>
      <c r="C254" s="820"/>
      <c r="D254" s="884"/>
      <c r="E254" s="884"/>
      <c r="F254" s="884"/>
      <c r="G254" s="533"/>
      <c r="H254" s="533"/>
      <c r="J254" s="870"/>
      <c r="K254" s="870"/>
    </row>
    <row r="255" spans="2:12" hidden="1" x14ac:dyDescent="0.15">
      <c r="B255" s="904"/>
      <c r="C255" s="820"/>
      <c r="D255" s="884"/>
      <c r="E255" s="884"/>
      <c r="F255" s="884"/>
      <c r="G255" s="533"/>
      <c r="H255" s="533"/>
      <c r="J255" s="870"/>
      <c r="K255" s="870"/>
    </row>
    <row r="256" spans="2:12" hidden="1" x14ac:dyDescent="0.15">
      <c r="B256" s="904"/>
      <c r="C256" s="820"/>
      <c r="D256" s="884"/>
      <c r="E256" s="884"/>
      <c r="F256" s="884"/>
      <c r="G256" s="533"/>
      <c r="H256" s="533"/>
      <c r="J256" s="870"/>
      <c r="K256" s="870"/>
    </row>
    <row r="257" spans="2:12" hidden="1" x14ac:dyDescent="0.15">
      <c r="B257" s="904"/>
      <c r="C257" s="820"/>
      <c r="D257" s="884"/>
      <c r="E257" s="884"/>
      <c r="F257" s="884"/>
      <c r="G257" s="533"/>
      <c r="H257" s="533"/>
      <c r="J257" s="870"/>
      <c r="K257" s="870"/>
    </row>
    <row r="258" spans="2:12" hidden="1" x14ac:dyDescent="0.15">
      <c r="B258" s="904"/>
      <c r="C258" s="820"/>
      <c r="D258" s="820"/>
      <c r="J258" s="870"/>
      <c r="K258" s="870"/>
    </row>
    <row r="259" spans="2:12" hidden="1" x14ac:dyDescent="0.15">
      <c r="B259" s="537"/>
      <c r="C259" s="820"/>
      <c r="D259" s="820"/>
    </row>
    <row r="260" spans="2:12" hidden="1" x14ac:dyDescent="0.15">
      <c r="C260" s="820"/>
      <c r="D260" s="820"/>
    </row>
    <row r="261" spans="2:12" hidden="1" x14ac:dyDescent="0.15">
      <c r="C261" s="537"/>
      <c r="D261" s="537"/>
      <c r="E261" s="537"/>
      <c r="F261" s="537"/>
      <c r="G261" s="537"/>
      <c r="H261" s="537"/>
      <c r="I261" s="537"/>
      <c r="J261" s="537"/>
      <c r="K261" s="537"/>
      <c r="L261" s="537"/>
    </row>
    <row r="262" spans="2:12" hidden="1" x14ac:dyDescent="0.15">
      <c r="B262" s="902"/>
      <c r="C262" s="881"/>
      <c r="D262" s="881"/>
      <c r="E262" s="882"/>
      <c r="F262" s="828"/>
      <c r="L262" s="824"/>
    </row>
    <row r="263" spans="2:12" hidden="1" x14ac:dyDescent="0.15">
      <c r="B263" s="904"/>
      <c r="C263" s="884"/>
      <c r="D263" s="885"/>
      <c r="E263" s="886"/>
      <c r="F263" s="533"/>
      <c r="G263" s="533"/>
      <c r="H263" s="533"/>
    </row>
    <row r="264" spans="2:12" hidden="1" x14ac:dyDescent="0.15">
      <c r="B264" s="902"/>
      <c r="C264" s="884"/>
      <c r="D264" s="884"/>
      <c r="E264" s="884"/>
      <c r="F264" s="533"/>
      <c r="G264" s="533"/>
      <c r="H264" s="533"/>
    </row>
    <row r="265" spans="2:12" hidden="1" x14ac:dyDescent="0.15">
      <c r="B265" s="904"/>
      <c r="C265" s="884"/>
      <c r="D265" s="884"/>
      <c r="E265" s="884"/>
      <c r="F265" s="533"/>
      <c r="G265" s="533"/>
      <c r="H265" s="533"/>
    </row>
    <row r="266" spans="2:12" hidden="1" x14ac:dyDescent="0.15">
      <c r="B266" s="904"/>
      <c r="C266" s="884"/>
      <c r="D266" s="884"/>
      <c r="E266" s="884"/>
      <c r="F266" s="533"/>
      <c r="G266" s="533"/>
      <c r="H266" s="533"/>
    </row>
    <row r="267" spans="2:12" hidden="1" x14ac:dyDescent="0.15">
      <c r="C267" s="884"/>
      <c r="D267" s="884"/>
      <c r="E267" s="884"/>
      <c r="F267" s="533"/>
      <c r="G267" s="533"/>
      <c r="H267" s="533"/>
    </row>
    <row r="268" spans="2:12" hidden="1" x14ac:dyDescent="0.15">
      <c r="C268" s="820"/>
      <c r="D268" s="820"/>
    </row>
    <row r="269" spans="2:12" hidden="1" x14ac:dyDescent="0.15">
      <c r="C269" s="537"/>
      <c r="D269" s="537"/>
      <c r="E269" s="537"/>
      <c r="F269" s="537"/>
      <c r="G269" s="537"/>
      <c r="H269" s="537"/>
      <c r="I269" s="537"/>
      <c r="J269" s="537"/>
      <c r="K269" s="537"/>
      <c r="L269" s="537"/>
    </row>
    <row r="270" spans="2:12" hidden="1" x14ac:dyDescent="0.15">
      <c r="C270" s="881"/>
      <c r="D270" s="881"/>
      <c r="E270" s="882"/>
      <c r="F270" s="828"/>
      <c r="L270" s="824"/>
    </row>
    <row r="271" spans="2:12" hidden="1" x14ac:dyDescent="0.15">
      <c r="B271" s="902"/>
      <c r="C271" s="884"/>
      <c r="D271" s="885"/>
      <c r="E271" s="886"/>
    </row>
    <row r="272" spans="2:12" hidden="1" x14ac:dyDescent="0.15">
      <c r="B272" s="904"/>
      <c r="C272" s="884"/>
      <c r="D272" s="885"/>
      <c r="E272" s="886"/>
      <c r="F272" s="533"/>
      <c r="G272" s="533"/>
      <c r="H272" s="533"/>
    </row>
    <row r="273" spans="2:8" hidden="1" x14ac:dyDescent="0.15">
      <c r="B273" s="904"/>
      <c r="C273" s="884"/>
      <c r="D273" s="885"/>
      <c r="E273" s="886"/>
      <c r="F273" s="533"/>
      <c r="H273" s="533"/>
    </row>
    <row r="274" spans="2:8" hidden="1" x14ac:dyDescent="0.15">
      <c r="B274" s="902"/>
      <c r="C274" s="884"/>
      <c r="D274" s="885"/>
      <c r="E274" s="886"/>
      <c r="F274" s="533"/>
      <c r="H274" s="533"/>
    </row>
    <row r="275" spans="2:8" hidden="1" x14ac:dyDescent="0.15">
      <c r="B275" s="904"/>
      <c r="C275" s="884"/>
      <c r="D275" s="885"/>
      <c r="E275" s="886"/>
      <c r="F275" s="533"/>
      <c r="H275" s="533"/>
    </row>
    <row r="276" spans="2:8" hidden="1" x14ac:dyDescent="0.15">
      <c r="B276" s="904"/>
      <c r="C276" s="884"/>
      <c r="D276" s="885"/>
      <c r="E276" s="886"/>
      <c r="F276" s="533"/>
      <c r="H276" s="533"/>
    </row>
    <row r="277" spans="2:8" hidden="1" x14ac:dyDescent="0.15">
      <c r="B277" s="903"/>
      <c r="C277" s="884"/>
      <c r="D277" s="885"/>
      <c r="E277" s="886"/>
      <c r="F277" s="533"/>
      <c r="G277" s="533"/>
      <c r="H277" s="533"/>
    </row>
    <row r="278" spans="2:8" hidden="1" x14ac:dyDescent="0.15">
      <c r="B278" s="904"/>
      <c r="C278" s="884"/>
      <c r="D278" s="885"/>
      <c r="E278" s="886"/>
      <c r="F278" s="533"/>
      <c r="G278" s="533"/>
      <c r="H278" s="533"/>
    </row>
    <row r="279" spans="2:8" hidden="1" x14ac:dyDescent="0.15">
      <c r="B279" s="904"/>
      <c r="C279" s="884"/>
      <c r="D279" s="884"/>
      <c r="E279" s="884"/>
      <c r="F279" s="533"/>
      <c r="G279" s="533"/>
      <c r="H279" s="533"/>
    </row>
    <row r="280" spans="2:8" hidden="1" x14ac:dyDescent="0.15">
      <c r="B280" s="902"/>
      <c r="C280" s="884"/>
      <c r="D280" s="884"/>
      <c r="E280" s="884"/>
      <c r="F280" s="533"/>
      <c r="G280" s="533"/>
      <c r="H280" s="533"/>
    </row>
    <row r="281" spans="2:8" hidden="1" x14ac:dyDescent="0.15">
      <c r="B281" s="904"/>
      <c r="C281" s="884"/>
      <c r="D281" s="884"/>
      <c r="E281" s="884"/>
      <c r="F281" s="533"/>
      <c r="G281" s="533"/>
      <c r="H281" s="533"/>
    </row>
    <row r="282" spans="2:8" hidden="1" x14ac:dyDescent="0.15">
      <c r="B282" s="902"/>
      <c r="C282" s="884"/>
      <c r="D282" s="884"/>
      <c r="E282" s="884"/>
      <c r="F282" s="533"/>
      <c r="G282" s="533"/>
      <c r="H282" s="533"/>
    </row>
    <row r="283" spans="2:8" hidden="1" x14ac:dyDescent="0.15">
      <c r="B283" s="904"/>
      <c r="C283" s="884"/>
      <c r="D283" s="884"/>
      <c r="E283" s="884"/>
      <c r="F283" s="533"/>
      <c r="G283" s="533"/>
      <c r="H283" s="533"/>
    </row>
    <row r="284" spans="2:8" hidden="1" x14ac:dyDescent="0.15">
      <c r="B284" s="902"/>
      <c r="C284" s="884"/>
      <c r="D284" s="884"/>
      <c r="E284" s="884"/>
      <c r="F284" s="533"/>
      <c r="G284" s="533"/>
      <c r="H284" s="533"/>
    </row>
    <row r="285" spans="2:8" hidden="1" x14ac:dyDescent="0.15">
      <c r="B285" s="902"/>
      <c r="C285" s="884"/>
      <c r="D285" s="884"/>
      <c r="E285" s="884"/>
      <c r="F285" s="533"/>
      <c r="G285" s="533"/>
      <c r="H285" s="533"/>
    </row>
    <row r="286" spans="2:8" hidden="1" x14ac:dyDescent="0.15">
      <c r="B286" s="902"/>
      <c r="C286" s="884"/>
      <c r="D286" s="884"/>
      <c r="E286" s="884"/>
      <c r="F286" s="533"/>
      <c r="G286" s="533"/>
      <c r="H286" s="533"/>
    </row>
    <row r="287" spans="2:8" hidden="1" x14ac:dyDescent="0.15">
      <c r="C287" s="884"/>
      <c r="D287" s="884"/>
      <c r="E287" s="884"/>
      <c r="F287" s="533"/>
      <c r="G287" s="533"/>
      <c r="H287" s="533"/>
    </row>
    <row r="288" spans="2:8" hidden="1" x14ac:dyDescent="0.15">
      <c r="B288" s="901"/>
      <c r="C288" s="884"/>
      <c r="D288" s="884"/>
      <c r="E288" s="884"/>
      <c r="F288" s="533"/>
      <c r="G288" s="533"/>
      <c r="H288" s="533"/>
    </row>
    <row r="289" spans="2:12" hidden="1" x14ac:dyDescent="0.15">
      <c r="B289" s="902"/>
      <c r="C289" s="862"/>
      <c r="D289" s="820"/>
      <c r="E289" s="870"/>
      <c r="F289" s="533"/>
      <c r="G289" s="533"/>
      <c r="H289" s="533"/>
      <c r="L289" s="823"/>
    </row>
    <row r="290" spans="2:12" hidden="1" x14ac:dyDescent="0.15">
      <c r="B290" s="904"/>
      <c r="C290" s="537"/>
      <c r="D290" s="537"/>
      <c r="E290" s="537"/>
      <c r="F290" s="537"/>
      <c r="G290" s="537"/>
      <c r="H290" s="537"/>
      <c r="I290" s="537"/>
      <c r="J290" s="537"/>
      <c r="K290" s="537"/>
      <c r="L290" s="537"/>
    </row>
    <row r="291" spans="2:12" hidden="1" x14ac:dyDescent="0.15">
      <c r="B291" s="902"/>
      <c r="C291" s="881"/>
      <c r="D291" s="881"/>
      <c r="E291" s="882"/>
      <c r="F291" s="828"/>
      <c r="L291" s="824"/>
    </row>
    <row r="292" spans="2:12" hidden="1" x14ac:dyDescent="0.15">
      <c r="C292" s="884"/>
      <c r="D292" s="885"/>
      <c r="E292" s="886"/>
      <c r="F292" s="533"/>
      <c r="G292" s="533"/>
      <c r="H292" s="533"/>
    </row>
    <row r="293" spans="2:12" hidden="1" x14ac:dyDescent="0.15">
      <c r="C293" s="884"/>
      <c r="D293" s="885"/>
      <c r="E293" s="886"/>
      <c r="F293" s="533"/>
      <c r="G293" s="533"/>
      <c r="H293" s="533"/>
    </row>
    <row r="294" spans="2:12" hidden="1" x14ac:dyDescent="0.15">
      <c r="B294" s="904"/>
      <c r="C294" s="884"/>
      <c r="D294" s="885"/>
      <c r="E294" s="886"/>
      <c r="F294" s="533"/>
      <c r="G294" s="533"/>
      <c r="H294" s="533"/>
    </row>
    <row r="295" spans="2:12" hidden="1" x14ac:dyDescent="0.15">
      <c r="B295" s="902"/>
      <c r="C295" s="884"/>
      <c r="D295" s="885"/>
      <c r="E295" s="886"/>
      <c r="F295" s="533"/>
      <c r="G295" s="533"/>
      <c r="H295" s="533"/>
    </row>
    <row r="296" spans="2:12" hidden="1" x14ac:dyDescent="0.15">
      <c r="B296" s="904"/>
      <c r="C296" s="884"/>
      <c r="D296" s="885"/>
      <c r="E296" s="886"/>
      <c r="F296" s="533"/>
      <c r="G296" s="533"/>
      <c r="H296" s="533"/>
    </row>
    <row r="297" spans="2:12" hidden="1" x14ac:dyDescent="0.15">
      <c r="C297" s="884"/>
      <c r="D297" s="884"/>
      <c r="E297" s="884"/>
      <c r="F297" s="533"/>
      <c r="G297" s="533"/>
      <c r="H297" s="533"/>
    </row>
    <row r="298" spans="2:12" hidden="1" x14ac:dyDescent="0.15">
      <c r="C298" s="884"/>
      <c r="D298" s="884"/>
      <c r="E298" s="884"/>
      <c r="F298" s="533"/>
      <c r="G298" s="533"/>
      <c r="H298" s="533"/>
    </row>
    <row r="299" spans="2:12" hidden="1" x14ac:dyDescent="0.15">
      <c r="B299" s="904"/>
      <c r="C299" s="884"/>
      <c r="D299" s="884"/>
      <c r="E299" s="884"/>
      <c r="F299" s="533"/>
      <c r="G299" s="533"/>
      <c r="H299" s="533"/>
    </row>
    <row r="300" spans="2:12" hidden="1" x14ac:dyDescent="0.15">
      <c r="B300" s="904"/>
      <c r="C300" s="884"/>
      <c r="D300" s="884"/>
      <c r="E300" s="884"/>
      <c r="F300" s="533"/>
      <c r="G300" s="533"/>
      <c r="H300" s="533"/>
    </row>
    <row r="301" spans="2:12" hidden="1" x14ac:dyDescent="0.15">
      <c r="B301" s="902"/>
      <c r="C301" s="884"/>
      <c r="D301" s="884"/>
      <c r="E301" s="884"/>
      <c r="F301" s="533"/>
      <c r="G301" s="533"/>
      <c r="H301" s="533"/>
    </row>
    <row r="302" spans="2:12" hidden="1" x14ac:dyDescent="0.15">
      <c r="B302" s="902"/>
    </row>
    <row r="303" spans="2:12" hidden="1" x14ac:dyDescent="0.15">
      <c r="C303" s="820"/>
      <c r="D303" s="820"/>
    </row>
    <row r="304" spans="2:12" hidden="1" x14ac:dyDescent="0.15">
      <c r="B304" s="904"/>
      <c r="C304" s="820"/>
      <c r="D304" s="820"/>
    </row>
    <row r="305" spans="2:4" hidden="1" x14ac:dyDescent="0.15">
      <c r="C305" s="820"/>
      <c r="D305" s="820"/>
    </row>
    <row r="306" spans="2:4" hidden="1" x14ac:dyDescent="0.15">
      <c r="C306" s="820"/>
      <c r="D306" s="820"/>
    </row>
    <row r="307" spans="2:4" hidden="1" x14ac:dyDescent="0.15">
      <c r="C307" s="820"/>
      <c r="D307" s="820"/>
    </row>
    <row r="308" spans="2:4" hidden="1" x14ac:dyDescent="0.15">
      <c r="B308" s="904"/>
      <c r="C308" s="820"/>
      <c r="D308" s="820"/>
    </row>
    <row r="309" spans="2:4" hidden="1" x14ac:dyDescent="0.15">
      <c r="B309" s="904"/>
      <c r="C309" s="820"/>
      <c r="D309" s="820"/>
    </row>
    <row r="310" spans="2:4" hidden="1" x14ac:dyDescent="0.15">
      <c r="B310" s="904"/>
    </row>
    <row r="311" spans="2:4" hidden="1" x14ac:dyDescent="0.15"/>
    <row r="312" spans="2:4" hidden="1" x14ac:dyDescent="0.15">
      <c r="B312" s="904"/>
    </row>
    <row r="313" spans="2:4" hidden="1" x14ac:dyDescent="0.15">
      <c r="B313" s="902"/>
    </row>
    <row r="314" spans="2:4" hidden="1" x14ac:dyDescent="0.15"/>
    <row r="315" spans="2:4" hidden="1" x14ac:dyDescent="0.15"/>
    <row r="316" spans="2:4" hidden="1" x14ac:dyDescent="0.15"/>
    <row r="317" spans="2:4" hidden="1" x14ac:dyDescent="0.15"/>
    <row r="318" spans="2:4" hidden="1" x14ac:dyDescent="0.15"/>
    <row r="319" spans="2:4" hidden="1" x14ac:dyDescent="0.15">
      <c r="B319" s="902"/>
    </row>
    <row r="320" spans="2:4" hidden="1" x14ac:dyDescent="0.15"/>
    <row r="321" spans="2:2" hidden="1" x14ac:dyDescent="0.15"/>
    <row r="322" spans="2:2" hidden="1" x14ac:dyDescent="0.15">
      <c r="B322" s="904"/>
    </row>
    <row r="323" spans="2:2" hidden="1" x14ac:dyDescent="0.15"/>
    <row r="324" spans="2:2" hidden="1" x14ac:dyDescent="0.15"/>
    <row r="325" spans="2:2" hidden="1" x14ac:dyDescent="0.15"/>
    <row r="326" spans="2:2" hidden="1" x14ac:dyDescent="0.15">
      <c r="B326" s="904"/>
    </row>
    <row r="327" spans="2:2" hidden="1" x14ac:dyDescent="0.15"/>
    <row r="328" spans="2:2" hidden="1" x14ac:dyDescent="0.15"/>
    <row r="329" spans="2:2" hidden="1" x14ac:dyDescent="0.15">
      <c r="B329" s="902"/>
    </row>
    <row r="330" spans="2:2" hidden="1" x14ac:dyDescent="0.15"/>
    <row r="331" spans="2:2" hidden="1" x14ac:dyDescent="0.15"/>
    <row r="332" spans="2:2" hidden="1" x14ac:dyDescent="0.15">
      <c r="B332" s="904"/>
    </row>
    <row r="333" spans="2:2" hidden="1" x14ac:dyDescent="0.15">
      <c r="B333" s="902"/>
    </row>
    <row r="334" spans="2:2" hidden="1" x14ac:dyDescent="0.15">
      <c r="B334" s="904"/>
    </row>
    <row r="335" spans="2:2" hidden="1" x14ac:dyDescent="0.15">
      <c r="B335" s="904"/>
    </row>
    <row r="336" spans="2:2" hidden="1" x14ac:dyDescent="0.15">
      <c r="B336" s="904"/>
    </row>
    <row r="337" spans="2:2" hidden="1" x14ac:dyDescent="0.15">
      <c r="B337" s="902"/>
    </row>
    <row r="338" spans="2:2" hidden="1" x14ac:dyDescent="0.15">
      <c r="B338" s="904"/>
    </row>
    <row r="339" spans="2:2" hidden="1" x14ac:dyDescent="0.15">
      <c r="B339" s="902"/>
    </row>
    <row r="340" spans="2:2" hidden="1" x14ac:dyDescent="0.15">
      <c r="B340" s="904"/>
    </row>
    <row r="341" spans="2:2" hidden="1" x14ac:dyDescent="0.15">
      <c r="B341" s="902"/>
    </row>
    <row r="342" spans="2:2" hidden="1" x14ac:dyDescent="0.15">
      <c r="B342" s="904"/>
    </row>
    <row r="343" spans="2:2" hidden="1" x14ac:dyDescent="0.15">
      <c r="B343" s="902"/>
    </row>
    <row r="344" spans="2:2" hidden="1" x14ac:dyDescent="0.15">
      <c r="B344" s="902"/>
    </row>
    <row r="345" spans="2:2" hidden="1" x14ac:dyDescent="0.15">
      <c r="B345" s="904"/>
    </row>
    <row r="346" spans="2:2" hidden="1" x14ac:dyDescent="0.15"/>
    <row r="347" spans="2:2" hidden="1" x14ac:dyDescent="0.15">
      <c r="B347" s="902"/>
    </row>
    <row r="348" spans="2:2" hidden="1" x14ac:dyDescent="0.15">
      <c r="B348" s="902"/>
    </row>
    <row r="349" spans="2:2" hidden="1" x14ac:dyDescent="0.15">
      <c r="B349" s="902"/>
    </row>
    <row r="350" spans="2:2" hidden="1" x14ac:dyDescent="0.15">
      <c r="B350" s="902"/>
    </row>
    <row r="351" spans="2:2" hidden="1" x14ac:dyDescent="0.15">
      <c r="B351" s="902"/>
    </row>
    <row r="352" spans="2:2" hidden="1" x14ac:dyDescent="0.15">
      <c r="B352" s="902"/>
    </row>
    <row r="353" spans="2:2" hidden="1" x14ac:dyDescent="0.15"/>
    <row r="354" spans="2:2" hidden="1" x14ac:dyDescent="0.15">
      <c r="B354" s="904"/>
    </row>
  </sheetData>
  <sheetProtection password="97A9" sheet="1" objects="1" scenarios="1"/>
  <mergeCells count="64">
    <mergeCell ref="C58:O58"/>
    <mergeCell ref="C72:O72"/>
    <mergeCell ref="C73:O73"/>
    <mergeCell ref="C75:O75"/>
    <mergeCell ref="C59:O59"/>
    <mergeCell ref="C62:O63"/>
    <mergeCell ref="C66:O69"/>
    <mergeCell ref="C71:O71"/>
    <mergeCell ref="J41:K41"/>
    <mergeCell ref="H37:I37"/>
    <mergeCell ref="C39:O39"/>
    <mergeCell ref="L41:M41"/>
    <mergeCell ref="D41:F41"/>
    <mergeCell ref="G41:I41"/>
    <mergeCell ref="K35:L35"/>
    <mergeCell ref="K36:L36"/>
    <mergeCell ref="H33:I33"/>
    <mergeCell ref="M33:O34"/>
    <mergeCell ref="K33:L34"/>
    <mergeCell ref="M36:O36"/>
    <mergeCell ref="M35:O35"/>
    <mergeCell ref="B31:B33"/>
    <mergeCell ref="E31:G31"/>
    <mergeCell ref="C31:D33"/>
    <mergeCell ref="E32:G32"/>
    <mergeCell ref="H36:I36"/>
    <mergeCell ref="H35:I35"/>
    <mergeCell ref="E33:G33"/>
    <mergeCell ref="B35:B37"/>
    <mergeCell ref="C35:D37"/>
    <mergeCell ref="E36:G36"/>
    <mergeCell ref="E37:G37"/>
    <mergeCell ref="E35:G35"/>
    <mergeCell ref="B14:B16"/>
    <mergeCell ref="C14:F16"/>
    <mergeCell ref="B18:B20"/>
    <mergeCell ref="C28:O28"/>
    <mergeCell ref="G18:H18"/>
    <mergeCell ref="C23:E23"/>
    <mergeCell ref="F23:H23"/>
    <mergeCell ref="F24:H24"/>
    <mergeCell ref="G14:I14"/>
    <mergeCell ref="F26:J26"/>
    <mergeCell ref="L15:O15"/>
    <mergeCell ref="L19:O19"/>
    <mergeCell ref="L22:O22"/>
    <mergeCell ref="C18:F20"/>
    <mergeCell ref="F22:H22"/>
    <mergeCell ref="F25:H25"/>
    <mergeCell ref="L2:O2"/>
    <mergeCell ref="C10:G10"/>
    <mergeCell ref="H31:I31"/>
    <mergeCell ref="H32:I32"/>
    <mergeCell ref="C3:O3"/>
    <mergeCell ref="C7:O7"/>
    <mergeCell ref="C9:G9"/>
    <mergeCell ref="H9:O9"/>
    <mergeCell ref="J5:K5"/>
    <mergeCell ref="H10:O10"/>
    <mergeCell ref="G20:H20"/>
    <mergeCell ref="C30:I30"/>
    <mergeCell ref="C11:G12"/>
    <mergeCell ref="H11:O12"/>
    <mergeCell ref="G19:H19"/>
  </mergeCells>
  <phoneticPr fontId="0" type="noConversion"/>
  <conditionalFormatting sqref="J271:K289 J261:K267 J292:K315 L204:L205 C249:C251 C160:C205 C207:C226 C246:C247 C253:C257 C228:C244">
    <cfRule type="cellIs" dxfId="552" priority="1" stopIfTrue="1" operator="equal">
      <formula>"ANUÊNIO"</formula>
    </cfRule>
    <cfRule type="cellIs" dxfId="551" priority="2" stopIfTrue="1" operator="equal">
      <formula>"TRIÊNIO"</formula>
    </cfRule>
    <cfRule type="cellIs" dxfId="550" priority="3" stopIfTrue="1" operator="equal">
      <formula>"QUINQUÊNIO"</formula>
    </cfRule>
  </conditionalFormatting>
  <conditionalFormatting sqref="L79 L81">
    <cfRule type="cellIs" dxfId="549" priority="4" stopIfTrue="1" operator="equal">
      <formula>0</formula>
    </cfRule>
  </conditionalFormatting>
  <conditionalFormatting sqref="J77:K77 J86:K97 J115:K115 I98 N60 J16:K18 J27:J38 K27:K33 K37:K38">
    <cfRule type="cellIs" dxfId="548" priority="5" stopIfTrue="1" operator="equal">
      <formula>"ATENDE"</formula>
    </cfRule>
    <cfRule type="cellIs" dxfId="547" priority="6" stopIfTrue="1" operator="equal">
      <formula>"NÃO ATENDE"</formula>
    </cfRule>
    <cfRule type="cellIs" dxfId="546" priority="7" stopIfTrue="1" operator="equal">
      <formula>"OK"</formula>
    </cfRule>
  </conditionalFormatting>
  <conditionalFormatting sqref="A99:L114 H80:H95 H21 H27:H29 L43:L57 H31:H37 N42:N57">
    <cfRule type="cellIs" dxfId="545" priority="8" stopIfTrue="1" operator="equal">
      <formula>"SIM"</formula>
    </cfRule>
    <cfRule type="cellIs" dxfId="544" priority="9" stopIfTrue="1" operator="equal">
      <formula>"NÃO"</formula>
    </cfRule>
  </conditionalFormatting>
  <conditionalFormatting sqref="F14 F11:F12 F74">
    <cfRule type="cellIs" dxfId="543" priority="10" stopIfTrue="1" operator="equal">
      <formula>"NADA A CUMPRIR"</formula>
    </cfRule>
    <cfRule type="cellIs" dxfId="542" priority="11" stopIfTrue="1" operator="equal">
      <formula>"NÃO CABE"</formula>
    </cfRule>
    <cfRule type="cellIs" dxfId="541" priority="12" stopIfTrue="1" operator="greaterThanOrEqual">
      <formula>0</formula>
    </cfRule>
  </conditionalFormatting>
  <conditionalFormatting sqref="C71:C73 C11 C75">
    <cfRule type="cellIs" dxfId="540" priority="13" stopIfTrue="1" operator="equal">
      <formula>"FALTA DATA"</formula>
    </cfRule>
  </conditionalFormatting>
  <conditionalFormatting sqref="L13">
    <cfRule type="cellIs" dxfId="539" priority="14" stopIfTrue="1" operator="equal">
      <formula>"ATENDE"</formula>
    </cfRule>
    <cfRule type="cellIs" dxfId="538" priority="15" stopIfTrue="1" operator="equal">
      <formula>"NÃO ATENDE"</formula>
    </cfRule>
    <cfRule type="cellIs" dxfId="537" priority="16" stopIfTrue="1" operator="equal">
      <formula>"NÃO CABE"</formula>
    </cfRule>
  </conditionalFormatting>
  <conditionalFormatting sqref="H10">
    <cfRule type="cellIs" dxfId="536" priority="17" stopIfTrue="1" operator="equal">
      <formula>"REVER TIPO DE ADICIONAL"</formula>
    </cfRule>
  </conditionalFormatting>
  <conditionalFormatting sqref="E13">
    <cfRule type="cellIs" dxfId="535" priority="18" stopIfTrue="1" operator="equal">
      <formula>"NÃO ATENDE LIMITE MÍNIMO DE IDADE"</formula>
    </cfRule>
    <cfRule type="cellIs" dxfId="534" priority="19" stopIfTrue="1" operator="equal">
      <formula>"REANALISAR FUNDAMENTAÇÃO E/OU MODALIDADE"</formula>
    </cfRule>
    <cfRule type="cellIs" dxfId="533" priority="20" stopIfTrue="1" operator="equal">
      <formula>"ATENDE LIMITE MÍNIMO DE IDADE"</formula>
    </cfRule>
  </conditionalFormatting>
  <conditionalFormatting sqref="C12">
    <cfRule type="cellIs" dxfId="532" priority="21" stopIfTrue="1" operator="equal">
      <formula>"INÍCIO DE CARGO E/OU CARREIRA - OK"</formula>
    </cfRule>
  </conditionalFormatting>
  <conditionalFormatting sqref="L20 N20">
    <cfRule type="cellIs" dxfId="531" priority="22" stopIfTrue="1" operator="equal">
      <formula>"NADA A CUMPRIR"</formula>
    </cfRule>
    <cfRule type="cellIs" dxfId="530" priority="23" stopIfTrue="1" operator="equal">
      <formula>"NÃO CABE"</formula>
    </cfRule>
    <cfRule type="cellIs" dxfId="529" priority="24" stopIfTrue="1" operator="greaterThan">
      <formula>0</formula>
    </cfRule>
  </conditionalFormatting>
  <conditionalFormatting sqref="J42:K57">
    <cfRule type="cellIs" dxfId="528" priority="25" stopIfTrue="1" operator="equal">
      <formula>"sim"</formula>
    </cfRule>
    <cfRule type="cellIs" dxfId="527" priority="26" stopIfTrue="1" operator="equal">
      <formula>"não"</formula>
    </cfRule>
  </conditionalFormatting>
  <conditionalFormatting sqref="K35 M35">
    <cfRule type="cellIs" dxfId="526" priority="27" stopIfTrue="1" operator="equal">
      <formula>0</formula>
    </cfRule>
    <cfRule type="cellIs" dxfId="525" priority="28" stopIfTrue="1" operator="equal">
      <formula>"NÃO CABE"</formula>
    </cfRule>
  </conditionalFormatting>
  <conditionalFormatting sqref="H11:O12">
    <cfRule type="cellIs" dxfId="524" priority="29" stopIfTrue="1" operator="equal">
      <formula>"ATENDE"</formula>
    </cfRule>
    <cfRule type="cellIs" dxfId="523" priority="30" stopIfTrue="1" operator="equal">
      <formula>"REVER FUNDAMENTAÇÃO E/OU MODALIDADE"</formula>
    </cfRule>
    <cfRule type="cellIs" dxfId="522" priority="31" stopIfTrue="1" operator="equal">
      <formula>"NÃO CABE"</formula>
    </cfRule>
  </conditionalFormatting>
  <conditionalFormatting sqref="K36 M36">
    <cfRule type="cellIs" dxfId="521" priority="32" stopIfTrue="1" operator="equal">
      <formula>0</formula>
    </cfRule>
    <cfRule type="cellIs" dxfId="520" priority="33" stopIfTrue="1" operator="equal">
      <formula>"NÃO CABE"</formula>
    </cfRule>
    <cfRule type="cellIs" dxfId="519" priority="34" stopIfTrue="1" operator="equal">
      <formula>"TEMPO A CUMPRIR"</formula>
    </cfRule>
  </conditionalFormatting>
  <conditionalFormatting sqref="L42:M42">
    <cfRule type="cellIs" dxfId="518" priority="35" stopIfTrue="1" operator="equal">
      <formula>"SIM"</formula>
    </cfRule>
    <cfRule type="cellIs" dxfId="517" priority="36" stopIfTrue="1" operator="equal">
      <formula>"NÃO"</formula>
    </cfRule>
    <cfRule type="cellIs" dxfId="516" priority="37" stopIfTrue="1" operator="notEqual">
      <formula>"NÃO"</formula>
    </cfRule>
  </conditionalFormatting>
  <conditionalFormatting sqref="N23:N26 L23:L25">
    <cfRule type="cellIs" dxfId="515" priority="38" stopIfTrue="1" operator="greaterThan">
      <formula>0</formula>
    </cfRule>
  </conditionalFormatting>
  <conditionalFormatting sqref="F26:J26">
    <cfRule type="cellIs" dxfId="514" priority="39" stopIfTrue="1" operator="equal">
      <formula>"NÃO ATENDE LIMITE MÍNIMO DE IDADE"</formula>
    </cfRule>
    <cfRule type="cellIs" dxfId="513" priority="40" stopIfTrue="1" operator="equal">
      <formula>"REANALISAR FUNDAMENTAÇÃO E/OU MODALIDADE"</formula>
    </cfRule>
    <cfRule type="cellIs" dxfId="512" priority="41" stopIfTrue="1" operator="equal">
      <formula>"MARQUE O SEXO E/OU OBSERVE TEMPO DE CONTRIBUIÇÃO"</formula>
    </cfRule>
  </conditionalFormatting>
  <conditionalFormatting sqref="G20:H20">
    <cfRule type="cellIs" dxfId="511" priority="42" stopIfTrue="1" operator="notEqual">
      <formula>"NADA A CUMPRIR"</formula>
    </cfRule>
  </conditionalFormatting>
  <conditionalFormatting sqref="L26">
    <cfRule type="cellIs" dxfId="510" priority="43" stopIfTrue="1" operator="greaterThan">
      <formula>0</formula>
    </cfRule>
    <cfRule type="cellIs" dxfId="509" priority="44" stopIfTrue="1" operator="equal">
      <formula>"###"</formula>
    </cfRule>
  </conditionalFormatting>
  <conditionalFormatting sqref="F23:H24">
    <cfRule type="cellIs" dxfId="508" priority="45" stopIfTrue="1" operator="equal">
      <formula>"NÃO ATENDE"</formula>
    </cfRule>
    <cfRule type="cellIs" dxfId="507" priority="46" stopIfTrue="1" operator="equal">
      <formula>"REANALISAR FUNDAMENTAÇÃO E/OU MODALIDADE"</formula>
    </cfRule>
    <cfRule type="cellIs" dxfId="506" priority="47" stopIfTrue="1" operator="equal">
      <formula>"MARQUE O SEXO E/OU OBSERVE TEMPO DE CONTRIBUIÇÃO"</formula>
    </cfRule>
  </conditionalFormatting>
  <conditionalFormatting sqref="F25:H25">
    <cfRule type="cellIs" dxfId="505" priority="48" stopIfTrue="1" operator="between">
      <formula>"NÃO CUMPRE"</formula>
      <formula>"NÃO ATENDE"</formula>
    </cfRule>
    <cfRule type="cellIs" dxfId="504" priority="49" stopIfTrue="1" operator="equal">
      <formula>"REANALISAR FUNDAMENTAÇÃO E/OU MODALIDADE"</formula>
    </cfRule>
    <cfRule type="cellIs" dxfId="503" priority="50" stopIfTrue="1" operator="equal">
      <formula>"MARQUE O SEXO E/OU OBSERVE TEMPO DE CONTRIBUIÇÃO"</formula>
    </cfRule>
  </conditionalFormatting>
  <conditionalFormatting sqref="C42:C57">
    <cfRule type="cellIs" dxfId="502" priority="51" stopIfTrue="1" operator="equal">
      <formula>FALSE</formula>
    </cfRule>
  </conditionalFormatting>
  <printOptions horizontalCentered="1" gridLinesSet="0"/>
  <pageMargins left="0.19685039370078741" right="0.19685039370078741" top="0.78740157480314965" bottom="0.19685039370078741" header="0.19685039370078741" footer="3.937007874015748E-2"/>
  <pageSetup paperSize="9" scale="6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302"/>
  <sheetViews>
    <sheetView showGridLines="0" zoomScale="75" zoomScaleNormal="75" workbookViewId="0" xr3:uid="{51F8DEE0-4D01-5F28-A812-FC0BD7CAC4A5}">
      <selection activeCell="M22" sqref="M22"/>
    </sheetView>
  </sheetViews>
  <sheetFormatPr defaultColWidth="0" defaultRowHeight="14.25" zeroHeight="1" x14ac:dyDescent="0.15"/>
  <cols>
    <col min="1" max="1" width="0.40234375" style="856" customWidth="1"/>
    <col min="2" max="2" width="5.12109375" style="533" customWidth="1"/>
    <col min="3" max="4" width="11.73046875" style="846" customWidth="1"/>
    <col min="5" max="5" width="10.11328125" style="533" customWidth="1"/>
    <col min="6" max="6" width="11.73046875" style="533" customWidth="1"/>
    <col min="7" max="7" width="5.93359375" style="533" customWidth="1"/>
    <col min="8" max="12" width="7.68359375" style="533" customWidth="1"/>
    <col min="13" max="13" width="17.93359375" style="533" customWidth="1"/>
    <col min="14" max="14" width="13.484375" style="533" customWidth="1"/>
    <col min="15" max="15" width="17.2578125" style="533" bestFit="1" customWidth="1"/>
    <col min="16" max="17" width="2.6953125" style="533" customWidth="1"/>
    <col min="18" max="18" width="9.70703125" style="533" hidden="1" customWidth="1"/>
    <col min="19" max="19" width="5.66015625" style="533" hidden="1" customWidth="1"/>
    <col min="20" max="20" width="5.796875" style="533" hidden="1" customWidth="1"/>
    <col min="21" max="21" width="5.66015625" style="533" hidden="1" customWidth="1"/>
    <col min="22" max="23" width="5.52734375" style="533" hidden="1" customWidth="1"/>
    <col min="24" max="25" width="5.66015625" style="533" hidden="1" customWidth="1"/>
    <col min="26" max="26" width="5.52734375" style="533" hidden="1" customWidth="1"/>
    <col min="27" max="29" width="5.93359375" style="533" hidden="1" customWidth="1"/>
    <col min="30" max="31" width="5.796875" style="533" hidden="1" customWidth="1"/>
    <col min="32" max="32" width="5.93359375" style="533" hidden="1" customWidth="1"/>
    <col min="33" max="33" width="5.66015625" style="533" hidden="1" customWidth="1"/>
    <col min="34" max="34" width="5.93359375" style="533" hidden="1" customWidth="1"/>
    <col min="35" max="37" width="5.796875" style="533" hidden="1" customWidth="1"/>
    <col min="38" max="38" width="5.93359375" style="533" hidden="1" customWidth="1"/>
    <col min="39" max="39" width="5.796875" style="533" hidden="1" customWidth="1"/>
    <col min="40" max="40" width="5.93359375" style="533" hidden="1" customWidth="1"/>
    <col min="41" max="41" width="5.796875" style="533" hidden="1" customWidth="1"/>
    <col min="42" max="45" width="5.93359375" style="533" hidden="1" customWidth="1"/>
    <col min="46" max="49" width="5.66015625" style="533" hidden="1" customWidth="1"/>
    <col min="50" max="50" width="44.09375" style="533" hidden="1" customWidth="1"/>
    <col min="51" max="51" width="2.6953125" style="533" hidden="1" customWidth="1"/>
    <col min="52" max="61" width="9.16796875" style="533" hidden="1" customWidth="1"/>
    <col min="62" max="62" width="39.375" style="533" hidden="1" customWidth="1"/>
    <col min="63" max="63" width="69.3125" style="533" hidden="1" customWidth="1"/>
    <col min="64" max="64" width="55.2890625" style="533" hidden="1" customWidth="1"/>
    <col min="65" max="65" width="69.71875" style="533" hidden="1" customWidth="1"/>
    <col min="66" max="66" width="60.546875" style="533" hidden="1" customWidth="1"/>
    <col min="67" max="67" width="55.2890625" style="533" hidden="1" customWidth="1"/>
    <col min="68" max="68" width="66.34765625" style="533" hidden="1" customWidth="1"/>
    <col min="69" max="69" width="55.2890625" style="533" hidden="1" customWidth="1"/>
    <col min="70" max="16384" width="9.16796875" style="533" hidden="1"/>
  </cols>
  <sheetData>
    <row r="1" spans="1:49" ht="3.75" customHeight="1" x14ac:dyDescent="0.15">
      <c r="E1" s="187"/>
      <c r="F1" s="187"/>
      <c r="G1" s="187"/>
      <c r="H1" s="187"/>
      <c r="I1" s="187"/>
      <c r="J1" s="187"/>
      <c r="K1" s="187"/>
      <c r="L1" s="187"/>
    </row>
    <row r="2" spans="1:49" x14ac:dyDescent="0.15">
      <c r="B2" s="1495"/>
      <c r="C2" s="1496"/>
      <c r="D2" s="1496"/>
      <c r="E2" s="1496"/>
      <c r="F2" s="1496"/>
      <c r="G2" s="1496"/>
      <c r="H2" s="1496"/>
      <c r="I2" s="1496"/>
      <c r="J2" s="1496"/>
      <c r="K2" s="1496"/>
      <c r="L2" s="1775" t="str">
        <f>'MTS - MAPA DE TEMPO DE SERVIÇO'!L2</f>
        <v>FAAP - MÓDULO 1 - R3.1</v>
      </c>
      <c r="M2" s="1775"/>
      <c r="N2" s="1775"/>
      <c r="O2" s="1775"/>
      <c r="P2" s="1496"/>
    </row>
    <row r="3" spans="1:49" ht="20.25" x14ac:dyDescent="0.25">
      <c r="A3" s="844"/>
      <c r="B3" s="1495">
        <v>1</v>
      </c>
      <c r="C3" s="1776" t="s">
        <v>283</v>
      </c>
      <c r="D3" s="1777"/>
      <c r="E3" s="1777"/>
      <c r="F3" s="1777"/>
      <c r="G3" s="1777"/>
      <c r="H3" s="1777"/>
      <c r="I3" s="1777"/>
      <c r="J3" s="1777"/>
      <c r="K3" s="1777"/>
      <c r="L3" s="1777"/>
      <c r="M3" s="1777"/>
      <c r="N3" s="1777"/>
      <c r="O3" s="1778"/>
      <c r="P3" s="1496"/>
      <c r="AW3" s="865"/>
    </row>
    <row r="4" spans="1:49" ht="6" customHeight="1" x14ac:dyDescent="0.25">
      <c r="A4" s="844"/>
      <c r="B4" s="1495"/>
      <c r="C4" s="1497"/>
      <c r="D4" s="1497"/>
      <c r="E4" s="1497"/>
      <c r="F4" s="1497"/>
      <c r="G4" s="1497"/>
      <c r="H4" s="1497"/>
      <c r="I4" s="1497"/>
      <c r="J4" s="1497"/>
      <c r="K4" s="1497"/>
      <c r="L4" s="1497"/>
      <c r="M4" s="1497"/>
      <c r="N4" s="1497"/>
      <c r="O4" s="1497"/>
      <c r="P4" s="1496"/>
      <c r="AW4" s="865"/>
    </row>
    <row r="5" spans="1:49" ht="15" customHeight="1" x14ac:dyDescent="0.25">
      <c r="A5" s="844"/>
      <c r="B5" s="1495"/>
      <c r="C5" s="1495"/>
      <c r="D5" s="1498" t="str">
        <f>IF('FICHA FUNCIONAL'!E16&gt;0,"NOME:","")</f>
        <v/>
      </c>
      <c r="E5" s="1782" t="str">
        <f>IF('FICHA FUNCIONAL'!E16&gt;0,'FICHA FUNCIONAL'!E16,"")</f>
        <v/>
      </c>
      <c r="F5" s="1782"/>
      <c r="G5" s="1782"/>
      <c r="H5" s="1782"/>
      <c r="I5" s="1782"/>
      <c r="J5" s="1782" t="str">
        <f>IF('FICHA FUNCIONAL'!E17&gt;0,"MATRÍCULA:","")</f>
        <v/>
      </c>
      <c r="K5" s="1782"/>
      <c r="L5" s="1499" t="str">
        <f>IF('FICHA FUNCIONAL'!E17&gt;0,'FICHA FUNCIONAL'!E17,"")</f>
        <v/>
      </c>
      <c r="M5" s="1499"/>
      <c r="N5" s="1497"/>
      <c r="O5" s="1497"/>
      <c r="P5" s="1496"/>
      <c r="AW5" s="865"/>
    </row>
    <row r="6" spans="1:49" ht="6" customHeight="1" thickBot="1" x14ac:dyDescent="0.2">
      <c r="B6" s="1495"/>
      <c r="C6" s="1496"/>
      <c r="D6" s="1496"/>
      <c r="E6" s="1496"/>
      <c r="F6" s="1496"/>
      <c r="G6" s="1496"/>
      <c r="H6" s="1496"/>
      <c r="I6" s="1496"/>
      <c r="J6" s="1496"/>
      <c r="K6" s="1496"/>
      <c r="L6" s="1496"/>
      <c r="M6" s="1496"/>
      <c r="N6" s="1496"/>
      <c r="O6" s="1496"/>
      <c r="P6" s="1496"/>
      <c r="AW6" s="865"/>
    </row>
    <row r="7" spans="1:49" ht="18.75" thickTop="1" x14ac:dyDescent="0.2">
      <c r="B7" s="1495">
        <v>2</v>
      </c>
      <c r="C7" s="1779" t="s">
        <v>228</v>
      </c>
      <c r="D7" s="1780"/>
      <c r="E7" s="1780"/>
      <c r="F7" s="1780"/>
      <c r="G7" s="1780"/>
      <c r="H7" s="1780"/>
      <c r="I7" s="1780"/>
      <c r="J7" s="1780"/>
      <c r="K7" s="1780"/>
      <c r="L7" s="1780"/>
      <c r="M7" s="1780"/>
      <c r="N7" s="1780"/>
      <c r="O7" s="1781"/>
      <c r="P7" s="1496"/>
      <c r="AW7" s="865"/>
    </row>
    <row r="8" spans="1:49" ht="4.5" customHeight="1" thickBot="1" x14ac:dyDescent="0.2">
      <c r="B8" s="1495"/>
      <c r="C8" s="1500"/>
      <c r="D8" s="1472"/>
      <c r="E8" s="1472"/>
      <c r="F8" s="1472"/>
      <c r="G8" s="1472"/>
      <c r="H8" s="1472"/>
      <c r="I8" s="1472"/>
      <c r="J8" s="1472"/>
      <c r="K8" s="1472"/>
      <c r="L8" s="1472"/>
      <c r="M8" s="1472"/>
      <c r="N8" s="1472"/>
      <c r="O8" s="1501"/>
      <c r="P8" s="1496"/>
      <c r="AW8" s="865"/>
    </row>
    <row r="9" spans="1:49" ht="29.25" thickBot="1" x14ac:dyDescent="0.2">
      <c r="B9" s="1495">
        <v>3</v>
      </c>
      <c r="C9" s="1763" t="s">
        <v>253</v>
      </c>
      <c r="D9" s="1764"/>
      <c r="E9" s="1765"/>
      <c r="F9" s="1761" t="s">
        <v>454</v>
      </c>
      <c r="G9" s="1762"/>
      <c r="H9" s="1754" t="s">
        <v>138</v>
      </c>
      <c r="I9" s="1755"/>
      <c r="J9" s="1755"/>
      <c r="K9" s="1755"/>
      <c r="L9" s="1756"/>
      <c r="M9" s="1385" t="s">
        <v>35</v>
      </c>
      <c r="N9" s="1380" t="s">
        <v>156</v>
      </c>
      <c r="O9" s="1384" t="s">
        <v>77</v>
      </c>
      <c r="P9" s="1496"/>
      <c r="AW9" s="865"/>
    </row>
    <row r="10" spans="1:49" ht="32.1" customHeight="1" x14ac:dyDescent="0.15">
      <c r="B10" s="1495">
        <v>4</v>
      </c>
      <c r="C10" s="1787" t="s">
        <v>39</v>
      </c>
      <c r="D10" s="1788"/>
      <c r="E10" s="1789"/>
      <c r="F10" s="1759" t="s">
        <v>37</v>
      </c>
      <c r="G10" s="1760"/>
      <c r="H10" s="1757" t="str">
        <f>IF(OR(CRÍTICA_IGP1!Q173="O SERVIDOR NÃO FAZ JUS A ESSA REGRA E/OU MODALIDADE",CRÍTICA_IGP1!Q173="MARQUE O SEXO"),CRÍTICA_IGP1!Q173,IF(OR(CRÍTICA_IGP1!Q173&gt;0,CRÍTICA_IGP1!R173&gt;0,CRÍTICA_IGP1!S173&gt;0,CRÍTICA_IGP1!T173&gt;0,CRÍTICA_IGP1!U173&gt;0),"REGRA NÃO CUMPRIDA","REGRA CUMPRIDA"))</f>
        <v>O SERVIDOR NÃO FAZ JUS A ESSA REGRA E/OU MODALIDADE</v>
      </c>
      <c r="I10" s="1757"/>
      <c r="J10" s="1757"/>
      <c r="K10" s="1757"/>
      <c r="L10" s="1758"/>
      <c r="M10" s="1522" t="str">
        <f>IF(AND(H10&lt;&gt;"O SERVIDOR NÃO FAZ JUS A ESSA REGRA E/OU MODALIDADE",H10&lt;&gt;"MARQUE O SEXO",H10&lt;&gt;"REGRA CUMPRIDA"),R10,"")</f>
        <v/>
      </c>
      <c r="N10" s="1527" t="e">
        <f>IF(CRÍTICA_IGP1!$AH$166&lt;CRÍTICA_IGP1!$AH$173,"",IF(M10="","",HLOOKUP(M10,CRÍTICA_IGP1!$P$157:$U$173,17,FALSE)))</f>
        <v>#VALUE!</v>
      </c>
      <c r="O10" s="1503" t="e">
        <f>IF(CRÍTICA_IGP1!$AH$166&lt;CRÍTICA_IGP1!$AH$173,"LIMITADA À COMPULSÓRIA",IF(N10="","",CRÍTICA_IGP1!$AH$173))</f>
        <v>#VALUE!</v>
      </c>
      <c r="P10" s="1496"/>
      <c r="R10" s="1323" t="e">
        <f>IF(AND(CRÍTICA_IGP1!$Q$173&gt;CRÍTICA_IGP1!$R$173,CRÍTICA_IGP1!$Q$173&gt;CRÍTICA_IGP1!$S$173,CRÍTICA_IGP1!$Q$173&gt;CRÍTICA_IGP1!$T$173,CRÍTICA_IGP1!$Q$173&gt;CRÍTICA_IGP1!$U$173),"T. CONTRIBUIÇÃO",IF(AND(CRÍTICA_IGP1!$R$173&gt;CRÍTICA_IGP1!$Q$173,CRÍTICA_IGP1!$R$173&gt;CRÍTICA_IGP1!$S$173,CRÍTICA_IGP1!$R$173&gt;CRÍTICA_IGP1!$T$173,CRÍTICA_IGP1!$R$173&gt;CRÍTICA_IGP1!$U$173),"T. CARGO",IF(AND(CRÍTICA_IGP1!$S$173&gt;CRÍTICA_IGP1!$Q$173,CRÍTICA_IGP1!$S$173&gt;CRÍTICA_IGP1!$R$173,CRÍTICA_IGP1!$S$173&gt;CRÍTICA_IGP1!$T$173,CRÍTICA_IGP1!$S$173&gt;CRÍTICA_IGP1!$U$173),"T. CARREIRA",IF(AND(CRÍTICA_IGP1!$T$173&gt;CRÍTICA_IGP1!$Q$173,CRÍTICA_IGP1!$T$173&gt;CRÍTICA_IGP1!$R$173,CRÍTICA_IGP1!$T$173&gt;CRÍTICA_IGP1!$S$173,CRÍTICA_IGP1!$T$173&gt;CRÍTICA_IGP1!$U$173),"T. SERV. PÚBL.",IF(AND(CRÍTICA_IGP1!$U$173&gt;CRÍTICA_IGP1!$Q$173,CRÍTICA_IGP1!$U$173&gt;CRÍTICA_IGP1!$R$173,CRÍTICA_IGP1!$U$173&gt;CRÍTICA_IGP1!$S$173,CRÍTICA_IGP1!$U$173&gt;CRÍTICA_IGP1!$T$173),"IDADE","")))))</f>
        <v>#VALUE!</v>
      </c>
      <c r="AW10" s="865"/>
    </row>
    <row r="11" spans="1:49" ht="32.1" customHeight="1" x14ac:dyDescent="0.15">
      <c r="B11" s="1495">
        <v>5</v>
      </c>
      <c r="C11" s="1740" t="s">
        <v>795</v>
      </c>
      <c r="D11" s="1741"/>
      <c r="E11" s="1741"/>
      <c r="F11" s="1790" t="s">
        <v>37</v>
      </c>
      <c r="G11" s="1791"/>
      <c r="H11" s="1743" t="str">
        <f>IF(OR(CRÍTICA_IGP1!Q171="O SERVIDOR NÃO FAZ JUS A ESSA REGRA E/OU MODALIDADE",CRÍTICA_IGP1!Q171="MARQUE O SEXO"),CRÍTICA_IGP1!Q171,IF(OR(CRÍTICA_IGP1!Q171&gt;0,CRÍTICA_IGP1!R171&gt;0,CRÍTICA_IGP1!S171&gt;0,CRÍTICA_IGP1!T171&gt;0,CRÍTICA_IGP1!U171&gt;0),"REGRA NÃO CUMPRIDA","REGRA CUMPRIDA"))</f>
        <v>O SERVIDOR NÃO FAZ JUS A ESSA REGRA E/OU MODALIDADE</v>
      </c>
      <c r="I11" s="1743"/>
      <c r="J11" s="1743"/>
      <c r="K11" s="1743"/>
      <c r="L11" s="1744"/>
      <c r="M11" s="1523" t="str">
        <f>IF(AND(H11&lt;&gt;"O SERVIDOR NÃO FAZ JUS A ESSA REGRA E/OU MODALIDADE",H11&lt;&gt;"MARQUE O SEXO",H11&lt;&gt;"REGRA CUMPRIDA"),R11,"")</f>
        <v/>
      </c>
      <c r="N11" s="1527" t="str">
        <f>IF(CRÍTICA_IGP1!$AH$166&lt;CRÍTICA_IGP1!$AH$171,"",IF(M11="","",HLOOKUP(M11,CRÍTICA_IGP1!$P$157:$U$173,15,FALSE)))</f>
        <v/>
      </c>
      <c r="O11" s="1504" t="str">
        <f>IF(CRÍTICA_IGP1!$AH$166&lt;CRÍTICA_IGP1!$AH$171,"LIMITADA À COMPULSÓRIA",IF(N11="","",CRÍTICA_IGP1!$AH$171))</f>
        <v/>
      </c>
      <c r="P11" s="1496"/>
      <c r="R11" s="1323" t="str">
        <f>IF(AND(CRÍTICA_IGP1!$Q$171&gt;CRÍTICA_IGP1!$R$171,CRÍTICA_IGP1!$Q$171&gt;CRÍTICA_IGP1!$S$171,CRÍTICA_IGP1!$Q$171&gt;CRÍTICA_IGP1!$T$171,CRÍTICA_IGP1!$Q$171&gt;CRÍTICA_IGP1!$U$171),"T. CONTRIBUIÇÃO",IF(AND(CRÍTICA_IGP1!$R$171&gt;CRÍTICA_IGP1!$Q$171,CRÍTICA_IGP1!$R$171&gt;CRÍTICA_IGP1!$S$171,CRÍTICA_IGP1!$R$171&gt;CRÍTICA_IGP1!$T$171,CRÍTICA_IGP1!$R$171&gt;CRÍTICA_IGP1!$U$171),"T. CARGO",IF(AND(CRÍTICA_IGP1!$S$171&gt;CRÍTICA_IGP1!$Q$171,CRÍTICA_IGP1!$S$171&gt;CRÍTICA_IGP1!$R$171,CRÍTICA_IGP1!$S$171&gt;CRÍTICA_IGP1!$T$171,CRÍTICA_IGP1!$S$171&gt;CRÍTICA_IGP1!$U$171),"T. CARREIRA",IF(AND(CRÍTICA_IGP1!$T$171&gt;CRÍTICA_IGP1!$Q$171,CRÍTICA_IGP1!$T$171&gt;CRÍTICA_IGP1!$R$171,CRÍTICA_IGP1!$T$171&gt;CRÍTICA_IGP1!$S$171,CRÍTICA_IGP1!$T$171&gt;CRÍTICA_IGP1!$U$171),"T. SERV. PÚBL.",IF(AND(CRÍTICA_IGP1!$U$171&gt;CRÍTICA_IGP1!$Q$171,CRÍTICA_IGP1!$U$171&gt;CRÍTICA_IGP1!$R$171,CRÍTICA_IGP1!$U$171&gt;CRÍTICA_IGP1!$S$171,CRÍTICA_IGP1!$U$171&gt;CRÍTICA_IGP1!$T$171),"IDADE","")))))</f>
        <v>T. CONTRIBUIÇÃO</v>
      </c>
      <c r="AW11" s="865"/>
    </row>
    <row r="12" spans="1:49" ht="32.1" customHeight="1" x14ac:dyDescent="0.15">
      <c r="A12" s="844"/>
      <c r="B12" s="1495">
        <v>6</v>
      </c>
      <c r="C12" s="1740" t="s">
        <v>795</v>
      </c>
      <c r="D12" s="1741"/>
      <c r="E12" s="1742"/>
      <c r="F12" s="1738" t="s">
        <v>38</v>
      </c>
      <c r="G12" s="1739"/>
      <c r="H12" s="1743" t="str">
        <f>IF(OR(CRÍTICA_IGP1!Q172="O SERVIDOR NÃO FAZ JUS A ESSA REGRA E/OU MODALIDADE",CRÍTICA_IGP1!Q172="MARQUE O SEXO",CRÍTICA_IGP1!Q172="CONFIRME MAGISTÉRIO"),CRÍTICA_IGP1!Q172,IF(OR(CRÍTICA_IGP1!Q172&gt;0,CRÍTICA_IGP1!R172&gt;0,CRÍTICA_IGP1!S172&gt;0,CRÍTICA_IGP1!T172&gt;0,CRÍTICA_IGP1!U172&gt;0),"REGRA NÃO CUMPRIDA","REGRA CUMPRIDA"))</f>
        <v>O SERVIDOR NÃO FAZ JUS A ESSA REGRA E/OU MODALIDADE</v>
      </c>
      <c r="I12" s="1743"/>
      <c r="J12" s="1743"/>
      <c r="K12" s="1743"/>
      <c r="L12" s="1745"/>
      <c r="M12" s="1523" t="str">
        <f>IF(AND(H12&lt;&gt;"O SERVIDOR NÃO FAZ JUS A ESSA REGRA E/OU MODALIDADE",H12&lt;&gt;"MARQUE O SEXO",H12&lt;&gt;"REGRA CUMPRIDA",H12&lt;&gt;"CONFIRME MAGISTÉRIO"),R12,"")</f>
        <v/>
      </c>
      <c r="N12" s="1527" t="str">
        <f>IF(CRÍTICA_IGP1!$AH$166&lt;CRÍTICA_IGP1!$AH$172,"",IF(M12="","",HLOOKUP(M12,CRÍTICA_IGP1!$P$157:$U$173,16,FALSE)))</f>
        <v/>
      </c>
      <c r="O12" s="1504" t="str">
        <f>IF(CRÍTICA_IGP1!$AH$166&lt;CRÍTICA_IGP1!$AH$172,"LIMITADA À COMPULSÓRIA",IF(N12="","",CRÍTICA_IGP1!$AH$172))</f>
        <v/>
      </c>
      <c r="P12" s="1496"/>
      <c r="R12" s="1323" t="str">
        <f>IF(AND(CRÍTICA_IGP1!$Q$172&gt;CRÍTICA_IGP1!$R$172,CRÍTICA_IGP1!$Q$172&gt;CRÍTICA_IGP1!$S$172,CRÍTICA_IGP1!$Q$172&gt;CRÍTICA_IGP1!$T$172,CRÍTICA_IGP1!$Q$172&gt;CRÍTICA_IGP1!$U$172),"T. CONTRIBUIÇÃO",IF(AND(CRÍTICA_IGP1!$R$172&gt;CRÍTICA_IGP1!$Q$172,CRÍTICA_IGP1!$R$172&gt;CRÍTICA_IGP1!$S$172,CRÍTICA_IGP1!$R$172&gt;CRÍTICA_IGP1!$T$172,CRÍTICA_IGP1!$R$172&gt;CRÍTICA_IGP1!$U$172),"T. CARGO",IF(AND(CRÍTICA_IGP1!$S$172&gt;CRÍTICA_IGP1!$Q$172,CRÍTICA_IGP1!$S$172&gt;CRÍTICA_IGP1!$R$172,CRÍTICA_IGP1!$S$172&gt;CRÍTICA_IGP1!$T$172,CRÍTICA_IGP1!$S$172&gt;CRÍTICA_IGP1!$U$172),"T. CARREIRA",IF(AND(CRÍTICA_IGP1!$T$172&gt;CRÍTICA_IGP1!$Q$172,CRÍTICA_IGP1!$T$172&gt;CRÍTICA_IGP1!$R$172,CRÍTICA_IGP1!$T$172&gt;CRÍTICA_IGP1!$S$172,CRÍTICA_IGP1!$T$172&gt;CRÍTICA_IGP1!$U$172),"T. SERV. PÚBL.",IF(AND(CRÍTICA_IGP1!$U$172&gt;CRÍTICA_IGP1!$Q$172,CRÍTICA_IGP1!$U$172&gt;CRÍTICA_IGP1!$R$172,CRÍTICA_IGP1!$U$172&gt;CRÍTICA_IGP1!$S$172,CRÍTICA_IGP1!$U$172&gt;CRÍTICA_IGP1!$T$172),"IDADE","")))))</f>
        <v>T. CONTRIBUIÇÃO</v>
      </c>
      <c r="AW12" s="865"/>
    </row>
    <row r="13" spans="1:49" ht="32.1" customHeight="1" x14ac:dyDescent="0.15">
      <c r="A13" s="844"/>
      <c r="B13" s="1495">
        <v>7</v>
      </c>
      <c r="C13" s="1740" t="s">
        <v>40</v>
      </c>
      <c r="D13" s="1741"/>
      <c r="E13" s="1742"/>
      <c r="F13" s="1738" t="s">
        <v>37</v>
      </c>
      <c r="G13" s="1739"/>
      <c r="H13" s="1746" t="str">
        <f>IF(CRÍTICA_IGP1!AH167&gt;=37986,"A PARTIR DE 31/12/2003 ESSA REGRA NÃO SE APLICA AO SERVIDOR",U13)</f>
        <v>REGRA NÃO CUMPRIDA</v>
      </c>
      <c r="I13" s="1747"/>
      <c r="J13" s="1748"/>
      <c r="K13" s="1748"/>
      <c r="L13" s="1749"/>
      <c r="M13" s="1523" t="str">
        <f>IF(AND(H13&lt;&gt;"A PARTIR DE 31/12/2003 ESSA REGRA NÃO SE APLICA AO SERVIDOR",H13&lt;&gt;"REGRA CUMPRIDA"),R13,"")</f>
        <v>IDADE</v>
      </c>
      <c r="N13" s="1527" t="str">
        <f>IF(M13="","",IF(CRÍTICA_IGP1!$AH$166&lt;CRÍTICA_IGP1!$AH$167,"",HLOOKUP(M13,CRÍTICA_IGP1!$P$157:$U$173,11,FALSE)))</f>
        <v>MARQUE O SEXO</v>
      </c>
      <c r="O13" s="1504">
        <f>IF(H13="a partir de 31/12/2003 essa regra não se aplica ao servidor","",IF(N13="","",CRÍTICA_IGP1!AH167))</f>
        <v>15330</v>
      </c>
      <c r="P13" s="1496"/>
      <c r="R13" s="1323" t="str">
        <f>IF('CENÁRIOS DE CONCESSÃO'!U13&lt;&gt;"O SERVIDOR NÃO FAZ JUS A ESSA REGRA E/OU MODALIDADE",IF(AND(CRÍTICA_IGP1!Q167&gt;CRÍTICA_IGP1!R167,CRÍTICA_IGP1!Q167&gt;=CRÍTICA_IGP1!T167,CRÍTICA_IGP1!Q167&gt;=CRÍTICA_IGP1!U167),CRÍTICA_IGP1!$Q$157,IF(AND(CRÍTICA_IGP1!R167&gt;CRÍTICA_IGP1!Q167,CRÍTICA_IGP1!R167&gt;=CRÍTICA_IGP1!T167,CRÍTICA_IGP1!R167&gt;=CRÍTICA_IGP1!U167),CRÍTICA_IGP1!$R$157,IF(AND(CRÍTICA_IGP1!T167&gt;CRÍTICA_IGP1!Q167,CRÍTICA_IGP1!T167&gt;CRÍTICA_IGP1!R167,CRÍTICA_IGP1!T167&gt;=CRÍTICA_IGP1!U167),CRÍTICA_IGP1!$T$157,IF(AND(CRÍTICA_IGP1!U167&gt;CRÍTICA_IGP1!Q167,CRÍTICA_IGP1!T167&gt;CRÍTICA_IGP1!R167,CRÍTICA_IGP1!U167&gt;CRÍTICA_IGP1!T167),CRÍTICA_IGP1!$U$157,"")))),"")</f>
        <v>IDADE</v>
      </c>
      <c r="U13" s="1743" t="str">
        <f>IF(OR(CRÍTICA_IGP1!Q167="A PARTIR DE 31/12/2003 ESSA REGRA NÃO SE APLICA AO SERVIDOR",CRÍTICA_IGP1!AH167&gt;=37986),"A PARTIR DE 31/12/2003 ESSA REGRA NÃO SE APLICA AO SERVIDOR",IF(OR(CRÍTICA_IGP1!Q167&gt;0,CRÍTICA_IGP1!R167&gt;0,CRÍTICA_IGP1!T167&gt;0,CRÍTICA_IGP1!U167&gt;0,VI_TRANS_EC20!N82="NÃO"),"REGRA NÃO CUMPRIDA","REGRA CUMPRIDA"))</f>
        <v>REGRA NÃO CUMPRIDA</v>
      </c>
      <c r="V13" s="1743"/>
      <c r="W13" s="1743"/>
      <c r="X13" s="1743"/>
      <c r="Y13" s="1744"/>
      <c r="AW13" s="865"/>
    </row>
    <row r="14" spans="1:49" ht="32.1" customHeight="1" x14ac:dyDescent="0.15">
      <c r="A14" s="844"/>
      <c r="B14" s="1495">
        <v>8</v>
      </c>
      <c r="C14" s="1740" t="s">
        <v>40</v>
      </c>
      <c r="D14" s="1741"/>
      <c r="E14" s="1742"/>
      <c r="F14" s="1766" t="s">
        <v>38</v>
      </c>
      <c r="G14" s="1767"/>
      <c r="H14" s="1750" t="str">
        <f>IF(CRÍTICA_IGP1!AH168&gt;=37986,"A PARTIR DE 31/12/2003 ESSA REGRA NÃO SE APLICA AO SERVIDOR",U14)</f>
        <v>CONFIRME MAGISTÉRIO</v>
      </c>
      <c r="I14" s="1751"/>
      <c r="J14" s="1752"/>
      <c r="K14" s="1752"/>
      <c r="L14" s="1753"/>
      <c r="M14" s="1523" t="str">
        <f>IF(AND(H14&lt;&gt;"A PARTIR DE 31/12/2003 ESSA REGRA NÃO SE APLICA AO SERVIDOR",H14&lt;&gt;"regra cumprida",H14&lt;&gt;"CONFIRME MAGISTÉRIO"),R14,"")</f>
        <v/>
      </c>
      <c r="N14" s="1527" t="str">
        <f>IF(M14="","",IF(CRÍTICA_IGP1!AH166&lt;CRÍTICA_IGP1!AH168,"",HLOOKUP(M14,CRÍTICA_IGP1!P157:U173,12,FALSE)))</f>
        <v/>
      </c>
      <c r="O14" s="1504" t="str">
        <f>IF(H14="a partir de 31/12/2003 essa regra não se aplica ao servidor","",IF(N14="","",CRÍTICA_IGP1!AH168))</f>
        <v/>
      </c>
      <c r="P14" s="1496"/>
      <c r="R14" s="1323" t="str">
        <f>IF('CENÁRIOS DE CONCESSÃO'!U14&lt;&gt;"O SERVIDOR NÃO FAZ JUS A ESSA REGRA E/OU MODALIDADE",IF(AND(CRÍTICA_IGP1!Q168&gt;CRÍTICA_IGP1!R168,CRÍTICA_IGP1!Q168&gt;=CRÍTICA_IGP1!T168,CRÍTICA_IGP1!Q168&gt;=CRÍTICA_IGP1!U168),CRÍTICA_IGP1!$Q$157,IF(AND(CRÍTICA_IGP1!R168&gt;CRÍTICA_IGP1!Q168,CRÍTICA_IGP1!R168&gt;=CRÍTICA_IGP1!T168,CRÍTICA_IGP1!R168&gt;=CRÍTICA_IGP1!U168),CRÍTICA_IGP1!$R$157,IF(AND(CRÍTICA_IGP1!T168&gt;CRÍTICA_IGP1!Q168,CRÍTICA_IGP1!T168&gt;CRÍTICA_IGP1!R168,CRÍTICA_IGP1!T168&gt;=CRÍTICA_IGP1!U168),CRÍTICA_IGP1!$T$157,IF(AND(CRÍTICA_IGP1!U168&gt;CRÍTICA_IGP1!Q168,CRÍTICA_IGP1!T168&gt;CRÍTICA_IGP1!R168,CRÍTICA_IGP1!U168&gt;CRÍTICA_IGP1!T168),CRÍTICA_IGP1!$U$157,"")))),"")</f>
        <v>IDADE</v>
      </c>
      <c r="U14" s="1743" t="str">
        <f>IF(OR(CRÍTICA_IGP1!Q168="A PARTIR DE 31/12/2003 ESSA REGRA NÃO SE APLICA AO SERVIDOR",CRÍTICA_IGP1!AH168&gt;=37986,CRÍTICA_IGP1!Q168="CONFIRME MAGISTÉRIO"),CRÍTICA_IGP1!Q168,IF(OR(CRÍTICA_IGP1!Q168&gt;0,CRÍTICA_IGP1!R168&gt;0,CRÍTICA_IGP1!T168&gt;0,CRÍTICA_IGP1!U168&gt;0,VE_TRANS_EC20!N90="NÃO"),"REGRA NÃO CUMPRIDA","REGRA CUMPRIDA"))</f>
        <v>CONFIRME MAGISTÉRIO</v>
      </c>
      <c r="V14" s="1743"/>
      <c r="W14" s="1743"/>
      <c r="X14" s="1743"/>
      <c r="Y14" s="1745"/>
      <c r="AW14" s="865"/>
    </row>
    <row r="15" spans="1:49" ht="32.1" customHeight="1" x14ac:dyDescent="0.15">
      <c r="A15" s="844"/>
      <c r="B15" s="1495">
        <v>9</v>
      </c>
      <c r="C15" s="1740" t="s">
        <v>40</v>
      </c>
      <c r="D15" s="1741"/>
      <c r="E15" s="1742"/>
      <c r="F15" s="1766" t="s">
        <v>47</v>
      </c>
      <c r="G15" s="1767"/>
      <c r="H15" s="1746" t="str">
        <f>IF(CRÍTICA_IGP1!AH169&gt;=37986,"A PARTIR DE 31/12/2003 ESSA REGRA NÃO SE APLICA AO SERVIDOR",U15)</f>
        <v>REGRA NÃO CUMPRIDA</v>
      </c>
      <c r="I15" s="1747"/>
      <c r="J15" s="1748"/>
      <c r="K15" s="1748"/>
      <c r="L15" s="1749"/>
      <c r="M15" s="1523" t="str">
        <f>IF(AND(H15&lt;&gt;"A PARTIR DE 31/12/2003 ESSA REGRA NÃO SE APLICA AO SERVIDOR",H15&lt;&gt;"regra cumprida"),R15,"")</f>
        <v>IDADE</v>
      </c>
      <c r="N15" s="1527" t="str">
        <f>IF(M15="","",IF(CRÍTICA_IGP1!AH166&lt;CRÍTICA_IGP1!AH169,"",HLOOKUP(M15,CRÍTICA_IGP1!P157:U173,13,FALSE)))</f>
        <v>MARQUE O SEXO</v>
      </c>
      <c r="O15" s="1504">
        <f>IF(H15="a partir de 31/12/2003 essa regra não se aplica ao servidor","",IF(N15="","",CRÍTICA_IGP1!AH169))</f>
        <v>15330</v>
      </c>
      <c r="P15" s="1496"/>
      <c r="R15" s="1323" t="str">
        <f>IF('CENÁRIOS DE CONCESSÃO'!U15&lt;&gt;"O SERVIDOR NÃO FAZ JUS A ESSA REGRA E/OU MODALIDADE",IF(AND(CRÍTICA_IGP1!Q169&gt;CRÍTICA_IGP1!R169,CRÍTICA_IGP1!Q169&gt;=CRÍTICA_IGP1!T169,CRÍTICA_IGP1!Q169&gt;=CRÍTICA_IGP1!U169),CRÍTICA_IGP1!$Q$157,IF(AND(CRÍTICA_IGP1!R169&gt;CRÍTICA_IGP1!Q169,CRÍTICA_IGP1!R169&gt;=CRÍTICA_IGP1!T169,CRÍTICA_IGP1!R169&gt;=CRÍTICA_IGP1!U169),CRÍTICA_IGP1!$R$157,IF(AND(CRÍTICA_IGP1!T169&gt;CRÍTICA_IGP1!Q169,CRÍTICA_IGP1!T169&gt;CRÍTICA_IGP1!R169,CRÍTICA_IGP1!T169&gt;=CRÍTICA_IGP1!U169),CRÍTICA_IGP1!$T$157,IF(AND(CRÍTICA_IGP1!U169&gt;CRÍTICA_IGP1!Q169,CRÍTICA_IGP1!T169&gt;CRÍTICA_IGP1!R169,CRÍTICA_IGP1!U169&gt;CRÍTICA_IGP1!T169),CRÍTICA_IGP1!$U$157,"")))),"")</f>
        <v>IDADE</v>
      </c>
      <c r="U15" s="1743" t="str">
        <f>IF(OR(CRÍTICA_IGP1!Q169="A PARTIR DE 31/12/2003 ESSA REGRA NÃO SE APLICA AO SERVIDOR",CRÍTICA_IGP1!AH169&gt;=37986),"A PARTIR DE 31/12/2003 ESSA REGRA NÃO SE APLICA AO SERVIDOR",IF(OR(CRÍTICA_IGP1!Q169&gt;0,CRÍTICA_IGP1!R169&gt;0,CRÍTICA_IGP1!T169&gt;0,CRÍTICA_IGP1!U169&gt;0,VPTC_TRANS_EC20!N84="NÃO"),"REGRA NÃO CUMPRIDA","REGRA CUMPRIDA"))</f>
        <v>REGRA NÃO CUMPRIDA</v>
      </c>
      <c r="V15" s="1743"/>
      <c r="W15" s="1743"/>
      <c r="X15" s="1743"/>
      <c r="Y15" s="1744"/>
      <c r="AW15" s="865"/>
    </row>
    <row r="16" spans="1:49" ht="32.1" customHeight="1" x14ac:dyDescent="0.15">
      <c r="A16" s="844"/>
      <c r="B16" s="1495">
        <v>10</v>
      </c>
      <c r="C16" s="1740" t="s">
        <v>42</v>
      </c>
      <c r="D16" s="1741"/>
      <c r="E16" s="1742"/>
      <c r="F16" s="1738" t="s">
        <v>488</v>
      </c>
      <c r="G16" s="1739"/>
      <c r="H16" s="1768" t="str">
        <f>IF(OR(CRÍTICA_IGP1!Q162="A PARTIR DE 20/02/2004 ESSA REGRA NÃO SE APLICA AO SERVIDOR",CRÍTICA_IGP1!AH162&gt;=38037),"A PARTIR DE 20/02/2004 ESSA REGRA NÃO SE APLICA AO SERVIDOR",IF(CRÍTICA_IGP1!U162&gt;0,"REGRA NÃO CUMPRIDA","REGRA CUMPRIDA"))</f>
        <v>REGRA NÃO CUMPRIDA</v>
      </c>
      <c r="I16" s="1769"/>
      <c r="J16" s="1769"/>
      <c r="K16" s="1769"/>
      <c r="L16" s="1770"/>
      <c r="M16" s="1523" t="str">
        <f>IF(H16="A PARTIR DE 20/02/2004 ESSA REGRA NÃO SE APLICA AO SERVIDOR","",IF(CRÍTICA_IGP1!$Q$20&gt;0,"IDADE",""))</f>
        <v>IDADE</v>
      </c>
      <c r="N16" s="1527">
        <f>IF(M16&lt;&gt;"",IF(CRÍTICA_IGP1!$Q$20&gt;0,CRÍTICA_IGP1!Q20,""),"")</f>
        <v>25568</v>
      </c>
      <c r="O16" s="1524">
        <f>IF(N16&lt;&gt;"",CRÍTICA_IGP1!AH162,"")</f>
        <v>25568</v>
      </c>
      <c r="P16" s="1496"/>
      <c r="R16" s="877"/>
      <c r="AW16" s="865"/>
    </row>
    <row r="17" spans="1:49" ht="32.1" customHeight="1" x14ac:dyDescent="0.15">
      <c r="A17" s="844"/>
      <c r="B17" s="1495">
        <v>11</v>
      </c>
      <c r="C17" s="1740" t="s">
        <v>42</v>
      </c>
      <c r="D17" s="1741"/>
      <c r="E17" s="1742"/>
      <c r="F17" s="1738" t="s">
        <v>36</v>
      </c>
      <c r="G17" s="1771"/>
      <c r="H17" s="1743" t="e">
        <f>IF(OR(CRÍTICA_IGP1!Q161="A PARTIR DE 20/02/2004 ESSA REGRA NÃO SE APLICA AO SERVIDOR",CRÍTICA_IGP1!AH161&gt;=38037),"A PARTIR DE 20/02/2004 ESSA REGRA NÃO SE APLICA AO SERVIDOR",IF(CRÍTICA_IGP1!U161&gt;0,"REGRA NÃO CUMPRIDA","REGRA CUMPRIDA"))</f>
        <v>#VALUE!</v>
      </c>
      <c r="I17" s="1743"/>
      <c r="J17" s="1743"/>
      <c r="K17" s="1743"/>
      <c r="L17" s="1744"/>
      <c r="M17" s="1523" t="e">
        <f>IF(H17="A PARTIR DE 20/02/2004 ESSA REGRA NÃO SE APLICA AO SERVIDOR","",IF(CRÍTICA_IGP1!$U$161&gt;0,"IDADE",""))</f>
        <v>#VALUE!</v>
      </c>
      <c r="N17" s="1527" t="e">
        <f>IF(M17="","",IF(CRÍTICA_IGP1!AH162&lt;CRÍTICA_IGP1!AH161,"",IF(CRÍTICA_IGP1!AH161&gt;0,CRÍTICA_IGP1!AH161,"")))</f>
        <v>#VALUE!</v>
      </c>
      <c r="O17" s="1524" t="e">
        <f>IF(CRÍTICA_IGP1!$AH$162&lt;CRÍTICA_IGP1!$AH$161,"LIMITADA À COMPULSÓRIA",IF(AND(N17&gt;0,N17&lt;&gt;""),CRÍTICA_IGP1!$AH$161,""))</f>
        <v>#VALUE!</v>
      </c>
      <c r="P17" s="1496"/>
      <c r="R17" s="877"/>
      <c r="AW17" s="865"/>
    </row>
    <row r="18" spans="1:49" ht="32.1" customHeight="1" x14ac:dyDescent="0.15">
      <c r="A18" s="844"/>
      <c r="B18" s="1495">
        <v>12</v>
      </c>
      <c r="C18" s="1740" t="s">
        <v>42</v>
      </c>
      <c r="D18" s="1741"/>
      <c r="E18" s="1742"/>
      <c r="F18" s="1738" t="s">
        <v>37</v>
      </c>
      <c r="G18" s="1739"/>
      <c r="H18" s="1735" t="str">
        <f>IF(OR(CRÍTICA_IGP1!Q159="A PARTIR DE 20/02/2004 ESSA REGRA NÃO SE APLICA AO SERVIDOR",CRÍTICA_IGP1!Q159="REVER FUNDAMENTAÇÃO E/OU MODALIDADE"),CRÍTICA_IGP1!Q159,IF(OR(CRÍTICA_IGP1!Q159&gt;0,CRÍTICA_IGP1!R159&gt;0,CRÍTICA_IGP1!T159&gt;0,CRÍTICA_IGP1!U159&gt;0),"REGRA NÃO CUMPRIDA","REGRA CUMPRIDA"))</f>
        <v>REVER FUNDAMENTAÇÃO E/OU MODALIDADE</v>
      </c>
      <c r="I18" s="1784"/>
      <c r="J18" s="1784"/>
      <c r="K18" s="1784"/>
      <c r="L18" s="1785"/>
      <c r="M18" s="1523" t="str">
        <f>IF(AND(H18&lt;&gt;"A PARTIR DE 20/02/2004 ESSA REGRA NÃO SE APLICA AO SERVIDOR",H18&lt;&gt;"PREENCHA CAMPO DESTINADO AO SEXO",H18&lt;&gt;"REGRA CUMPRIDA",H18&lt;&gt;"REVER FUNDAMENTAÇÃO E/OU MODALIDADE"),R18,"")</f>
        <v/>
      </c>
      <c r="N18" s="1527" t="str">
        <f>IF(M18="","",IF(CRÍTICA_IGP1!$AH$162&lt;CRÍTICA_IGP1!$AH$159,"",HLOOKUP(M18,CRÍTICA_IGP1!$P$157:$U$173,3,FALSE)))</f>
        <v/>
      </c>
      <c r="O18" s="1505" t="str">
        <f>IF(CRÍTICA_IGP1!$AH$162&lt;CRÍTICA_IGP1!$AH$159,"LIMITADA À COMPULSÓRIA",IF(N18="","",CRÍTICA_IGP1!$AH$159))</f>
        <v/>
      </c>
      <c r="P18" s="1496"/>
      <c r="R18" s="1323" t="str">
        <f>IF('CENÁRIOS DE CONCESSÃO'!H18&lt;&gt;"O SERVIDOR NÃO FAZ JUS A ESSA REGRA E/OU MODALIDADE",IF(AND(CRÍTICA_IGP1!Q159&gt;CRÍTICA_IGP1!R159,CRÍTICA_IGP1!Q159&gt;=CRÍTICA_IGP1!T159,CRÍTICA_IGP1!Q159&gt;=CRÍTICA_IGP1!U159),CRÍTICA_IGP1!$Q$157,IF(AND(CRÍTICA_IGP1!R159&gt;CRÍTICA_IGP1!Q159,CRÍTICA_IGP1!R159&gt;=CRÍTICA_IGP1!T159,CRÍTICA_IGP1!R159&gt;=CRÍTICA_IGP1!U159),CRÍTICA_IGP1!$R$157,IF(AND(CRÍTICA_IGP1!T159&gt;CRÍTICA_IGP1!Q159,CRÍTICA_IGP1!T159&gt;CRÍTICA_IGP1!R159,CRÍTICA_IGP1!T159&gt;=CRÍTICA_IGP1!U159),CRÍTICA_IGP1!$T$157,IF(AND(CRÍTICA_IGP1!U159&gt;CRÍTICA_IGP1!Q159,CRÍTICA_IGP1!T159&gt;CRÍTICA_IGP1!R159,CRÍTICA_IGP1!U159&gt;CRÍTICA_IGP1!T159),CRÍTICA_IGP1!$U$157,"")))),"")</f>
        <v>T. CONTRIBUIÇÃO</v>
      </c>
      <c r="AW18" s="865"/>
    </row>
    <row r="19" spans="1:49" ht="32.1" customHeight="1" x14ac:dyDescent="0.15">
      <c r="A19" s="844"/>
      <c r="B19" s="1495">
        <v>13</v>
      </c>
      <c r="C19" s="1740" t="s">
        <v>42</v>
      </c>
      <c r="D19" s="1741"/>
      <c r="E19" s="1742"/>
      <c r="F19" s="1766" t="s">
        <v>38</v>
      </c>
      <c r="G19" s="1767"/>
      <c r="H19" s="1735" t="str">
        <f>IF(OR(CRÍTICA_IGP1!Q160="A PARTIR DE 20/02/2004 ESSA REGRA NÃO SE APLICA AO SERVIDOR",CRÍTICA_IGP1!Q160="REVEJA FUNDAMENTAÇÃO E/OU MODALIDADE",CRÍTICA_IGP1!Q160="CONFIRME MAGISTÉRIO OU REVEJA FUNDAMENTAÇÃO"),CRÍTICA_IGP1!Q160,IF(OR(CRÍTICA_IGP1!Q160&gt;0,CRÍTICA_IGP1!R160&gt;0,CRÍTICA_IGP1!T160&gt;0,CRÍTICA_IGP1!U160&gt;0),"REGRA NÃO CUMPRIDA","REGRA CUMPRIDA"))</f>
        <v>CONFIRME MAGISTÉRIO OU REVEJA FUNDAMENTAÇÃO</v>
      </c>
      <c r="I19" s="1736"/>
      <c r="J19" s="1736"/>
      <c r="K19" s="1736"/>
      <c r="L19" s="1786"/>
      <c r="M19" s="1523" t="str">
        <f>IF(AND(H19&lt;&gt;"A PARTIR DE 20/02/2004 ESSA REGRA NÃO SE APLICA AO SERVIDOR",H19&lt;&gt;"PREENCHA CAMPO DESTINA AO SEXO",H19&lt;&gt;"regra cumprida",H19&lt;&gt;"CONFIRME MAGISTÉRIO OU REVEJA FUNDAMENTAÇÃO"),R19,"")</f>
        <v/>
      </c>
      <c r="N19" s="1527" t="str">
        <f>IF(M19="","",IF(CRÍTICA_IGP1!$AH$162&lt;CRÍTICA_IGP1!$AH$160,"",HLOOKUP(M19,CRÍTICA_IGP1!$P$157:$U$173,4,FALSE)))</f>
        <v/>
      </c>
      <c r="O19" s="1504" t="str">
        <f>IF(CRÍTICA_IGP1!$AH$162&lt;CRÍTICA_IGP1!$AH$160,"LIMITADA À COMPULSÓRIA",IF(N19="","",CRÍTICA_IGP1!$AH$160))</f>
        <v/>
      </c>
      <c r="P19" s="1480"/>
      <c r="R19" s="1323" t="str">
        <f>IF('CENÁRIOS DE CONCESSÃO'!H19&lt;&gt;"O SERVIDOR NÃO FAZ JUS A ESSA REGRA E/OU MODALIDADE",IF(AND(CRÍTICA_IGP1!Q160&gt;CRÍTICA_IGP1!R160,CRÍTICA_IGP1!Q160&gt;=CRÍTICA_IGP1!T160,CRÍTICA_IGP1!Q160&gt;=CRÍTICA_IGP1!U160),CRÍTICA_IGP1!$Q$157,IF(AND(CRÍTICA_IGP1!R160&gt;CRÍTICA_IGP1!Q160,CRÍTICA_IGP1!R160&gt;=CRÍTICA_IGP1!T160,CRÍTICA_IGP1!R160&gt;=CRÍTICA_IGP1!U160),CRÍTICA_IGP1!$R$157,IF(AND(CRÍTICA_IGP1!T160&gt;CRÍTICA_IGP1!Q160,CRÍTICA_IGP1!T160&gt;CRÍTICA_IGP1!R160,CRÍTICA_IGP1!T160&gt;=CRÍTICA_IGP1!U160),CRÍTICA_IGP1!$T$157,IF(AND(CRÍTICA_IGP1!U160&gt;CRÍTICA_IGP1!Q160,CRÍTICA_IGP1!T160&gt;CRÍTICA_IGP1!R160,CRÍTICA_IGP1!U160&gt;CRÍTICA_IGP1!T160),CRÍTICA_IGP1!$U$157,"")))),"")</f>
        <v>IDADE</v>
      </c>
    </row>
    <row r="20" spans="1:49" ht="32.1" customHeight="1" x14ac:dyDescent="0.15">
      <c r="A20" s="844"/>
      <c r="B20" s="1495">
        <v>14</v>
      </c>
      <c r="C20" s="1740" t="s">
        <v>41</v>
      </c>
      <c r="D20" s="1741"/>
      <c r="E20" s="1742"/>
      <c r="F20" s="1738" t="s">
        <v>488</v>
      </c>
      <c r="G20" s="1739"/>
      <c r="H20" s="1743" t="str">
        <f>IF(CRÍTICA_IGP1!U166&gt;0,"REGRA NÃO CUMPRIDA","REGRA CUMPRIDA")</f>
        <v>REGRA NÃO CUMPRIDA</v>
      </c>
      <c r="I20" s="1743"/>
      <c r="J20" s="1743"/>
      <c r="K20" s="1743"/>
      <c r="L20" s="1744"/>
      <c r="M20" s="1523" t="str">
        <f>IF(CRÍTICA_IGP1!$Q$20&gt;0,"IDADE","")</f>
        <v>IDADE</v>
      </c>
      <c r="N20" s="1527">
        <f>IF(CRÍTICA_IGP1!$Q$20&gt;0,CRÍTICA_IGP1!$Q$20,"")</f>
        <v>25568</v>
      </c>
      <c r="O20" s="1524">
        <f>IF(N20&lt;&gt;"",CRÍTICA_IGP1!AH166,"")</f>
        <v>25568</v>
      </c>
      <c r="P20" s="1480"/>
      <c r="R20" s="1322"/>
      <c r="S20" s="851"/>
      <c r="T20" s="1277"/>
      <c r="U20" s="1278"/>
      <c r="V20" s="1278"/>
      <c r="W20" s="1277"/>
      <c r="X20" s="1277"/>
    </row>
    <row r="21" spans="1:49" ht="32.1" customHeight="1" x14ac:dyDescent="0.15">
      <c r="A21" s="844"/>
      <c r="B21" s="1495">
        <v>15</v>
      </c>
      <c r="C21" s="1740" t="s">
        <v>41</v>
      </c>
      <c r="D21" s="1741"/>
      <c r="E21" s="1742"/>
      <c r="F21" s="1738" t="s">
        <v>36</v>
      </c>
      <c r="G21" s="1771"/>
      <c r="H21" s="1743" t="str">
        <f>IF(CRÍTICA_IGP1!U165&gt;0,"REGRA NÃO CUMPRIDA","REGRA CUMPRIDA")</f>
        <v>REGRA NÃO CUMPRIDA</v>
      </c>
      <c r="I21" s="1743"/>
      <c r="J21" s="1743"/>
      <c r="K21" s="1743"/>
      <c r="L21" s="1744"/>
      <c r="M21" s="1523" t="str">
        <f>IF(CRÍTICA_IGP1!$U$165&gt;0,"IDADE","")</f>
        <v>IDADE</v>
      </c>
      <c r="N21" s="1527" t="e">
        <f>IF(CRÍTICA_IGP1!$AH$166&lt;CRÍTICA_IGP1!$AH$165,"",IF(CRÍTICA_IGP1!$AH$165&gt;0,CRÍTICA_IGP1!$U$165,""))</f>
        <v>#VALUE!</v>
      </c>
      <c r="O21" s="1524" t="e">
        <f>IF(CRÍTICA_IGP1!AH166&lt;CRÍTICA_IGP1!AH165,"LIMITADA À COMPULSÓRIA",IF(AND(N21&gt;0,N21&lt;&gt;""),CRÍTICA_IGP1!AH165,""))</f>
        <v>#VALUE!</v>
      </c>
      <c r="P21" s="1496"/>
      <c r="R21" s="877"/>
    </row>
    <row r="22" spans="1:49" ht="54.75" customHeight="1" x14ac:dyDescent="0.15">
      <c r="A22" s="844"/>
      <c r="B22" s="1495">
        <v>16</v>
      </c>
      <c r="C22" s="1740" t="s">
        <v>41</v>
      </c>
      <c r="D22" s="1741"/>
      <c r="E22" s="1742"/>
      <c r="F22" s="1738" t="s">
        <v>37</v>
      </c>
      <c r="G22" s="1739"/>
      <c r="H22" s="1743" t="str">
        <f>IF(OR(CRÍTICA_IGP1!Q163&gt;0,CRÍTICA_IGP1!R163&gt;0,CRÍTICA_IGP1!T163&gt;0,CRÍTICA_IGP1!U163&gt;0),"REGRA NÃO CUMPRIDA","REGRA CUMPRIDA")</f>
        <v>REGRA NÃO CUMPRIDA</v>
      </c>
      <c r="I22" s="1743"/>
      <c r="J22" s="1743"/>
      <c r="K22" s="1743"/>
      <c r="L22" s="1744"/>
      <c r="M22" s="1523" t="str">
        <f>IF(H22&lt;&gt;"REGRA CUMPRIDA",R22,"")</f>
        <v>T. CONTRIBUIÇÃO</v>
      </c>
      <c r="N22" s="1527" t="str">
        <f>IF(CRÍTICA_IGP1!$AH$166&lt;CRÍTICA_IGP1!$AH$163,"",IF(M22="","",HLOOKUP(M22,CRÍTICA_IGP1!$P$157:$U$173,7,FALSE)))</f>
        <v>PREENCHA CAMPO DESTINADO AO SEXO</v>
      </c>
      <c r="O22" s="1505">
        <f>IF(CRÍTICA_IGP1!$AH$166&lt;CRÍTICA_IGP1!$AH$163,"LIMITADA À COMPULSÓRIA",IF(N22="","",CRÍTICA_IGP1!$AH$163))</f>
        <v>3650</v>
      </c>
      <c r="P22" s="1496"/>
      <c r="R22" s="1323" t="str">
        <f>IF('CENÁRIOS DE CONCESSÃO'!H22&lt;&gt;"REGRA CUMPRIDA",IF(AND(CRÍTICA_IGP1!Q163&gt;CRÍTICA_IGP1!R163,CRÍTICA_IGP1!Q163&gt;=CRÍTICA_IGP1!T163,CRÍTICA_IGP1!Q163&gt;=CRÍTICA_IGP1!U163),CRÍTICA_IGP1!$Q$157,IF(AND(CRÍTICA_IGP1!R163&gt;CRÍTICA_IGP1!Q163,CRÍTICA_IGP1!R163&gt;=CRÍTICA_IGP1!T163,CRÍTICA_IGP1!R163&gt;=CRÍTICA_IGP1!U163),CRÍTICA_IGP1!$R$157,IF(AND(CRÍTICA_IGP1!T163&gt;CRÍTICA_IGP1!Q163,CRÍTICA_IGP1!T163&gt;CRÍTICA_IGP1!R163,CRÍTICA_IGP1!T163&gt;=CRÍTICA_IGP1!U163),CRÍTICA_IGP1!$T$157,IF(AND(CRÍTICA_IGP1!U163&gt;CRÍTICA_IGP1!Q163,CRÍTICA_IGP1!U163&gt;CRÍTICA_IGP1!R163,CRÍTICA_IGP1!U163&gt;CRÍTICA_IGP1!T163),CRÍTICA_IGP1!$U$157,"")))),"")</f>
        <v>T. CONTRIBUIÇÃO</v>
      </c>
    </row>
    <row r="23" spans="1:49" ht="32.1" customHeight="1" x14ac:dyDescent="0.15">
      <c r="A23" s="844"/>
      <c r="B23" s="1495">
        <v>17</v>
      </c>
      <c r="C23" s="1740" t="s">
        <v>41</v>
      </c>
      <c r="D23" s="1741"/>
      <c r="E23" s="1742"/>
      <c r="F23" s="1766" t="s">
        <v>38</v>
      </c>
      <c r="G23" s="1767"/>
      <c r="H23" s="1743" t="str">
        <f>IF(OR(CRÍTICA_IGP1!Q164="PREENCHA CAMPO DESTINADO AO SEXO",CRÍTICA_IGP1!Q164="CONFIRME EFETIVO MAGISTÉRIO"),CRÍTICA_IGP1!Q164,IF(OR(CRÍTICA_IGP1!Q164&gt;0,CRÍTICA_IGP1!R164&gt;0,CRÍTICA_IGP1!T164&gt;0,CRÍTICA_IGP1!U164&gt;0),"REGRA NÃO CUMPRIDA","REGRA CUMPRIDA"))</f>
        <v>CONFIRME EFETIVO MAGISTÉRIO</v>
      </c>
      <c r="I23" s="1743"/>
      <c r="J23" s="1743"/>
      <c r="K23" s="1743"/>
      <c r="L23" s="1745"/>
      <c r="M23" s="1523" t="str">
        <f>IF('FICHA FUNCIONAL'!$I$27&lt;&gt;"X","",IF(H23&lt;&gt;"REGRA CUMPRIDA",R23,""))</f>
        <v/>
      </c>
      <c r="N23" s="1527" t="str">
        <f>IF(CRÍTICA_IGP1!$AH$166&lt;CRÍTICA_IGP1!$AH$164,"",IF(M23="","",HLOOKUP(M23,CRÍTICA_IGP1!$P$157:$U$173,8,FALSE)))</f>
        <v/>
      </c>
      <c r="O23" s="1504" t="str">
        <f>IF(CRÍTICA_IGP1!$AH$166&lt;CRÍTICA_IGP1!$AH$164,"LIMITADA À COMPULSÓRIA",IF(N23="","",CRÍTICA_IGP1!$AH$164))</f>
        <v/>
      </c>
      <c r="P23" s="1496"/>
      <c r="R23" s="1323" t="str">
        <f>IF('CENÁRIOS DE CONCESSÃO'!H23&lt;&gt;"O SERVIDOR NÃO FAZ JUS A ESSA REGRA E/OU MODALIDADE",IF(AND(CRÍTICA_IGP1!Q164&gt;CRÍTICA_IGP1!R164,CRÍTICA_IGP1!Q164&gt;=CRÍTICA_IGP1!T164,CRÍTICA_IGP1!Q164&gt;=CRÍTICA_IGP1!U164),CRÍTICA_IGP1!$Q$157,IF(AND(CRÍTICA_IGP1!R164&gt;CRÍTICA_IGP1!Q164,CRÍTICA_IGP1!R164&gt;=CRÍTICA_IGP1!T164,CRÍTICA_IGP1!R164&gt;=CRÍTICA_IGP1!U164),CRÍTICA_IGP1!$R$157,IF(AND(CRÍTICA_IGP1!T164&gt;CRÍTICA_IGP1!Q164,CRÍTICA_IGP1!T164&gt;CRÍTICA_IGP1!R164,CRÍTICA_IGP1!T164&gt;=CRÍTICA_IGP1!U164),CRÍTICA_IGP1!$T$157,IF(AND(CRÍTICA_IGP1!U164&gt;CRÍTICA_IGP1!Q164,CRÍTICA_IGP1!T164&gt;CRÍTICA_IGP1!R164,CRÍTICA_IGP1!U164&gt;CRÍTICA_IGP1!T164),CRÍTICA_IGP1!$U$157,"")))),"")</f>
        <v>IDADE</v>
      </c>
    </row>
    <row r="24" spans="1:49" ht="32.1" customHeight="1" x14ac:dyDescent="0.15">
      <c r="A24" s="844"/>
      <c r="B24" s="1495">
        <v>18</v>
      </c>
      <c r="C24" s="1740" t="s">
        <v>261</v>
      </c>
      <c r="D24" s="1741"/>
      <c r="E24" s="1742"/>
      <c r="F24" s="1738" t="s">
        <v>43</v>
      </c>
      <c r="G24" s="1739"/>
      <c r="H24" s="1735" t="str">
        <f>IF(CRÍTICA_IGP1!Q170="O SERVIDOR NÃO FAZ JUS A ESSA REGRA E/OU MODALIDADE",CRÍTICA_IGP1!Q170,IF(OR(CRÍTICA_IGP1!Q170&gt;0,CRÍTICA_IGP1!R170&gt;0,CRÍTICA_IGP1!U170&gt;0,AND(CRÍTICA_IGP1!T170&gt;0,CRÍTICA_IGP1!T170&lt;&gt;"NADA A CUMPRIR")),"REGRA NÃO CUMPRIDA","REGRA CUMPRIDA"))</f>
        <v>O SERVIDOR NÃO FAZ JUS A ESSA REGRA E/OU MODALIDADE</v>
      </c>
      <c r="I24" s="1736"/>
      <c r="J24" s="1736"/>
      <c r="K24" s="1736"/>
      <c r="L24" s="1737"/>
      <c r="M24" s="1523" t="str">
        <f>IF(H24&lt;&gt;"O SERVIDOR NÃO FAZ JUS A ESSA REGRA E/OU MODALIDADE",R24,"")</f>
        <v/>
      </c>
      <c r="N24" s="1527" t="str">
        <f>IF(CRÍTICA_IGP1!$AH$166&lt;CRÍTICA_IGP1!$AH$170,"",IF(M24="","",HLOOKUP(M24,CRÍTICA_IGP1!$P$157:$U$173,14,FALSE)))</f>
        <v/>
      </c>
      <c r="O24" s="1504" t="str">
        <f>IF(CRÍTICA_IGP1!$AH$166&lt;CRÍTICA_IGP1!$AH$170,"LIMITADA À COMPULSÓRIA",IF(N24="","",CRÍTICA_IGP1!$AH$170))</f>
        <v/>
      </c>
      <c r="P24" s="1496"/>
      <c r="R24" s="1382" t="str">
        <f>IF('CENÁRIOS DE CONCESSÃO'!H24&lt;&gt;"O SERVIDOR NÃO FAZ JUS A ESSA REGRA E/OU MODALIDADE",IF(AND(CRÍTICA_IGP1!Q170&gt;CRÍTICA_IGP1!R170,CRÍTICA_IGP1!Q170&gt;=CRÍTICA_IGP1!T170,CRÍTICA_IGP1!Q170&gt;=CRÍTICA_IGP1!U170),CRÍTICA_IGP1!$Q$157,IF(AND(CRÍTICA_IGP1!R170&gt;CRÍTICA_IGP1!Q170,CRÍTICA_IGP1!R170&gt;=CRÍTICA_IGP1!T170,CRÍTICA_IGP1!R170&gt;=CRÍTICA_IGP1!U170),CRÍTICA_IGP1!$R$157,IF(AND(CRÍTICA_IGP1!T170&gt;CRÍTICA_IGP1!Q170,CRÍTICA_IGP1!T170&gt;CRÍTICA_IGP1!R170,CRÍTICA_IGP1!T170&gt;=CRÍTICA_IGP1!U170),CRÍTICA_IGP1!$T$157,IF(AND(CRÍTICA_IGP1!U170&gt;CRÍTICA_IGP1!Q170,CRÍTICA_IGP1!U170&gt;CRÍTICA_IGP1!R170,CRÍTICA_IGP1!U170&gt;CRÍTICA_IGP1!T170),CRÍTICA_IGP1!$U$157,"")))),"")</f>
        <v/>
      </c>
    </row>
    <row r="25" spans="1:49" ht="32.1" customHeight="1" x14ac:dyDescent="0.15">
      <c r="A25" s="844"/>
      <c r="B25" s="1495"/>
      <c r="C25" s="1772"/>
      <c r="D25" s="1773"/>
      <c r="E25" s="1774"/>
      <c r="F25" s="1738"/>
      <c r="G25" s="1739"/>
      <c r="H25" s="1735"/>
      <c r="I25" s="1736"/>
      <c r="J25" s="1736"/>
      <c r="K25" s="1736"/>
      <c r="L25" s="1737"/>
      <c r="M25" s="1523"/>
      <c r="N25" s="1527"/>
      <c r="O25" s="1524"/>
      <c r="P25" s="1496"/>
      <c r="R25" s="877"/>
    </row>
    <row r="26" spans="1:49" ht="32.1" customHeight="1" thickBot="1" x14ac:dyDescent="0.2">
      <c r="A26" s="844"/>
      <c r="B26" s="1495"/>
      <c r="C26" s="1727"/>
      <c r="D26" s="1728"/>
      <c r="E26" s="1729"/>
      <c r="F26" s="1730"/>
      <c r="G26" s="1731"/>
      <c r="H26" s="1732"/>
      <c r="I26" s="1733"/>
      <c r="J26" s="1733"/>
      <c r="K26" s="1733"/>
      <c r="L26" s="1734"/>
      <c r="M26" s="1525"/>
      <c r="N26" s="1528"/>
      <c r="O26" s="1526"/>
      <c r="P26" s="1496"/>
      <c r="R26" s="877"/>
    </row>
    <row r="27" spans="1:49" ht="15" thickTop="1" x14ac:dyDescent="0.15">
      <c r="A27" s="844"/>
      <c r="B27" s="1495"/>
      <c r="C27" s="1502"/>
      <c r="D27" s="1502"/>
      <c r="E27" s="1502"/>
      <c r="F27" s="1502"/>
      <c r="G27" s="1502"/>
      <c r="H27" s="1502"/>
      <c r="I27" s="1502"/>
      <c r="J27" s="1502"/>
      <c r="K27" s="1502"/>
      <c r="L27" s="1502"/>
      <c r="M27" s="1502"/>
      <c r="N27" s="1502"/>
      <c r="O27" s="1502"/>
      <c r="P27" s="1496"/>
      <c r="Q27" s="851"/>
      <c r="R27" s="877"/>
      <c r="S27" s="851"/>
      <c r="T27" s="1277"/>
      <c r="U27" s="1278"/>
      <c r="V27" s="1278"/>
      <c r="W27" s="1277"/>
      <c r="X27" s="1277"/>
    </row>
    <row r="28" spans="1:49" ht="18" x14ac:dyDescent="0.2">
      <c r="A28" s="844"/>
      <c r="B28" s="1495"/>
      <c r="C28" s="1783" t="s">
        <v>23</v>
      </c>
      <c r="D28" s="1783"/>
      <c r="E28" s="1783"/>
      <c r="F28" s="1783"/>
      <c r="G28" s="1783"/>
      <c r="H28" s="1783"/>
      <c r="I28" s="1783"/>
      <c r="J28" s="1783"/>
      <c r="K28" s="1783"/>
      <c r="L28" s="1783"/>
      <c r="M28" s="1783"/>
      <c r="N28" s="1783"/>
      <c r="O28" s="1783"/>
      <c r="P28" s="1496"/>
      <c r="AW28" s="865"/>
    </row>
    <row r="29" spans="1:49" x14ac:dyDescent="0.15">
      <c r="A29" s="844"/>
      <c r="B29" s="1279"/>
      <c r="C29" s="1280" t="s">
        <v>32</v>
      </c>
      <c r="D29" s="1280"/>
      <c r="E29" s="973"/>
      <c r="F29" s="536"/>
      <c r="G29" s="1280"/>
      <c r="H29" s="1280" t="s">
        <v>33</v>
      </c>
      <c r="I29" s="278"/>
      <c r="J29" s="278"/>
      <c r="K29" s="3"/>
      <c r="L29" s="278"/>
      <c r="M29" s="278"/>
      <c r="N29" s="1281"/>
      <c r="O29" s="278"/>
      <c r="P29" s="536"/>
      <c r="AW29" s="865"/>
    </row>
    <row r="30" spans="1:49" hidden="1" x14ac:dyDescent="0.15">
      <c r="A30" s="844"/>
      <c r="B30" s="877"/>
      <c r="E30" s="846"/>
      <c r="F30" s="846"/>
      <c r="G30" s="846"/>
      <c r="H30" s="846"/>
      <c r="M30" s="546"/>
    </row>
    <row r="31" spans="1:49" hidden="1" x14ac:dyDescent="0.15">
      <c r="A31" s="844"/>
      <c r="B31" s="877"/>
      <c r="E31" s="846"/>
      <c r="F31" s="846"/>
      <c r="G31" s="846"/>
      <c r="H31" s="846"/>
    </row>
    <row r="32" spans="1:49" hidden="1" x14ac:dyDescent="0.15">
      <c r="A32" s="844"/>
      <c r="B32" s="877"/>
      <c r="E32" s="846"/>
      <c r="F32" s="846"/>
      <c r="G32" s="846"/>
      <c r="H32" s="846"/>
      <c r="M32" s="546"/>
    </row>
    <row r="33" spans="1:24" hidden="1" x14ac:dyDescent="0.15">
      <c r="A33" s="844"/>
      <c r="B33" s="877"/>
      <c r="E33" s="846"/>
      <c r="F33" s="846"/>
      <c r="G33" s="846"/>
      <c r="H33" s="846"/>
      <c r="J33" s="546"/>
      <c r="K33" s="546"/>
      <c r="L33" s="844"/>
      <c r="M33" s="546"/>
    </row>
    <row r="34" spans="1:24" hidden="1" x14ac:dyDescent="0.15">
      <c r="A34" s="844"/>
      <c r="B34" s="877"/>
      <c r="E34" s="846"/>
      <c r="F34" s="846"/>
      <c r="G34" s="846"/>
      <c r="H34" s="846"/>
      <c r="J34" s="1282"/>
      <c r="K34" s="1282"/>
      <c r="M34" s="877"/>
      <c r="O34" s="851"/>
      <c r="P34" s="877"/>
      <c r="Q34" s="851"/>
      <c r="R34" s="877"/>
      <c r="S34" s="851"/>
      <c r="T34" s="1277"/>
      <c r="U34" s="1278"/>
      <c r="V34" s="1278"/>
      <c r="W34" s="1277"/>
      <c r="X34" s="1277"/>
    </row>
    <row r="35" spans="1:24" hidden="1" x14ac:dyDescent="0.15">
      <c r="A35" s="844"/>
      <c r="B35" s="877"/>
      <c r="E35" s="846"/>
      <c r="F35" s="846"/>
      <c r="G35" s="846"/>
      <c r="H35" s="846"/>
      <c r="J35" s="1282"/>
      <c r="K35" s="1282"/>
      <c r="M35" s="877"/>
      <c r="O35" s="851"/>
      <c r="P35" s="877"/>
      <c r="Q35" s="851"/>
      <c r="R35" s="877"/>
      <c r="S35" s="851"/>
      <c r="T35" s="1277"/>
      <c r="U35" s="1278"/>
      <c r="V35" s="1278"/>
      <c r="W35" s="1277"/>
      <c r="X35" s="1277"/>
    </row>
    <row r="36" spans="1:24" hidden="1" x14ac:dyDescent="0.15">
      <c r="A36" s="844"/>
      <c r="B36" s="877"/>
      <c r="E36" s="846"/>
      <c r="F36" s="846"/>
      <c r="G36" s="846"/>
      <c r="H36" s="846"/>
      <c r="J36" s="1282"/>
      <c r="K36" s="1282"/>
      <c r="M36" s="877"/>
      <c r="O36" s="851"/>
      <c r="P36" s="877"/>
      <c r="Q36" s="851"/>
      <c r="R36" s="877"/>
      <c r="S36" s="851"/>
      <c r="T36" s="1277"/>
      <c r="U36" s="1278"/>
      <c r="V36" s="1278"/>
      <c r="W36" s="1277"/>
      <c r="X36" s="1277"/>
    </row>
    <row r="37" spans="1:24" hidden="1" x14ac:dyDescent="0.15">
      <c r="A37" s="844"/>
      <c r="B37" s="877"/>
      <c r="E37" s="846"/>
      <c r="F37" s="846"/>
      <c r="G37" s="846"/>
      <c r="H37" s="846"/>
      <c r="J37" s="1282"/>
      <c r="K37" s="1282"/>
      <c r="M37" s="877"/>
      <c r="O37" s="851"/>
      <c r="P37" s="877"/>
      <c r="Q37" s="851"/>
      <c r="R37" s="877"/>
      <c r="S37" s="851"/>
      <c r="T37" s="1277"/>
      <c r="U37" s="1278"/>
      <c r="V37" s="1278"/>
      <c r="W37" s="1277"/>
      <c r="X37" s="1277"/>
    </row>
    <row r="38" spans="1:24" hidden="1" x14ac:dyDescent="0.15">
      <c r="A38" s="844"/>
      <c r="B38" s="877"/>
      <c r="E38" s="846"/>
      <c r="F38" s="846"/>
      <c r="G38" s="846"/>
      <c r="H38" s="846"/>
      <c r="J38" s="1282"/>
      <c r="K38" s="1282"/>
      <c r="M38" s="877"/>
      <c r="O38" s="851"/>
      <c r="P38" s="877"/>
      <c r="Q38" s="851"/>
      <c r="R38" s="877"/>
      <c r="S38" s="851"/>
      <c r="T38" s="1277"/>
      <c r="U38" s="1278"/>
      <c r="V38" s="1278"/>
      <c r="W38" s="1277"/>
      <c r="X38" s="1277"/>
    </row>
    <row r="39" spans="1:24" hidden="1" x14ac:dyDescent="0.15">
      <c r="A39" s="844"/>
      <c r="B39" s="877"/>
      <c r="E39" s="846"/>
      <c r="F39" s="846"/>
      <c r="G39" s="846"/>
      <c r="H39" s="846"/>
      <c r="J39" s="1282"/>
      <c r="K39" s="1282"/>
      <c r="M39" s="877"/>
      <c r="O39" s="851"/>
      <c r="P39" s="877"/>
      <c r="Q39" s="851"/>
      <c r="R39" s="877"/>
      <c r="S39" s="851"/>
      <c r="T39" s="1277"/>
      <c r="U39" s="1278"/>
      <c r="V39" s="1278"/>
      <c r="W39" s="1277"/>
      <c r="X39" s="1277"/>
    </row>
    <row r="40" spans="1:24" hidden="1" x14ac:dyDescent="0.15">
      <c r="A40" s="844"/>
      <c r="B40" s="877"/>
      <c r="E40" s="846"/>
      <c r="F40" s="846"/>
      <c r="G40" s="846"/>
      <c r="H40" s="846"/>
      <c r="J40" s="1282"/>
      <c r="K40" s="1282"/>
      <c r="M40" s="877"/>
      <c r="O40" s="851"/>
      <c r="P40" s="877"/>
      <c r="Q40" s="851"/>
      <c r="R40" s="877"/>
      <c r="S40" s="851"/>
      <c r="T40" s="1277"/>
      <c r="U40" s="1278"/>
      <c r="V40" s="1278"/>
      <c r="W40" s="1277"/>
      <c r="X40" s="1277"/>
    </row>
    <row r="41" spans="1:24" hidden="1" x14ac:dyDescent="0.15">
      <c r="A41" s="844"/>
      <c r="B41" s="877"/>
      <c r="E41" s="846"/>
      <c r="F41" s="846"/>
      <c r="G41" s="846"/>
      <c r="H41" s="846"/>
      <c r="J41" s="1282"/>
      <c r="K41" s="1282"/>
      <c r="M41" s="877"/>
      <c r="O41" s="851"/>
      <c r="P41" s="877"/>
      <c r="Q41" s="851"/>
      <c r="R41" s="877"/>
      <c r="S41" s="851"/>
      <c r="T41" s="1277"/>
      <c r="U41" s="1278"/>
      <c r="V41" s="1278"/>
      <c r="W41" s="1277"/>
      <c r="X41" s="1277"/>
    </row>
    <row r="42" spans="1:24" hidden="1" x14ac:dyDescent="0.15">
      <c r="A42" s="844"/>
      <c r="B42" s="877"/>
      <c r="E42" s="846"/>
      <c r="F42" s="846"/>
      <c r="G42" s="846"/>
      <c r="H42" s="846"/>
      <c r="J42" s="1282"/>
      <c r="K42" s="1282"/>
      <c r="M42" s="877"/>
      <c r="O42" s="851"/>
      <c r="P42" s="877"/>
      <c r="Q42" s="851"/>
      <c r="R42" s="877"/>
      <c r="S42" s="851"/>
      <c r="T42" s="1277"/>
      <c r="U42" s="1278"/>
      <c r="V42" s="1278"/>
      <c r="W42" s="1277"/>
      <c r="X42" s="1277"/>
    </row>
    <row r="43" spans="1:24" hidden="1" x14ac:dyDescent="0.15">
      <c r="A43" s="844"/>
      <c r="B43" s="877"/>
      <c r="E43" s="846"/>
      <c r="F43" s="846"/>
      <c r="G43" s="846"/>
      <c r="H43" s="846"/>
      <c r="J43" s="1282"/>
      <c r="K43" s="1282"/>
      <c r="M43" s="877"/>
      <c r="O43" s="851"/>
      <c r="P43" s="877"/>
      <c r="Q43" s="851"/>
      <c r="R43" s="877"/>
      <c r="S43" s="851"/>
      <c r="T43" s="1277"/>
      <c r="U43" s="1278"/>
      <c r="V43" s="1278"/>
      <c r="W43" s="1277"/>
      <c r="X43" s="1277"/>
    </row>
    <row r="44" spans="1:24" hidden="1" x14ac:dyDescent="0.15">
      <c r="A44" s="844"/>
      <c r="B44" s="1283"/>
      <c r="C44" s="533"/>
      <c r="D44" s="493"/>
      <c r="J44" s="1282"/>
      <c r="K44" s="1282"/>
      <c r="M44" s="877"/>
      <c r="O44" s="851"/>
      <c r="P44" s="877"/>
      <c r="Q44" s="851"/>
      <c r="R44" s="877"/>
      <c r="S44" s="851"/>
      <c r="T44" s="1277"/>
      <c r="U44" s="1278"/>
      <c r="V44" s="1278"/>
      <c r="W44" s="1277"/>
      <c r="X44" s="1277"/>
    </row>
    <row r="45" spans="1:24" hidden="1" x14ac:dyDescent="0.15">
      <c r="A45" s="844"/>
      <c r="B45" s="1283"/>
      <c r="C45" s="533"/>
      <c r="D45" s="493"/>
      <c r="J45" s="1282"/>
      <c r="K45" s="1282"/>
      <c r="M45" s="877"/>
      <c r="O45" s="851"/>
      <c r="P45" s="877"/>
      <c r="Q45" s="851"/>
      <c r="R45" s="877"/>
      <c r="S45" s="851"/>
      <c r="T45" s="1277"/>
      <c r="U45" s="1278"/>
      <c r="V45" s="1278"/>
      <c r="W45" s="1277"/>
      <c r="X45" s="1277"/>
    </row>
    <row r="46" spans="1:24" ht="20.100000000000001" hidden="1" customHeight="1" x14ac:dyDescent="0.15">
      <c r="A46" s="851"/>
      <c r="B46" s="851"/>
      <c r="C46" s="546"/>
      <c r="D46" s="546"/>
      <c r="E46" s="851"/>
      <c r="F46" s="434"/>
      <c r="G46" s="546"/>
      <c r="H46" s="434"/>
      <c r="I46" s="1282"/>
      <c r="J46" s="546"/>
      <c r="K46" s="546"/>
      <c r="L46" s="434"/>
      <c r="P46" s="877"/>
      <c r="Q46" s="851"/>
      <c r="R46" s="877"/>
      <c r="S46" s="851"/>
      <c r="T46" s="1277"/>
      <c r="U46" s="1278"/>
      <c r="V46" s="1278"/>
      <c r="W46" s="1277"/>
      <c r="X46" s="1277"/>
    </row>
    <row r="47" spans="1:24" ht="20.100000000000001" hidden="1" customHeight="1" x14ac:dyDescent="0.15">
      <c r="A47" s="873"/>
      <c r="C47" s="533"/>
      <c r="D47" s="546"/>
      <c r="E47" s="846"/>
      <c r="F47" s="846"/>
      <c r="G47" s="846"/>
      <c r="H47" s="846"/>
      <c r="I47" s="846"/>
      <c r="M47" s="1282"/>
      <c r="P47" s="877"/>
      <c r="Q47" s="851"/>
      <c r="R47" s="877"/>
      <c r="S47" s="851"/>
      <c r="T47" s="1277"/>
      <c r="U47" s="1278"/>
      <c r="V47" s="1278"/>
      <c r="W47" s="1277"/>
      <c r="X47" s="1277"/>
    </row>
    <row r="48" spans="1:24" ht="20.100000000000001" hidden="1" customHeight="1" x14ac:dyDescent="0.15">
      <c r="A48" s="873"/>
      <c r="C48" s="533"/>
      <c r="D48" s="546"/>
      <c r="E48" s="846"/>
      <c r="F48" s="846"/>
      <c r="G48" s="846"/>
      <c r="H48" s="846"/>
      <c r="I48" s="846"/>
      <c r="M48" s="1282"/>
      <c r="P48" s="877"/>
      <c r="Q48" s="851"/>
      <c r="R48" s="877"/>
      <c r="S48" s="851"/>
      <c r="T48" s="1277"/>
      <c r="U48" s="1278"/>
      <c r="V48" s="1278"/>
      <c r="W48" s="1277"/>
      <c r="X48" s="1277"/>
    </row>
    <row r="49" spans="1:60" ht="20.100000000000001" hidden="1" customHeight="1" x14ac:dyDescent="0.15">
      <c r="A49" s="873"/>
      <c r="C49" s="533"/>
      <c r="D49" s="546"/>
      <c r="E49" s="846"/>
      <c r="F49" s="846"/>
      <c r="G49" s="846"/>
      <c r="H49" s="846"/>
      <c r="I49" s="846"/>
      <c r="M49" s="1282"/>
      <c r="P49" s="877"/>
      <c r="Q49" s="851"/>
      <c r="R49" s="877"/>
      <c r="S49" s="851"/>
      <c r="T49" s="1277"/>
      <c r="U49" s="1278"/>
      <c r="V49" s="1278"/>
      <c r="W49" s="1277"/>
      <c r="X49" s="1277"/>
    </row>
    <row r="50" spans="1:60" ht="20.100000000000001" hidden="1" customHeight="1" x14ac:dyDescent="0.15">
      <c r="A50" s="873"/>
      <c r="C50" s="533"/>
      <c r="D50" s="546"/>
      <c r="E50" s="846"/>
      <c r="F50" s="846"/>
      <c r="G50" s="846"/>
      <c r="H50" s="846"/>
      <c r="I50" s="846"/>
      <c r="M50" s="1282"/>
      <c r="P50" s="877"/>
      <c r="Q50" s="851"/>
      <c r="R50" s="877"/>
      <c r="S50" s="851"/>
      <c r="T50" s="1277"/>
      <c r="U50" s="1278"/>
      <c r="V50" s="1278"/>
      <c r="W50" s="1277"/>
      <c r="X50" s="1277"/>
    </row>
    <row r="51" spans="1:60" ht="20.100000000000001" hidden="1" customHeight="1" x14ac:dyDescent="0.15">
      <c r="A51" s="873"/>
      <c r="C51" s="533"/>
      <c r="D51" s="546"/>
      <c r="E51" s="846"/>
      <c r="F51" s="846"/>
      <c r="G51" s="846"/>
      <c r="H51" s="846"/>
      <c r="I51" s="846"/>
      <c r="M51" s="1282"/>
      <c r="P51" s="877"/>
      <c r="Q51" s="851"/>
      <c r="R51" s="877"/>
      <c r="S51" s="851"/>
      <c r="T51" s="1277"/>
      <c r="U51" s="1278"/>
      <c r="V51" s="1278"/>
      <c r="W51" s="1277"/>
      <c r="X51" s="1277"/>
    </row>
    <row r="52" spans="1:60" ht="20.100000000000001" hidden="1" customHeight="1" x14ac:dyDescent="0.15">
      <c r="A52" s="873"/>
      <c r="C52" s="533"/>
      <c r="D52" s="546"/>
      <c r="E52" s="846"/>
      <c r="F52" s="846"/>
      <c r="G52" s="846"/>
      <c r="H52" s="846"/>
      <c r="I52" s="846"/>
      <c r="M52" s="1282"/>
      <c r="P52" s="877"/>
      <c r="Q52" s="851"/>
      <c r="R52" s="877"/>
      <c r="S52" s="851"/>
      <c r="T52" s="1277"/>
      <c r="U52" s="1278"/>
      <c r="V52" s="1278"/>
      <c r="W52" s="1277"/>
      <c r="X52" s="1277"/>
    </row>
    <row r="53" spans="1:60" ht="20.100000000000001" hidden="1" customHeight="1" x14ac:dyDescent="0.15">
      <c r="A53" s="873"/>
      <c r="C53" s="533"/>
      <c r="D53" s="546"/>
      <c r="E53" s="846"/>
      <c r="F53" s="846"/>
      <c r="G53" s="846"/>
      <c r="H53" s="846"/>
      <c r="I53" s="846"/>
      <c r="M53" s="1282"/>
      <c r="P53" s="877"/>
      <c r="Q53" s="851"/>
      <c r="R53" s="877"/>
      <c r="S53" s="851"/>
      <c r="T53" s="1277"/>
      <c r="U53" s="1278"/>
      <c r="V53" s="1278"/>
      <c r="W53" s="1277"/>
      <c r="X53" s="1277"/>
    </row>
    <row r="54" spans="1:60" ht="20.100000000000001" hidden="1" customHeight="1" x14ac:dyDescent="0.15">
      <c r="A54" s="873"/>
      <c r="C54" s="533"/>
      <c r="D54" s="546"/>
      <c r="E54" s="846"/>
      <c r="F54" s="846"/>
      <c r="G54" s="846"/>
      <c r="H54" s="846"/>
      <c r="I54" s="846"/>
      <c r="M54" s="1282"/>
      <c r="P54" s="877"/>
      <c r="Q54" s="851"/>
      <c r="R54" s="877"/>
      <c r="S54" s="851"/>
      <c r="T54" s="1277"/>
      <c r="U54" s="1278"/>
      <c r="V54" s="1278"/>
      <c r="W54" s="1277"/>
      <c r="X54" s="1277"/>
    </row>
    <row r="55" spans="1:60" ht="20.100000000000001" hidden="1" customHeight="1" x14ac:dyDescent="0.15">
      <c r="A55" s="873"/>
      <c r="C55" s="533"/>
      <c r="D55" s="533"/>
      <c r="E55" s="846"/>
      <c r="F55" s="846"/>
      <c r="G55" s="846"/>
      <c r="H55" s="846"/>
      <c r="I55" s="846"/>
      <c r="M55" s="1282"/>
      <c r="P55" s="877"/>
      <c r="Q55" s="851"/>
      <c r="R55" s="877"/>
      <c r="S55" s="851"/>
      <c r="T55" s="1277"/>
      <c r="U55" s="1278"/>
      <c r="V55" s="1278"/>
      <c r="W55" s="1277"/>
      <c r="X55" s="1277"/>
    </row>
    <row r="56" spans="1:60" ht="20.100000000000001" hidden="1" customHeight="1" x14ac:dyDescent="0.15">
      <c r="A56" s="873"/>
      <c r="C56" s="533"/>
      <c r="D56" s="533"/>
      <c r="E56" s="846"/>
      <c r="F56" s="846"/>
      <c r="G56" s="846"/>
      <c r="H56" s="846"/>
      <c r="I56" s="846"/>
      <c r="M56" s="1282"/>
      <c r="P56" s="877"/>
      <c r="Q56" s="851"/>
      <c r="R56" s="877"/>
      <c r="S56" s="851"/>
      <c r="T56" s="1277"/>
      <c r="U56" s="1278"/>
      <c r="V56" s="1278"/>
      <c r="W56" s="1277"/>
      <c r="X56" s="1277"/>
    </row>
    <row r="57" spans="1:60" ht="20.100000000000001" hidden="1" customHeight="1" x14ac:dyDescent="0.15">
      <c r="A57" s="873"/>
      <c r="C57" s="533"/>
      <c r="D57" s="546"/>
      <c r="E57" s="846"/>
      <c r="F57" s="846"/>
      <c r="G57" s="846"/>
      <c r="H57" s="846"/>
      <c r="I57" s="846"/>
      <c r="M57" s="1282"/>
      <c r="P57" s="877"/>
      <c r="Q57" s="851"/>
      <c r="R57" s="877"/>
      <c r="S57" s="851"/>
      <c r="T57" s="1277"/>
      <c r="U57" s="1278"/>
      <c r="V57" s="1278"/>
      <c r="W57" s="1277"/>
      <c r="X57" s="1277"/>
    </row>
    <row r="58" spans="1:60" ht="20.100000000000001" hidden="1" customHeight="1" x14ac:dyDescent="0.15">
      <c r="A58" s="873"/>
      <c r="C58" s="533"/>
      <c r="D58" s="546"/>
      <c r="E58" s="846"/>
      <c r="F58" s="846"/>
      <c r="G58" s="846"/>
      <c r="H58" s="846"/>
      <c r="I58" s="846"/>
      <c r="M58" s="1282"/>
      <c r="P58" s="877"/>
      <c r="Q58" s="851"/>
      <c r="R58" s="877"/>
      <c r="S58" s="851"/>
      <c r="T58" s="1277"/>
      <c r="U58" s="1278"/>
      <c r="V58" s="1278"/>
      <c r="W58" s="1277"/>
      <c r="X58" s="1277"/>
    </row>
    <row r="59" spans="1:60" ht="20.100000000000001" hidden="1" customHeight="1" x14ac:dyDescent="0.15">
      <c r="A59" s="873"/>
      <c r="C59" s="533"/>
      <c r="D59" s="546"/>
      <c r="E59" s="846"/>
      <c r="F59" s="846"/>
      <c r="G59" s="846"/>
      <c r="H59" s="846"/>
      <c r="I59" s="846"/>
      <c r="M59" s="1282"/>
      <c r="P59" s="877"/>
      <c r="Q59" s="851"/>
      <c r="R59" s="877"/>
      <c r="S59" s="851"/>
      <c r="T59" s="1277"/>
      <c r="U59" s="1278"/>
      <c r="V59" s="1278"/>
      <c r="W59" s="1277"/>
      <c r="X59" s="1277"/>
    </row>
    <row r="60" spans="1:60" ht="20.100000000000001" hidden="1" customHeight="1" x14ac:dyDescent="0.15">
      <c r="A60" s="873"/>
      <c r="C60" s="533"/>
      <c r="D60" s="546"/>
      <c r="E60" s="846"/>
      <c r="F60" s="846"/>
      <c r="G60" s="846"/>
      <c r="H60" s="846"/>
      <c r="I60" s="846"/>
      <c r="M60" s="1282"/>
      <c r="P60" s="877"/>
      <c r="Q60" s="851"/>
      <c r="R60" s="877"/>
      <c r="S60" s="851"/>
      <c r="T60" s="1277"/>
      <c r="U60" s="1278"/>
      <c r="V60" s="1278"/>
      <c r="W60" s="1277"/>
      <c r="X60" s="1277"/>
    </row>
    <row r="61" spans="1:60" ht="20.100000000000001" hidden="1" customHeight="1" x14ac:dyDescent="0.15">
      <c r="A61" s="873"/>
      <c r="C61" s="533"/>
      <c r="D61" s="546"/>
      <c r="E61" s="846"/>
      <c r="F61" s="846"/>
      <c r="G61" s="846"/>
      <c r="H61" s="846"/>
      <c r="I61" s="846"/>
      <c r="M61" s="1282"/>
      <c r="P61" s="877"/>
      <c r="Q61" s="851"/>
      <c r="R61" s="877"/>
      <c r="S61" s="851"/>
      <c r="T61" s="1277"/>
      <c r="U61" s="1278"/>
      <c r="V61" s="1278"/>
      <c r="W61" s="1277"/>
      <c r="X61" s="1277"/>
    </row>
    <row r="62" spans="1:60" ht="20.100000000000001" hidden="1" customHeight="1" x14ac:dyDescent="0.15">
      <c r="A62" s="873"/>
      <c r="C62" s="877"/>
      <c r="D62" s="546"/>
      <c r="E62" s="846"/>
      <c r="F62" s="846"/>
      <c r="G62" s="846"/>
      <c r="H62" s="846"/>
      <c r="I62" s="846"/>
      <c r="M62" s="1284"/>
      <c r="P62" s="877"/>
      <c r="Q62" s="851"/>
      <c r="R62" s="877"/>
      <c r="S62" s="851"/>
      <c r="T62" s="1277"/>
      <c r="U62" s="1278"/>
      <c r="V62" s="1278"/>
      <c r="W62" s="1277"/>
      <c r="X62" s="1277"/>
    </row>
    <row r="63" spans="1:60" hidden="1" x14ac:dyDescent="0.15">
      <c r="A63" s="844"/>
      <c r="B63" s="1283"/>
      <c r="C63" s="533"/>
      <c r="D63" s="493"/>
      <c r="J63" s="1282"/>
      <c r="K63" s="1282"/>
      <c r="M63" s="877"/>
      <c r="O63" s="851"/>
      <c r="P63" s="877"/>
      <c r="Q63" s="851"/>
      <c r="R63" s="877"/>
      <c r="S63" s="851"/>
      <c r="T63" s="1277"/>
      <c r="U63" s="1278"/>
      <c r="V63" s="1278"/>
      <c r="W63" s="1277"/>
      <c r="X63" s="1277"/>
    </row>
    <row r="64" spans="1:60" ht="15.95" hidden="1" customHeight="1" x14ac:dyDescent="0.15">
      <c r="C64" s="533"/>
      <c r="D64" s="533"/>
      <c r="J64" s="536"/>
      <c r="K64" s="536"/>
      <c r="AX64" s="434"/>
      <c r="AY64" s="434"/>
      <c r="AZ64" s="434"/>
      <c r="BA64" s="434"/>
      <c r="BB64" s="434"/>
      <c r="BC64" s="434"/>
      <c r="BD64" s="434"/>
      <c r="BE64" s="434"/>
      <c r="BF64" s="434"/>
      <c r="BG64" s="434"/>
      <c r="BH64" s="434"/>
    </row>
    <row r="65" spans="2:60" ht="15.95" hidden="1" customHeight="1" x14ac:dyDescent="0.15">
      <c r="C65" s="546"/>
      <c r="D65" s="1282"/>
      <c r="E65" s="855"/>
      <c r="F65" s="855"/>
      <c r="J65" s="536"/>
      <c r="K65" s="536"/>
      <c r="AX65" s="434"/>
      <c r="AY65" s="434"/>
      <c r="AZ65" s="434"/>
      <c r="BA65" s="434"/>
      <c r="BB65" s="434"/>
      <c r="BC65" s="434"/>
      <c r="BD65" s="434"/>
      <c r="BE65" s="434"/>
      <c r="BF65" s="434"/>
      <c r="BG65" s="434"/>
      <c r="BH65" s="434"/>
    </row>
    <row r="66" spans="2:60" ht="15.95" hidden="1" customHeight="1" x14ac:dyDescent="0.15">
      <c r="C66" s="533"/>
      <c r="D66" s="533"/>
      <c r="J66" s="536"/>
      <c r="K66" s="536"/>
      <c r="AX66" s="434"/>
      <c r="AY66" s="434"/>
      <c r="AZ66" s="434"/>
      <c r="BA66" s="434"/>
      <c r="BB66" s="434"/>
      <c r="BC66" s="434"/>
      <c r="BD66" s="434"/>
      <c r="BE66" s="434"/>
      <c r="BF66" s="434"/>
      <c r="BG66" s="434"/>
      <c r="BH66" s="434"/>
    </row>
    <row r="67" spans="2:60" ht="15.95" hidden="1" customHeight="1" x14ac:dyDescent="0.15">
      <c r="C67" s="533"/>
      <c r="D67" s="533"/>
      <c r="J67" s="536"/>
      <c r="K67" s="536"/>
      <c r="AY67" s="879"/>
      <c r="AZ67" s="879"/>
      <c r="BA67" s="879"/>
      <c r="BB67" s="879"/>
      <c r="BC67" s="879"/>
      <c r="BD67" s="879"/>
      <c r="BE67" s="1285"/>
      <c r="BF67" s="1286"/>
    </row>
    <row r="68" spans="2:60" ht="15.95" hidden="1" customHeight="1" x14ac:dyDescent="0.15">
      <c r="C68" s="533"/>
      <c r="D68" s="533"/>
      <c r="J68" s="536"/>
      <c r="K68" s="536"/>
      <c r="AY68" s="879"/>
      <c r="AZ68" s="879"/>
      <c r="BA68" s="879"/>
      <c r="BB68" s="879"/>
      <c r="BC68" s="879"/>
      <c r="BD68" s="879"/>
      <c r="BE68" s="1285"/>
      <c r="BF68" s="1286"/>
    </row>
    <row r="69" spans="2:60" ht="15.95" hidden="1" customHeight="1" x14ac:dyDescent="0.15">
      <c r="C69" s="533"/>
      <c r="D69" s="533"/>
      <c r="J69" s="536"/>
      <c r="K69" s="536"/>
      <c r="AY69" s="879"/>
      <c r="AZ69" s="879"/>
      <c r="BA69" s="879"/>
      <c r="BB69" s="879"/>
      <c r="BC69" s="879"/>
      <c r="BD69" s="879"/>
      <c r="BE69" s="1285"/>
      <c r="BF69" s="1286"/>
    </row>
    <row r="70" spans="2:60" ht="15.95" hidden="1" customHeight="1" x14ac:dyDescent="0.15">
      <c r="C70" s="533"/>
      <c r="D70" s="533"/>
      <c r="J70" s="536"/>
      <c r="K70" s="536"/>
      <c r="AY70" s="879"/>
      <c r="AZ70" s="879"/>
      <c r="BA70" s="879"/>
      <c r="BB70" s="879"/>
      <c r="BC70" s="879"/>
      <c r="BD70" s="879"/>
      <c r="BE70" s="1285"/>
      <c r="BF70" s="1286"/>
    </row>
    <row r="71" spans="2:60" ht="15.95" hidden="1" customHeight="1" x14ac:dyDescent="0.15">
      <c r="C71" s="533"/>
      <c r="D71" s="533"/>
      <c r="J71" s="536"/>
      <c r="K71" s="536"/>
      <c r="AY71" s="879"/>
      <c r="AZ71" s="879"/>
      <c r="BA71" s="879"/>
      <c r="BB71" s="879"/>
      <c r="BC71" s="879"/>
      <c r="BD71" s="879"/>
      <c r="BE71" s="1285"/>
      <c r="BF71" s="1286"/>
    </row>
    <row r="72" spans="2:60" ht="15.95" hidden="1" customHeight="1" x14ac:dyDescent="0.15">
      <c r="C72" s="533"/>
      <c r="D72" s="533"/>
      <c r="J72" s="536"/>
      <c r="K72" s="536"/>
      <c r="AY72" s="879"/>
      <c r="AZ72" s="879"/>
      <c r="BA72" s="879"/>
      <c r="BB72" s="879"/>
      <c r="BC72" s="879"/>
      <c r="BD72" s="879"/>
      <c r="BE72" s="1285"/>
      <c r="BF72" s="1286"/>
    </row>
    <row r="73" spans="2:60" ht="15.95" hidden="1" customHeight="1" x14ac:dyDescent="0.15">
      <c r="C73" s="533"/>
      <c r="D73" s="533"/>
      <c r="J73" s="536"/>
      <c r="K73" s="536"/>
      <c r="AY73" s="879"/>
      <c r="AZ73" s="879"/>
      <c r="BA73" s="879"/>
      <c r="BB73" s="879"/>
      <c r="BC73" s="879"/>
      <c r="BD73" s="879"/>
      <c r="BE73" s="1285"/>
      <c r="BF73" s="1286"/>
    </row>
    <row r="74" spans="2:60" ht="15.95" hidden="1" customHeight="1" x14ac:dyDescent="0.15">
      <c r="C74" s="533"/>
      <c r="D74" s="533"/>
      <c r="J74" s="536"/>
      <c r="K74" s="536"/>
      <c r="AY74" s="879"/>
      <c r="AZ74" s="879"/>
      <c r="BA74" s="879"/>
      <c r="BB74" s="879"/>
      <c r="BC74" s="879"/>
      <c r="BD74" s="879"/>
      <c r="BE74" s="1285"/>
      <c r="BF74" s="1286"/>
    </row>
    <row r="75" spans="2:60" ht="15.95" hidden="1" customHeight="1" x14ac:dyDescent="0.15">
      <c r="B75" s="1287"/>
      <c r="C75" s="533"/>
      <c r="D75" s="533"/>
      <c r="J75" s="536"/>
      <c r="K75" s="536"/>
      <c r="AY75" s="879"/>
      <c r="AZ75" s="879"/>
      <c r="BA75" s="879"/>
      <c r="BB75" s="879"/>
      <c r="BC75" s="879"/>
      <c r="BD75" s="879"/>
      <c r="BE75" s="1285"/>
      <c r="BF75" s="1286"/>
    </row>
    <row r="76" spans="2:60" hidden="1" x14ac:dyDescent="0.15">
      <c r="B76" s="1287"/>
      <c r="C76" s="533"/>
      <c r="D76" s="533"/>
      <c r="J76" s="536"/>
      <c r="K76" s="536"/>
      <c r="AY76" s="879"/>
      <c r="AZ76" s="879"/>
      <c r="BA76" s="879"/>
      <c r="BB76" s="879"/>
      <c r="BC76" s="879"/>
      <c r="BD76" s="879"/>
      <c r="BE76" s="1285"/>
      <c r="BF76" s="1286"/>
    </row>
    <row r="77" spans="2:60" hidden="1" x14ac:dyDescent="0.15">
      <c r="B77" s="434"/>
      <c r="C77" s="434"/>
      <c r="D77" s="434"/>
      <c r="E77" s="434"/>
      <c r="H77" s="877"/>
      <c r="I77" s="851"/>
      <c r="J77" s="851"/>
      <c r="K77" s="851"/>
      <c r="L77" s="873"/>
      <c r="AY77" s="879"/>
      <c r="AZ77" s="879"/>
      <c r="BA77" s="879"/>
      <c r="BB77" s="879"/>
      <c r="BC77" s="879"/>
      <c r="BD77" s="879"/>
      <c r="BE77" s="1285"/>
      <c r="BF77" s="1286"/>
    </row>
    <row r="78" spans="2:60" hidden="1" x14ac:dyDescent="0.15">
      <c r="B78" s="546"/>
      <c r="C78" s="533"/>
      <c r="D78" s="533"/>
      <c r="E78" s="879"/>
      <c r="G78" s="877"/>
      <c r="I78" s="851"/>
      <c r="J78" s="851"/>
      <c r="K78" s="851"/>
      <c r="L78" s="873"/>
      <c r="AY78" s="879"/>
      <c r="AZ78" s="879"/>
      <c r="BA78" s="879"/>
      <c r="BB78" s="879"/>
      <c r="BC78" s="879"/>
      <c r="BD78" s="879"/>
      <c r="BE78" s="1285"/>
      <c r="BF78" s="1286"/>
    </row>
    <row r="79" spans="2:60" hidden="1" x14ac:dyDescent="0.15">
      <c r="B79" s="546"/>
      <c r="C79" s="533"/>
      <c r="D79" s="877"/>
      <c r="E79" s="877"/>
      <c r="F79" s="873"/>
      <c r="G79" s="877"/>
      <c r="I79" s="851"/>
      <c r="J79" s="546"/>
      <c r="K79" s="546"/>
      <c r="AY79" s="879"/>
      <c r="AZ79" s="879"/>
      <c r="BA79" s="879"/>
      <c r="BB79" s="879"/>
      <c r="BC79" s="879"/>
      <c r="BD79" s="879"/>
      <c r="BE79" s="1285"/>
      <c r="BF79" s="1286"/>
    </row>
    <row r="80" spans="2:60" hidden="1" x14ac:dyDescent="0.15">
      <c r="B80" s="546"/>
      <c r="C80" s="533"/>
      <c r="D80" s="877"/>
      <c r="E80" s="851"/>
      <c r="F80" s="873"/>
      <c r="G80" s="877"/>
      <c r="I80" s="851"/>
      <c r="J80" s="851"/>
      <c r="K80" s="851"/>
      <c r="L80" s="873"/>
      <c r="AY80" s="879"/>
      <c r="AZ80" s="879"/>
      <c r="BA80" s="879"/>
      <c r="BB80" s="879"/>
      <c r="BC80" s="879"/>
      <c r="BD80" s="879"/>
      <c r="BE80" s="1285"/>
      <c r="BF80" s="1286"/>
    </row>
    <row r="81" spans="2:58" hidden="1" x14ac:dyDescent="0.15">
      <c r="B81" s="851"/>
      <c r="C81" s="877"/>
      <c r="D81" s="877"/>
      <c r="E81" s="879"/>
      <c r="G81" s="877"/>
      <c r="H81" s="877"/>
      <c r="I81" s="851"/>
      <c r="J81" s="851"/>
      <c r="K81" s="851"/>
      <c r="L81" s="873"/>
      <c r="AY81" s="879"/>
      <c r="AZ81" s="879"/>
      <c r="BA81" s="879"/>
      <c r="BB81" s="879"/>
      <c r="BC81" s="879"/>
      <c r="BD81" s="879"/>
      <c r="BE81" s="1285"/>
      <c r="BF81" s="1286"/>
    </row>
    <row r="82" spans="2:58" hidden="1" x14ac:dyDescent="0.15">
      <c r="B82" s="851"/>
      <c r="C82" s="533"/>
      <c r="D82" s="877"/>
      <c r="E82" s="879"/>
      <c r="G82" s="877"/>
      <c r="I82" s="851"/>
      <c r="J82" s="851"/>
      <c r="K82" s="851"/>
      <c r="L82" s="873"/>
      <c r="AY82" s="879"/>
      <c r="AZ82" s="879"/>
      <c r="BA82" s="879"/>
      <c r="BB82" s="879"/>
      <c r="BC82" s="879"/>
      <c r="BD82" s="879"/>
      <c r="BE82" s="1285"/>
      <c r="BF82" s="1286"/>
    </row>
    <row r="83" spans="2:58" hidden="1" x14ac:dyDescent="0.15">
      <c r="B83" s="851"/>
      <c r="C83" s="533"/>
      <c r="J83" s="873"/>
      <c r="K83" s="873"/>
      <c r="AY83" s="879"/>
      <c r="AZ83" s="879"/>
      <c r="BA83" s="879"/>
      <c r="BB83" s="879"/>
      <c r="BC83" s="879"/>
      <c r="BD83" s="879"/>
      <c r="BE83" s="1285"/>
      <c r="BF83" s="1286"/>
    </row>
    <row r="84" spans="2:58" hidden="1" x14ac:dyDescent="0.15">
      <c r="C84" s="877"/>
      <c r="J84" s="873"/>
      <c r="K84" s="873"/>
      <c r="AY84" s="879"/>
      <c r="AZ84" s="879"/>
      <c r="BA84" s="879"/>
      <c r="BB84" s="879"/>
      <c r="BC84" s="879"/>
      <c r="BD84" s="879"/>
      <c r="BE84" s="1285"/>
      <c r="BF84" s="1286"/>
    </row>
    <row r="85" spans="2:58" hidden="1" x14ac:dyDescent="0.15">
      <c r="C85" s="877"/>
      <c r="J85" s="873"/>
      <c r="K85" s="873"/>
      <c r="AY85" s="879"/>
      <c r="AZ85" s="879"/>
      <c r="BA85" s="879"/>
      <c r="BB85" s="879"/>
      <c r="BC85" s="879"/>
      <c r="BD85" s="879"/>
      <c r="BE85" s="1285"/>
      <c r="BF85" s="1286"/>
    </row>
    <row r="86" spans="2:58" hidden="1" x14ac:dyDescent="0.15">
      <c r="B86" s="434"/>
      <c r="C86" s="434"/>
      <c r="D86" s="434"/>
      <c r="E86" s="434"/>
      <c r="F86" s="434"/>
      <c r="G86" s="434"/>
      <c r="H86" s="434"/>
      <c r="I86" s="434"/>
      <c r="J86" s="434"/>
      <c r="K86" s="434"/>
      <c r="L86" s="434"/>
      <c r="M86" s="434"/>
      <c r="N86" s="434"/>
      <c r="O86" s="434"/>
      <c r="AY86" s="879"/>
      <c r="AZ86" s="879"/>
      <c r="BA86" s="879"/>
      <c r="BB86" s="879"/>
      <c r="BC86" s="879"/>
      <c r="BD86" s="879"/>
      <c r="BE86" s="1285"/>
      <c r="BF86" s="1286"/>
    </row>
    <row r="87" spans="2:58" hidden="1" x14ac:dyDescent="0.15">
      <c r="J87" s="873"/>
      <c r="K87" s="873"/>
      <c r="AY87" s="879"/>
      <c r="AZ87" s="879"/>
      <c r="BA87" s="879"/>
      <c r="BB87" s="879"/>
      <c r="BC87" s="879"/>
      <c r="BD87" s="879"/>
      <c r="BE87" s="1285"/>
      <c r="BF87" s="1286"/>
    </row>
    <row r="88" spans="2:58" hidden="1" x14ac:dyDescent="0.15">
      <c r="D88" s="873"/>
      <c r="AY88" s="879"/>
      <c r="AZ88" s="879"/>
      <c r="BA88" s="879"/>
      <c r="BB88" s="879"/>
      <c r="BC88" s="879"/>
      <c r="BD88" s="879"/>
      <c r="BE88" s="1285"/>
      <c r="BF88" s="1286"/>
    </row>
    <row r="89" spans="2:58" hidden="1" x14ac:dyDescent="0.15">
      <c r="B89" s="1288"/>
      <c r="AY89" s="879"/>
      <c r="AZ89" s="879"/>
      <c r="BA89" s="879"/>
      <c r="BB89" s="879"/>
      <c r="BC89" s="879"/>
      <c r="BD89" s="879"/>
      <c r="BE89" s="1285"/>
      <c r="BF89" s="1286"/>
    </row>
    <row r="90" spans="2:58" hidden="1" x14ac:dyDescent="0.15">
      <c r="J90" s="873"/>
      <c r="K90" s="873"/>
      <c r="AY90" s="879"/>
      <c r="AZ90" s="879"/>
      <c r="BA90" s="879"/>
      <c r="BB90" s="879"/>
      <c r="BC90" s="879"/>
      <c r="BD90" s="879"/>
      <c r="BE90" s="1285"/>
      <c r="BF90" s="1286"/>
    </row>
    <row r="91" spans="2:58" hidden="1" x14ac:dyDescent="0.15">
      <c r="J91" s="873"/>
      <c r="K91" s="873"/>
      <c r="AY91" s="879"/>
      <c r="AZ91" s="879"/>
      <c r="BA91" s="879"/>
      <c r="BB91" s="879"/>
      <c r="BC91" s="879"/>
      <c r="BD91" s="879"/>
      <c r="BE91" s="1285"/>
      <c r="BF91" s="1286"/>
    </row>
    <row r="92" spans="2:58" hidden="1" x14ac:dyDescent="0.15">
      <c r="B92" s="1288"/>
      <c r="I92" s="846"/>
      <c r="M92" s="536"/>
      <c r="AY92" s="879"/>
      <c r="AZ92" s="879"/>
      <c r="BA92" s="879"/>
      <c r="BB92" s="879"/>
      <c r="BC92" s="879"/>
      <c r="BD92" s="879"/>
      <c r="BE92" s="1285"/>
      <c r="BF92" s="1286"/>
    </row>
    <row r="93" spans="2:58" hidden="1" x14ac:dyDescent="0.15">
      <c r="B93" s="1288"/>
      <c r="AY93" s="879"/>
      <c r="AZ93" s="879"/>
      <c r="BA93" s="879"/>
      <c r="BB93" s="879"/>
      <c r="BC93" s="879"/>
      <c r="BD93" s="879"/>
      <c r="BE93" s="1285"/>
      <c r="BF93" s="1286"/>
    </row>
    <row r="94" spans="2:58" hidden="1" x14ac:dyDescent="0.15">
      <c r="AY94" s="879"/>
      <c r="AZ94" s="879"/>
      <c r="BA94" s="879"/>
      <c r="BB94" s="879"/>
      <c r="BC94" s="879"/>
      <c r="BD94" s="879"/>
      <c r="BE94" s="1285"/>
      <c r="BF94" s="1286"/>
    </row>
    <row r="95" spans="2:58" hidden="1" x14ac:dyDescent="0.15">
      <c r="M95" s="865"/>
      <c r="N95" s="865"/>
      <c r="AY95" s="879"/>
      <c r="AZ95" s="879"/>
      <c r="BA95" s="879"/>
      <c r="BB95" s="879"/>
      <c r="BC95" s="879"/>
      <c r="BD95" s="879"/>
      <c r="BE95" s="1285"/>
      <c r="BF95" s="1286"/>
    </row>
    <row r="96" spans="2:58" hidden="1" x14ac:dyDescent="0.15">
      <c r="C96" s="533"/>
      <c r="D96" s="533"/>
      <c r="M96" s="865"/>
      <c r="N96" s="878"/>
      <c r="AY96" s="879"/>
      <c r="AZ96" s="879"/>
      <c r="BA96" s="879"/>
      <c r="BB96" s="879"/>
      <c r="BC96" s="879"/>
      <c r="BD96" s="879"/>
      <c r="BE96" s="1285"/>
      <c r="BF96" s="1286"/>
    </row>
    <row r="97" spans="2:58" hidden="1" x14ac:dyDescent="0.15">
      <c r="B97" s="846"/>
      <c r="E97" s="846"/>
      <c r="F97" s="846"/>
      <c r="G97" s="846"/>
      <c r="H97" s="846"/>
      <c r="I97" s="846"/>
      <c r="M97" s="865"/>
      <c r="N97" s="865"/>
      <c r="AY97" s="879"/>
      <c r="AZ97" s="879"/>
      <c r="BA97" s="879"/>
      <c r="BB97" s="879"/>
      <c r="BC97" s="879"/>
      <c r="BD97" s="879"/>
      <c r="BE97" s="1285"/>
      <c r="BF97" s="1286"/>
    </row>
    <row r="98" spans="2:58" hidden="1" x14ac:dyDescent="0.15">
      <c r="C98" s="533"/>
      <c r="D98" s="533"/>
      <c r="M98" s="865"/>
      <c r="N98" s="878"/>
      <c r="AY98" s="879"/>
      <c r="AZ98" s="879"/>
      <c r="BA98" s="879"/>
      <c r="BB98" s="879"/>
      <c r="BC98" s="879"/>
      <c r="BD98" s="879"/>
      <c r="BE98" s="1285"/>
      <c r="BF98" s="1286"/>
    </row>
    <row r="99" spans="2:58" ht="13.5" hidden="1" customHeight="1" x14ac:dyDescent="0.15">
      <c r="E99" s="846"/>
      <c r="F99" s="846"/>
      <c r="G99" s="846"/>
      <c r="H99" s="846"/>
      <c r="M99" s="865"/>
      <c r="N99" s="878"/>
      <c r="AY99" s="879"/>
      <c r="AZ99" s="879"/>
      <c r="BA99" s="879"/>
      <c r="BB99" s="879"/>
      <c r="BC99" s="879"/>
      <c r="BD99" s="879"/>
      <c r="BE99" s="1285"/>
      <c r="BF99" s="1286"/>
    </row>
    <row r="100" spans="2:58" ht="12.75" hidden="1" customHeight="1" x14ac:dyDescent="0.15">
      <c r="B100" s="846"/>
      <c r="H100" s="846"/>
      <c r="M100" s="865"/>
      <c r="N100" s="865"/>
      <c r="AY100" s="879"/>
      <c r="AZ100" s="879"/>
      <c r="BA100" s="879"/>
      <c r="BB100" s="879"/>
      <c r="BC100" s="879"/>
      <c r="BD100" s="879"/>
      <c r="BE100" s="1285"/>
      <c r="BF100" s="1286"/>
    </row>
    <row r="101" spans="2:58" ht="13.5" hidden="1" customHeight="1" x14ac:dyDescent="0.15">
      <c r="B101" s="877"/>
      <c r="E101" s="846"/>
      <c r="F101" s="846"/>
      <c r="G101" s="846"/>
      <c r="H101" s="846"/>
      <c r="M101" s="865"/>
      <c r="N101" s="865"/>
      <c r="AY101" s="879"/>
      <c r="AZ101" s="879"/>
      <c r="BA101" s="879"/>
      <c r="BB101" s="879"/>
      <c r="BC101" s="879"/>
      <c r="BD101" s="879"/>
      <c r="BE101" s="1285"/>
      <c r="BF101" s="1286"/>
    </row>
    <row r="102" spans="2:58" ht="12.75" hidden="1" customHeight="1" x14ac:dyDescent="0.15">
      <c r="B102" s="877"/>
      <c r="C102" s="533"/>
      <c r="D102" s="533"/>
      <c r="F102" s="846"/>
      <c r="G102" s="846"/>
      <c r="M102" s="865"/>
      <c r="N102" s="865"/>
      <c r="AY102" s="879"/>
      <c r="AZ102" s="879"/>
      <c r="BA102" s="879"/>
      <c r="BB102" s="879"/>
      <c r="BC102" s="879"/>
      <c r="BD102" s="879"/>
      <c r="BE102" s="1285"/>
      <c r="BF102" s="1286"/>
    </row>
    <row r="103" spans="2:58" ht="12.75" hidden="1" customHeight="1" x14ac:dyDescent="0.15">
      <c r="C103" s="533"/>
      <c r="D103" s="533"/>
      <c r="AY103" s="879"/>
      <c r="AZ103" s="879"/>
      <c r="BA103" s="879"/>
      <c r="BB103" s="879"/>
      <c r="BC103" s="879"/>
      <c r="BD103" s="879"/>
      <c r="BE103" s="1285"/>
      <c r="BF103" s="1286"/>
    </row>
    <row r="104" spans="2:58" ht="12.75" hidden="1" customHeight="1" x14ac:dyDescent="0.15">
      <c r="C104" s="533"/>
      <c r="D104" s="533"/>
      <c r="AY104" s="879"/>
      <c r="AZ104" s="879"/>
      <c r="BA104" s="879"/>
      <c r="BB104" s="879"/>
      <c r="BC104" s="879"/>
      <c r="BD104" s="879"/>
      <c r="BE104" s="1285"/>
      <c r="BF104" s="1286"/>
    </row>
    <row r="105" spans="2:58" ht="12.75" hidden="1" customHeight="1" x14ac:dyDescent="0.15">
      <c r="C105" s="533"/>
      <c r="D105" s="533"/>
      <c r="AY105" s="879"/>
      <c r="AZ105" s="879"/>
      <c r="BA105" s="879"/>
      <c r="BB105" s="879"/>
      <c r="BC105" s="879"/>
      <c r="BD105" s="879"/>
      <c r="BE105" s="1285"/>
      <c r="BF105" s="1286"/>
    </row>
    <row r="106" spans="2:58" ht="12.75" hidden="1" customHeight="1" x14ac:dyDescent="0.15"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AY106" s="879"/>
      <c r="AZ106" s="879"/>
      <c r="BA106" s="879"/>
      <c r="BB106" s="434"/>
      <c r="BC106" s="434"/>
      <c r="BD106" s="434"/>
      <c r="BE106" s="1285"/>
      <c r="BF106" s="1286"/>
    </row>
    <row r="107" spans="2:58" ht="12.75" hidden="1" customHeight="1" x14ac:dyDescent="0.15">
      <c r="C107" s="533"/>
      <c r="D107" s="877"/>
      <c r="E107" s="877"/>
      <c r="F107" s="1277"/>
      <c r="J107" s="846"/>
      <c r="K107" s="846"/>
      <c r="M107" s="877"/>
      <c r="AX107" s="546"/>
      <c r="AY107" s="879"/>
      <c r="AZ107" s="879"/>
      <c r="BA107" s="879"/>
      <c r="BB107" s="434"/>
      <c r="BC107" s="434"/>
      <c r="BD107" s="434"/>
      <c r="BE107" s="1285"/>
      <c r="BF107" s="1286"/>
    </row>
    <row r="108" spans="2:58" ht="12.75" hidden="1" customHeight="1" x14ac:dyDescent="0.15">
      <c r="B108" s="1289"/>
      <c r="C108" s="533"/>
      <c r="D108" s="1290"/>
      <c r="E108" s="846"/>
      <c r="F108" s="1291"/>
      <c r="O108" s="846"/>
      <c r="S108" s="851"/>
      <c r="V108" s="1278"/>
      <c r="AX108" s="546"/>
      <c r="AY108" s="879"/>
      <c r="AZ108" s="879"/>
      <c r="BA108" s="879"/>
      <c r="BB108" s="434"/>
      <c r="BC108" s="434"/>
      <c r="BD108" s="434"/>
      <c r="BE108" s="1285"/>
      <c r="BF108" s="1286"/>
    </row>
    <row r="109" spans="2:58" ht="12.75" hidden="1" customHeight="1" x14ac:dyDescent="0.15">
      <c r="C109" s="533"/>
      <c r="D109" s="1290"/>
      <c r="E109" s="846"/>
      <c r="F109" s="1291"/>
      <c r="AX109" s="546"/>
      <c r="AY109" s="879"/>
      <c r="AZ109" s="879"/>
      <c r="BA109" s="879"/>
      <c r="BB109" s="434"/>
      <c r="BC109" s="434"/>
      <c r="BD109" s="434"/>
      <c r="BE109" s="1285"/>
      <c r="BF109" s="1286"/>
    </row>
    <row r="110" spans="2:58" ht="12.75" hidden="1" customHeight="1" x14ac:dyDescent="0.15">
      <c r="C110" s="533"/>
      <c r="D110" s="1290"/>
      <c r="E110" s="846"/>
      <c r="F110" s="1291"/>
      <c r="AX110" s="546"/>
      <c r="AY110" s="879"/>
      <c r="AZ110" s="879"/>
      <c r="BA110" s="879"/>
      <c r="BB110" s="434"/>
      <c r="BC110" s="434"/>
      <c r="BD110" s="434"/>
      <c r="BE110" s="1285"/>
      <c r="BF110" s="1286"/>
    </row>
    <row r="111" spans="2:58" ht="12.75" hidden="1" customHeight="1" x14ac:dyDescent="0.15">
      <c r="C111" s="533"/>
      <c r="D111" s="1290"/>
      <c r="E111" s="846"/>
      <c r="F111" s="1291"/>
    </row>
    <row r="112" spans="2:58" ht="12.75" hidden="1" customHeight="1" x14ac:dyDescent="0.15">
      <c r="C112" s="533"/>
      <c r="D112" s="1290"/>
      <c r="E112" s="846"/>
      <c r="F112" s="1291"/>
      <c r="BF112" s="846"/>
    </row>
    <row r="113" spans="3:60" ht="12.75" hidden="1" customHeight="1" x14ac:dyDescent="0.15">
      <c r="C113" s="533"/>
      <c r="D113" s="1290"/>
      <c r="E113" s="846"/>
      <c r="F113" s="1291"/>
    </row>
    <row r="114" spans="3:60" ht="12.75" hidden="1" customHeight="1" x14ac:dyDescent="0.15">
      <c r="C114" s="533"/>
      <c r="D114" s="1290"/>
      <c r="E114" s="846"/>
      <c r="F114" s="1291"/>
    </row>
    <row r="115" spans="3:60" ht="12.75" hidden="1" customHeight="1" x14ac:dyDescent="0.15">
      <c r="C115" s="533"/>
      <c r="D115" s="1290"/>
      <c r="E115" s="846"/>
      <c r="F115" s="1291"/>
    </row>
    <row r="116" spans="3:60" ht="12.75" hidden="1" customHeight="1" x14ac:dyDescent="0.15">
      <c r="C116" s="533"/>
      <c r="D116" s="1290"/>
      <c r="E116" s="846"/>
      <c r="F116" s="1291"/>
    </row>
    <row r="117" spans="3:60" ht="12.75" hidden="1" customHeight="1" x14ac:dyDescent="0.15">
      <c r="C117" s="533"/>
      <c r="D117" s="1290"/>
      <c r="E117" s="846"/>
      <c r="F117" s="1291"/>
    </row>
    <row r="118" spans="3:60" ht="12.75" hidden="1" customHeight="1" x14ac:dyDescent="0.15">
      <c r="C118" s="533"/>
      <c r="D118" s="1290"/>
      <c r="E118" s="846"/>
      <c r="F118" s="1291"/>
    </row>
    <row r="119" spans="3:60" ht="12.75" hidden="1" customHeight="1" x14ac:dyDescent="0.15">
      <c r="C119" s="533"/>
      <c r="D119" s="1290"/>
      <c r="E119" s="846"/>
      <c r="F119" s="1291"/>
    </row>
    <row r="120" spans="3:60" ht="12.75" hidden="1" customHeight="1" x14ac:dyDescent="0.15">
      <c r="C120" s="533"/>
      <c r="D120" s="1290"/>
      <c r="E120" s="846"/>
      <c r="F120" s="1291"/>
    </row>
    <row r="121" spans="3:60" ht="12.75" hidden="1" customHeight="1" x14ac:dyDescent="0.15">
      <c r="C121" s="533"/>
      <c r="D121" s="1290"/>
      <c r="E121" s="846"/>
      <c r="F121" s="1291"/>
    </row>
    <row r="122" spans="3:60" ht="12.75" hidden="1" customHeight="1" x14ac:dyDescent="0.15">
      <c r="C122" s="533"/>
      <c r="D122" s="1290"/>
      <c r="E122" s="846"/>
      <c r="F122" s="1291"/>
    </row>
    <row r="123" spans="3:60" ht="12.75" hidden="1" customHeight="1" x14ac:dyDescent="0.15">
      <c r="C123" s="533"/>
      <c r="D123" s="1290"/>
      <c r="E123" s="1290"/>
      <c r="F123" s="1290"/>
    </row>
    <row r="124" spans="3:60" ht="12.75" hidden="1" customHeight="1" x14ac:dyDescent="0.15">
      <c r="C124" s="533"/>
      <c r="D124" s="1290"/>
      <c r="E124" s="1290"/>
      <c r="F124" s="1290"/>
    </row>
    <row r="125" spans="3:60" ht="12.75" hidden="1" customHeight="1" x14ac:dyDescent="0.15">
      <c r="C125" s="533"/>
      <c r="D125" s="1290"/>
      <c r="E125" s="1290"/>
      <c r="F125" s="1290"/>
      <c r="BH125" s="846"/>
    </row>
    <row r="126" spans="3:60" ht="12.75" hidden="1" customHeight="1" x14ac:dyDescent="0.15">
      <c r="C126" s="533"/>
      <c r="D126" s="1290"/>
      <c r="E126" s="1290"/>
      <c r="F126" s="1290"/>
    </row>
    <row r="127" spans="3:60" ht="12.75" hidden="1" customHeight="1" x14ac:dyDescent="0.15">
      <c r="C127" s="533"/>
      <c r="D127" s="1290"/>
      <c r="E127" s="1290"/>
      <c r="F127" s="1290"/>
    </row>
    <row r="128" spans="3:60" ht="12.75" hidden="1" customHeight="1" x14ac:dyDescent="0.15">
      <c r="C128" s="533"/>
      <c r="D128" s="1290"/>
      <c r="E128" s="1290"/>
      <c r="F128" s="1290"/>
    </row>
    <row r="129" spans="2:11" ht="12.75" hidden="1" customHeight="1" x14ac:dyDescent="0.15">
      <c r="C129" s="533"/>
      <c r="D129" s="1290"/>
      <c r="E129" s="1290"/>
      <c r="F129" s="1290"/>
    </row>
    <row r="130" spans="2:11" ht="12.75" hidden="1" customHeight="1" x14ac:dyDescent="0.15">
      <c r="C130" s="533"/>
      <c r="D130" s="1290"/>
      <c r="E130" s="1290"/>
      <c r="F130" s="1290"/>
    </row>
    <row r="131" spans="2:11" ht="12.75" hidden="1" customHeight="1" x14ac:dyDescent="0.15">
      <c r="C131" s="533"/>
      <c r="D131" s="1290"/>
      <c r="E131" s="1290"/>
      <c r="F131" s="1290"/>
    </row>
    <row r="132" spans="2:11" ht="12.75" hidden="1" customHeight="1" x14ac:dyDescent="0.15">
      <c r="C132" s="533"/>
      <c r="D132" s="1292"/>
      <c r="F132" s="1278"/>
    </row>
    <row r="133" spans="2:11" ht="12.75" hidden="1" customHeight="1" x14ac:dyDescent="0.15">
      <c r="C133" s="533"/>
      <c r="D133" s="1292"/>
      <c r="F133" s="1278"/>
    </row>
    <row r="134" spans="2:11" ht="12.75" hidden="1" customHeight="1" x14ac:dyDescent="0.15">
      <c r="C134" s="533"/>
      <c r="D134" s="1290"/>
      <c r="E134" s="1290"/>
      <c r="F134" s="1290"/>
    </row>
    <row r="135" spans="2:11" ht="12.75" hidden="1" customHeight="1" x14ac:dyDescent="0.15">
      <c r="C135" s="533"/>
      <c r="D135" s="1290"/>
      <c r="E135" s="1290"/>
      <c r="F135" s="1290"/>
    </row>
    <row r="136" spans="2:11" ht="12.75" hidden="1" customHeight="1" x14ac:dyDescent="0.15">
      <c r="C136" s="533"/>
      <c r="D136" s="1290"/>
      <c r="E136" s="1290"/>
      <c r="F136" s="1290"/>
    </row>
    <row r="137" spans="2:11" ht="12.75" hidden="1" customHeight="1" x14ac:dyDescent="0.15">
      <c r="C137" s="533"/>
      <c r="D137" s="1290"/>
      <c r="E137" s="1290"/>
      <c r="F137" s="1290"/>
    </row>
    <row r="138" spans="2:11" ht="12.75" hidden="1" customHeight="1" x14ac:dyDescent="0.15">
      <c r="C138" s="533"/>
      <c r="D138" s="1290"/>
      <c r="E138" s="1290"/>
      <c r="F138" s="1290"/>
    </row>
    <row r="139" spans="2:11" ht="12.75" hidden="1" customHeight="1" x14ac:dyDescent="0.15">
      <c r="C139" s="533"/>
      <c r="D139" s="1290"/>
      <c r="E139" s="1290"/>
      <c r="F139" s="1290"/>
    </row>
    <row r="140" spans="2:11" ht="12.75" hidden="1" customHeight="1" x14ac:dyDescent="0.15">
      <c r="C140" s="533"/>
      <c r="D140" s="1290"/>
      <c r="E140" s="1290"/>
      <c r="F140" s="1290"/>
    </row>
    <row r="141" spans="2:11" ht="13.5" hidden="1" customHeight="1" x14ac:dyDescent="0.15">
      <c r="C141" s="533"/>
      <c r="D141" s="1290"/>
      <c r="E141" s="1290"/>
      <c r="F141" s="1290"/>
    </row>
    <row r="142" spans="2:11" ht="12.75" hidden="1" customHeight="1" x14ac:dyDescent="0.15">
      <c r="C142" s="533"/>
      <c r="D142" s="1290"/>
      <c r="E142" s="1290"/>
      <c r="F142" s="1290"/>
    </row>
    <row r="143" spans="2:11" ht="12.75" hidden="1" customHeight="1" x14ac:dyDescent="0.15">
      <c r="C143" s="533"/>
      <c r="D143" s="1290"/>
      <c r="E143" s="1290"/>
      <c r="F143" s="1290"/>
    </row>
    <row r="144" spans="2:11" ht="12.75" hidden="1" customHeight="1" x14ac:dyDescent="0.15">
      <c r="B144" s="1293"/>
      <c r="C144" s="533"/>
      <c r="D144" s="1290"/>
      <c r="E144" s="1290"/>
      <c r="F144" s="1290"/>
      <c r="J144" s="865"/>
      <c r="K144" s="865"/>
    </row>
    <row r="145" spans="2:13" ht="12.75" hidden="1" customHeight="1" x14ac:dyDescent="0.15">
      <c r="B145" s="1293"/>
      <c r="C145" s="533"/>
      <c r="D145" s="1290"/>
      <c r="E145" s="1290"/>
      <c r="F145" s="1290"/>
      <c r="J145" s="865"/>
      <c r="K145" s="865"/>
    </row>
    <row r="146" spans="2:13" ht="12.75" hidden="1" customHeight="1" x14ac:dyDescent="0.15">
      <c r="B146" s="1293"/>
      <c r="C146" s="533"/>
      <c r="D146" s="1290"/>
      <c r="E146" s="1290"/>
      <c r="F146" s="1290"/>
      <c r="J146" s="865"/>
      <c r="K146" s="865"/>
    </row>
    <row r="147" spans="2:13" ht="12.75" hidden="1" customHeight="1" x14ac:dyDescent="0.15">
      <c r="B147" s="1293"/>
      <c r="C147" s="533"/>
      <c r="D147" s="1290"/>
      <c r="E147" s="1290"/>
      <c r="F147" s="1290"/>
      <c r="J147" s="865"/>
      <c r="K147" s="865"/>
    </row>
    <row r="148" spans="2:13" ht="12.75" hidden="1" customHeight="1" x14ac:dyDescent="0.15">
      <c r="B148" s="1294"/>
      <c r="C148" s="533"/>
      <c r="D148" s="1290"/>
      <c r="E148" s="1290"/>
      <c r="F148" s="1290"/>
      <c r="J148" s="865"/>
      <c r="K148" s="865"/>
    </row>
    <row r="149" spans="2:13" ht="12.75" hidden="1" customHeight="1" x14ac:dyDescent="0.15">
      <c r="B149" s="1293"/>
      <c r="C149" s="533"/>
      <c r="D149" s="1290"/>
      <c r="E149" s="1290"/>
      <c r="F149" s="1290"/>
      <c r="J149" s="865"/>
      <c r="K149" s="865"/>
    </row>
    <row r="150" spans="2:13" ht="12.75" hidden="1" customHeight="1" x14ac:dyDescent="0.15">
      <c r="B150" s="1293"/>
      <c r="C150" s="533"/>
      <c r="D150" s="1290"/>
      <c r="E150" s="1290"/>
      <c r="F150" s="1290"/>
      <c r="J150" s="865"/>
      <c r="K150" s="865"/>
    </row>
    <row r="151" spans="2:13" ht="12.75" hidden="1" customHeight="1" x14ac:dyDescent="0.15">
      <c r="B151" s="1293"/>
      <c r="C151" s="533"/>
      <c r="D151" s="1290"/>
      <c r="E151" s="1290"/>
      <c r="F151" s="1290"/>
      <c r="J151" s="865"/>
      <c r="K151" s="865"/>
    </row>
    <row r="152" spans="2:13" ht="12.75" hidden="1" customHeight="1" x14ac:dyDescent="0.15">
      <c r="B152" s="1293"/>
      <c r="C152" s="533"/>
      <c r="D152" s="1290"/>
      <c r="E152" s="1290"/>
      <c r="F152" s="1290"/>
      <c r="J152" s="865"/>
      <c r="K152" s="865"/>
      <c r="M152" s="1290"/>
    </row>
    <row r="153" spans="2:13" ht="12.75" hidden="1" customHeight="1" x14ac:dyDescent="0.15">
      <c r="B153" s="1293"/>
      <c r="C153" s="533"/>
      <c r="D153" s="1290"/>
      <c r="E153" s="1290"/>
      <c r="F153" s="1290"/>
      <c r="J153" s="865"/>
      <c r="K153" s="865"/>
      <c r="M153" s="1290"/>
    </row>
    <row r="154" spans="2:13" ht="12.75" hidden="1" customHeight="1" x14ac:dyDescent="0.15">
      <c r="B154" s="1293"/>
      <c r="C154" s="533"/>
      <c r="D154" s="533"/>
      <c r="J154" s="865"/>
      <c r="K154" s="865"/>
    </row>
    <row r="155" spans="2:13" ht="12.75" hidden="1" customHeight="1" x14ac:dyDescent="0.15">
      <c r="B155" s="1293"/>
      <c r="C155" s="533"/>
      <c r="D155" s="1290"/>
      <c r="E155" s="1290"/>
      <c r="F155" s="1290"/>
      <c r="J155" s="865"/>
      <c r="K155" s="865"/>
    </row>
    <row r="156" spans="2:13" ht="12.75" hidden="1" customHeight="1" x14ac:dyDescent="0.15">
      <c r="B156" s="1293"/>
      <c r="C156" s="533"/>
      <c r="D156" s="1290"/>
      <c r="E156" s="1290"/>
      <c r="F156" s="1290"/>
      <c r="J156" s="865"/>
      <c r="K156" s="865"/>
    </row>
    <row r="157" spans="2:13" ht="12.75" hidden="1" customHeight="1" x14ac:dyDescent="0.15">
      <c r="B157" s="1293"/>
      <c r="C157" s="533"/>
      <c r="D157" s="1290"/>
      <c r="E157" s="1290"/>
      <c r="F157" s="1290"/>
      <c r="J157" s="865"/>
      <c r="K157" s="865"/>
    </row>
    <row r="158" spans="2:13" ht="12.75" hidden="1" customHeight="1" x14ac:dyDescent="0.15">
      <c r="B158" s="1293"/>
      <c r="C158" s="533"/>
      <c r="D158" s="1290"/>
      <c r="E158" s="1290"/>
      <c r="F158" s="1290"/>
      <c r="J158" s="865"/>
      <c r="K158" s="865"/>
    </row>
    <row r="159" spans="2:13" ht="12.75" hidden="1" customHeight="1" x14ac:dyDescent="0.15">
      <c r="B159" s="1293"/>
      <c r="C159" s="533"/>
      <c r="D159" s="1290"/>
      <c r="E159" s="1290"/>
      <c r="F159" s="1290"/>
      <c r="J159" s="865"/>
      <c r="K159" s="865"/>
    </row>
    <row r="160" spans="2:13" ht="12.75" hidden="1" customHeight="1" x14ac:dyDescent="0.15">
      <c r="B160" s="1293"/>
      <c r="C160" s="533"/>
      <c r="D160" s="1290"/>
      <c r="E160" s="1290"/>
      <c r="F160" s="1290"/>
      <c r="J160" s="865"/>
      <c r="K160" s="865"/>
    </row>
    <row r="161" spans="2:11" ht="12.75" hidden="1" customHeight="1" x14ac:dyDescent="0.15">
      <c r="B161" s="1293"/>
      <c r="C161" s="533"/>
      <c r="D161" s="1290"/>
      <c r="E161" s="1290"/>
      <c r="F161" s="1290"/>
      <c r="J161" s="865"/>
      <c r="K161" s="865"/>
    </row>
    <row r="162" spans="2:11" ht="12.75" hidden="1" customHeight="1" x14ac:dyDescent="0.15">
      <c r="B162" s="1293"/>
      <c r="C162" s="533"/>
      <c r="D162" s="1290"/>
      <c r="E162" s="1290"/>
      <c r="F162" s="1290"/>
      <c r="J162" s="865"/>
      <c r="K162" s="865"/>
    </row>
    <row r="163" spans="2:11" ht="12.75" hidden="1" customHeight="1" x14ac:dyDescent="0.15">
      <c r="B163" s="1293"/>
      <c r="C163" s="533"/>
      <c r="D163" s="1290"/>
      <c r="E163" s="1290"/>
      <c r="F163" s="1290"/>
      <c r="J163" s="865"/>
      <c r="K163" s="865"/>
    </row>
    <row r="164" spans="2:11" ht="12.75" hidden="1" customHeight="1" x14ac:dyDescent="0.15">
      <c r="B164" s="1293"/>
      <c r="C164" s="533"/>
      <c r="D164" s="1290"/>
      <c r="E164" s="1290"/>
      <c r="F164" s="1290"/>
      <c r="J164" s="865"/>
      <c r="K164" s="865"/>
    </row>
    <row r="165" spans="2:11" ht="12.75" hidden="1" customHeight="1" x14ac:dyDescent="0.15">
      <c r="B165" s="1293"/>
      <c r="C165" s="533"/>
      <c r="D165" s="1290"/>
      <c r="E165" s="1290"/>
      <c r="F165" s="1290"/>
      <c r="J165" s="865"/>
      <c r="K165" s="865"/>
    </row>
    <row r="166" spans="2:11" ht="12.75" hidden="1" customHeight="1" x14ac:dyDescent="0.15">
      <c r="B166" s="1293"/>
      <c r="C166" s="533"/>
      <c r="D166" s="1290"/>
      <c r="E166" s="1290"/>
      <c r="F166" s="1290"/>
      <c r="J166" s="865"/>
      <c r="K166" s="865"/>
    </row>
    <row r="167" spans="2:11" ht="12.75" hidden="1" customHeight="1" x14ac:dyDescent="0.15">
      <c r="B167" s="1293"/>
      <c r="C167" s="533"/>
      <c r="D167" s="1290"/>
      <c r="E167" s="1290"/>
      <c r="F167" s="1290"/>
      <c r="J167" s="865"/>
      <c r="K167" s="865"/>
    </row>
    <row r="168" spans="2:11" ht="12.75" hidden="1" customHeight="1" x14ac:dyDescent="0.15">
      <c r="B168" s="1293"/>
      <c r="C168" s="533"/>
      <c r="D168" s="1290"/>
      <c r="E168" s="1290"/>
      <c r="F168" s="1290"/>
      <c r="J168" s="865"/>
      <c r="K168" s="865"/>
    </row>
    <row r="169" spans="2:11" ht="12.75" hidden="1" customHeight="1" x14ac:dyDescent="0.15">
      <c r="B169" s="1293"/>
      <c r="C169" s="533"/>
      <c r="D169" s="1290"/>
      <c r="E169" s="1290"/>
      <c r="F169" s="1290"/>
      <c r="J169" s="865"/>
      <c r="K169" s="865"/>
    </row>
    <row r="170" spans="2:11" ht="12.75" hidden="1" customHeight="1" x14ac:dyDescent="0.15">
      <c r="B170" s="1293"/>
      <c r="C170" s="533"/>
      <c r="D170" s="1290"/>
      <c r="E170" s="1290"/>
      <c r="F170" s="1290"/>
      <c r="J170" s="865"/>
      <c r="K170" s="865"/>
    </row>
    <row r="171" spans="2:11" ht="12.75" hidden="1" customHeight="1" x14ac:dyDescent="0.15">
      <c r="B171" s="1293"/>
      <c r="C171" s="533"/>
      <c r="D171" s="1290"/>
      <c r="E171" s="1290"/>
      <c r="F171" s="1290"/>
      <c r="J171" s="865"/>
      <c r="K171" s="865"/>
    </row>
    <row r="172" spans="2:11" ht="12.75" hidden="1" customHeight="1" x14ac:dyDescent="0.15">
      <c r="B172" s="1293"/>
      <c r="C172" s="533"/>
      <c r="D172" s="1290"/>
      <c r="E172" s="1290"/>
      <c r="F172" s="1290"/>
      <c r="J172" s="865"/>
      <c r="K172" s="865"/>
    </row>
    <row r="173" spans="2:11" ht="12.75" hidden="1" customHeight="1" x14ac:dyDescent="0.15">
      <c r="B173" s="1293"/>
      <c r="C173" s="533"/>
      <c r="D173" s="1290"/>
      <c r="E173" s="1290"/>
      <c r="F173" s="1290"/>
      <c r="J173" s="865"/>
      <c r="K173" s="865"/>
    </row>
    <row r="174" spans="2:11" ht="12.75" hidden="1" customHeight="1" x14ac:dyDescent="0.15">
      <c r="B174" s="1295"/>
      <c r="C174" s="533"/>
      <c r="D174" s="1290"/>
      <c r="E174" s="1290"/>
      <c r="F174" s="1290"/>
      <c r="J174" s="1278"/>
      <c r="K174" s="1278"/>
    </row>
    <row r="175" spans="2:11" ht="12.75" hidden="1" customHeight="1" x14ac:dyDescent="0.15">
      <c r="B175" s="1295"/>
      <c r="C175" s="533"/>
      <c r="D175" s="533"/>
      <c r="H175" s="873"/>
      <c r="J175" s="1278"/>
      <c r="K175" s="1278"/>
    </row>
    <row r="176" spans="2:11" ht="12.75" hidden="1" customHeight="1" x14ac:dyDescent="0.15">
      <c r="B176" s="1295"/>
      <c r="C176" s="533"/>
      <c r="D176" s="1290"/>
      <c r="E176" s="1290"/>
      <c r="F176" s="1290"/>
      <c r="J176" s="1278"/>
      <c r="K176" s="1278"/>
    </row>
    <row r="177" spans="2:11" ht="12.75" hidden="1" customHeight="1" x14ac:dyDescent="0.15">
      <c r="B177" s="1295"/>
      <c r="C177" s="533"/>
      <c r="D177" s="1290"/>
      <c r="E177" s="846"/>
      <c r="F177" s="1291"/>
      <c r="J177" s="1278"/>
      <c r="K177" s="1278"/>
    </row>
    <row r="178" spans="2:11" ht="12.75" hidden="1" customHeight="1" x14ac:dyDescent="0.15">
      <c r="B178" s="1295"/>
      <c r="C178" s="533"/>
      <c r="D178" s="1290"/>
      <c r="E178" s="1290"/>
      <c r="F178" s="1290"/>
      <c r="J178" s="1278"/>
      <c r="K178" s="1278"/>
    </row>
    <row r="179" spans="2:11" ht="12.75" hidden="1" customHeight="1" x14ac:dyDescent="0.15">
      <c r="B179" s="1295"/>
      <c r="C179" s="533"/>
      <c r="D179" s="1290"/>
      <c r="E179" s="1290"/>
      <c r="F179" s="1290"/>
      <c r="J179" s="1278"/>
      <c r="K179" s="1278"/>
    </row>
    <row r="180" spans="2:11" ht="12.75" hidden="1" customHeight="1" x14ac:dyDescent="0.15">
      <c r="B180" s="1295"/>
      <c r="C180" s="533"/>
      <c r="D180" s="1290"/>
      <c r="E180" s="1290"/>
      <c r="F180" s="1290"/>
      <c r="J180" s="1278"/>
      <c r="K180" s="1278"/>
    </row>
    <row r="181" spans="2:11" ht="12.75" hidden="1" customHeight="1" x14ac:dyDescent="0.15">
      <c r="B181" s="1295"/>
      <c r="C181" s="533"/>
      <c r="D181" s="1290"/>
      <c r="E181" s="1290"/>
      <c r="F181" s="1290"/>
      <c r="J181" s="1278"/>
      <c r="K181" s="1278"/>
    </row>
    <row r="182" spans="2:11" hidden="1" x14ac:dyDescent="0.15">
      <c r="B182" s="1295"/>
      <c r="C182" s="533"/>
      <c r="D182" s="1290"/>
      <c r="E182" s="1290"/>
      <c r="F182" s="1290"/>
      <c r="J182" s="1278"/>
      <c r="K182" s="1278"/>
    </row>
    <row r="183" spans="2:11" hidden="1" x14ac:dyDescent="0.15">
      <c r="B183" s="1295"/>
      <c r="C183" s="533"/>
      <c r="D183" s="1290"/>
      <c r="E183" s="1290"/>
      <c r="F183" s="1290"/>
      <c r="J183" s="1278"/>
      <c r="K183" s="1278"/>
    </row>
    <row r="184" spans="2:11" hidden="1" x14ac:dyDescent="0.15">
      <c r="B184" s="1295"/>
      <c r="C184" s="533"/>
      <c r="D184" s="1290"/>
      <c r="E184" s="1290"/>
      <c r="F184" s="1290"/>
      <c r="J184" s="1278"/>
      <c r="K184" s="1278"/>
    </row>
    <row r="185" spans="2:11" hidden="1" x14ac:dyDescent="0.15">
      <c r="B185" s="1295"/>
      <c r="C185" s="533"/>
      <c r="D185" s="1290"/>
      <c r="E185" s="1290"/>
      <c r="F185" s="1290"/>
      <c r="J185" s="1278"/>
      <c r="K185" s="1278"/>
    </row>
    <row r="186" spans="2:11" hidden="1" x14ac:dyDescent="0.15">
      <c r="B186" s="1295"/>
      <c r="C186" s="533"/>
      <c r="D186" s="1290"/>
      <c r="E186" s="1290"/>
      <c r="F186" s="1290"/>
      <c r="J186" s="1278"/>
      <c r="K186" s="1278"/>
    </row>
    <row r="187" spans="2:11" hidden="1" x14ac:dyDescent="0.15">
      <c r="B187" s="1295"/>
      <c r="C187" s="533"/>
      <c r="D187" s="1290"/>
      <c r="E187" s="1290"/>
      <c r="F187" s="1290"/>
      <c r="J187" s="1278"/>
      <c r="K187" s="1278"/>
    </row>
    <row r="188" spans="2:11" hidden="1" x14ac:dyDescent="0.15">
      <c r="B188" s="1295"/>
      <c r="C188" s="533"/>
      <c r="D188" s="1290"/>
      <c r="E188" s="1290"/>
      <c r="F188" s="1290"/>
      <c r="J188" s="1278"/>
      <c r="K188" s="1278"/>
    </row>
    <row r="189" spans="2:11" hidden="1" x14ac:dyDescent="0.15">
      <c r="B189" s="1295"/>
      <c r="C189" s="533"/>
      <c r="D189" s="1290"/>
      <c r="E189" s="1290"/>
      <c r="F189" s="1290"/>
      <c r="J189" s="1278"/>
      <c r="K189" s="1278"/>
    </row>
    <row r="190" spans="2:11" hidden="1" x14ac:dyDescent="0.15">
      <c r="B190" s="1295"/>
      <c r="C190" s="533"/>
      <c r="D190" s="1290"/>
      <c r="E190" s="1290"/>
      <c r="F190" s="1290"/>
      <c r="J190" s="1278"/>
      <c r="K190" s="1278"/>
    </row>
    <row r="191" spans="2:11" hidden="1" x14ac:dyDescent="0.15">
      <c r="B191" s="1295"/>
      <c r="C191" s="533"/>
      <c r="D191" s="1290"/>
      <c r="E191" s="1290"/>
      <c r="F191" s="1290"/>
      <c r="J191" s="1278"/>
      <c r="K191" s="1278"/>
    </row>
    <row r="192" spans="2:11" hidden="1" x14ac:dyDescent="0.15">
      <c r="B192" s="1295"/>
      <c r="C192" s="533"/>
      <c r="D192" s="1290"/>
      <c r="E192" s="1290"/>
      <c r="F192" s="1290"/>
      <c r="J192" s="1278"/>
      <c r="K192" s="1278"/>
    </row>
    <row r="193" spans="2:12" hidden="1" x14ac:dyDescent="0.15">
      <c r="B193" s="1295"/>
      <c r="C193" s="533"/>
      <c r="D193" s="1290"/>
      <c r="E193" s="1290"/>
      <c r="F193" s="1290"/>
      <c r="J193" s="1278"/>
      <c r="K193" s="1278"/>
    </row>
    <row r="194" spans="2:12" hidden="1" x14ac:dyDescent="0.15">
      <c r="B194" s="1295"/>
      <c r="C194" s="533"/>
      <c r="D194" s="1290"/>
      <c r="E194" s="1290"/>
      <c r="F194" s="1290"/>
      <c r="J194" s="1278"/>
      <c r="K194" s="1278"/>
    </row>
    <row r="195" spans="2:12" hidden="1" x14ac:dyDescent="0.15">
      <c r="B195" s="1295"/>
      <c r="C195" s="533"/>
      <c r="D195" s="1290"/>
      <c r="E195" s="1290"/>
      <c r="F195" s="1290"/>
      <c r="J195" s="1278"/>
      <c r="K195" s="1278"/>
    </row>
    <row r="196" spans="2:12" hidden="1" x14ac:dyDescent="0.15">
      <c r="B196" s="1295"/>
      <c r="C196" s="533"/>
      <c r="E196" s="846"/>
      <c r="J196" s="1278"/>
      <c r="K196" s="1278"/>
    </row>
    <row r="197" spans="2:12" hidden="1" x14ac:dyDescent="0.15">
      <c r="B197" s="1295"/>
      <c r="C197" s="533"/>
      <c r="D197" s="1290"/>
      <c r="E197" s="1290"/>
      <c r="F197" s="1290"/>
      <c r="J197" s="1278"/>
      <c r="K197" s="1278"/>
      <c r="L197" s="1290"/>
    </row>
    <row r="198" spans="2:12" hidden="1" x14ac:dyDescent="0.15">
      <c r="B198" s="1295"/>
      <c r="C198" s="533"/>
      <c r="D198" s="1290"/>
      <c r="E198" s="1290"/>
      <c r="F198" s="1290"/>
      <c r="J198" s="1278"/>
      <c r="K198" s="1278"/>
    </row>
    <row r="199" spans="2:12" hidden="1" x14ac:dyDescent="0.15">
      <c r="B199" s="1295"/>
      <c r="C199" s="533"/>
      <c r="D199" s="1290"/>
      <c r="E199" s="1290"/>
      <c r="F199" s="1290"/>
      <c r="J199" s="1278"/>
      <c r="K199" s="1278"/>
    </row>
    <row r="200" spans="2:12" hidden="1" x14ac:dyDescent="0.15">
      <c r="B200" s="1295"/>
      <c r="C200" s="533"/>
      <c r="D200" s="533"/>
      <c r="J200" s="1278"/>
      <c r="K200" s="1278"/>
    </row>
    <row r="201" spans="2:12" hidden="1" x14ac:dyDescent="0.15">
      <c r="B201" s="1295"/>
      <c r="C201" s="533"/>
      <c r="D201" s="1290"/>
      <c r="E201" s="1290"/>
      <c r="F201" s="1290"/>
      <c r="J201" s="1278"/>
      <c r="K201" s="1278"/>
    </row>
    <row r="202" spans="2:12" hidden="1" x14ac:dyDescent="0.15">
      <c r="B202" s="1295"/>
      <c r="C202" s="533"/>
      <c r="D202" s="1290"/>
      <c r="E202" s="1290"/>
      <c r="F202" s="1290"/>
      <c r="J202" s="1278"/>
      <c r="K202" s="1278"/>
    </row>
    <row r="203" spans="2:12" hidden="1" x14ac:dyDescent="0.15">
      <c r="B203" s="1295"/>
      <c r="C203" s="533"/>
      <c r="D203" s="1290"/>
      <c r="E203" s="1290"/>
      <c r="F203" s="1290"/>
      <c r="J203" s="1278"/>
      <c r="K203" s="1278"/>
    </row>
    <row r="204" spans="2:12" hidden="1" x14ac:dyDescent="0.15">
      <c r="B204" s="1295"/>
      <c r="C204" s="533"/>
      <c r="D204" s="1290"/>
      <c r="E204" s="1290"/>
      <c r="F204" s="1290"/>
      <c r="J204" s="1278"/>
      <c r="K204" s="1278"/>
    </row>
    <row r="205" spans="2:12" hidden="1" x14ac:dyDescent="0.15">
      <c r="B205" s="1295"/>
      <c r="C205" s="533"/>
      <c r="D205" s="1290"/>
      <c r="E205" s="1290"/>
      <c r="F205" s="1290"/>
      <c r="J205" s="1278"/>
      <c r="K205" s="1278"/>
    </row>
    <row r="206" spans="2:12" hidden="1" x14ac:dyDescent="0.15">
      <c r="B206" s="1295"/>
      <c r="C206" s="533"/>
      <c r="D206" s="533"/>
      <c r="J206" s="1278"/>
      <c r="K206" s="1278"/>
    </row>
    <row r="207" spans="2:12" hidden="1" x14ac:dyDescent="0.15">
      <c r="B207" s="546"/>
      <c r="C207" s="533"/>
      <c r="D207" s="533"/>
    </row>
    <row r="208" spans="2:12" hidden="1" x14ac:dyDescent="0.15">
      <c r="C208" s="533"/>
      <c r="D208" s="533"/>
    </row>
    <row r="209" spans="2:12" hidden="1" x14ac:dyDescent="0.15">
      <c r="C209" s="546"/>
      <c r="D209" s="546"/>
      <c r="E209" s="546"/>
      <c r="F209" s="546"/>
      <c r="G209" s="546"/>
      <c r="H209" s="546"/>
      <c r="I209" s="546"/>
      <c r="J209" s="546"/>
      <c r="K209" s="546"/>
      <c r="L209" s="546"/>
    </row>
    <row r="210" spans="2:12" hidden="1" x14ac:dyDescent="0.15">
      <c r="B210" s="1293"/>
      <c r="C210" s="877"/>
      <c r="D210" s="877"/>
      <c r="E210" s="1277"/>
      <c r="L210" s="846"/>
    </row>
    <row r="211" spans="2:12" hidden="1" x14ac:dyDescent="0.15">
      <c r="B211" s="1295"/>
      <c r="C211" s="1290"/>
      <c r="E211" s="1291"/>
    </row>
    <row r="212" spans="2:12" hidden="1" x14ac:dyDescent="0.15">
      <c r="B212" s="1293"/>
      <c r="C212" s="1290"/>
      <c r="D212" s="1290"/>
      <c r="E212" s="1290"/>
    </row>
    <row r="213" spans="2:12" hidden="1" x14ac:dyDescent="0.15">
      <c r="B213" s="1295"/>
      <c r="C213" s="1290"/>
      <c r="D213" s="1290"/>
      <c r="E213" s="1290"/>
    </row>
    <row r="214" spans="2:12" hidden="1" x14ac:dyDescent="0.15">
      <c r="B214" s="1295"/>
      <c r="C214" s="1290"/>
      <c r="D214" s="1290"/>
      <c r="E214" s="1290"/>
    </row>
    <row r="215" spans="2:12" hidden="1" x14ac:dyDescent="0.15">
      <c r="C215" s="1290"/>
      <c r="D215" s="1290"/>
      <c r="E215" s="1290"/>
    </row>
    <row r="216" spans="2:12" hidden="1" x14ac:dyDescent="0.15">
      <c r="C216" s="533"/>
      <c r="D216" s="533"/>
    </row>
    <row r="217" spans="2:12" hidden="1" x14ac:dyDescent="0.15"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</row>
    <row r="218" spans="2:12" hidden="1" x14ac:dyDescent="0.15">
      <c r="C218" s="877"/>
      <c r="D218" s="877"/>
      <c r="E218" s="1277"/>
      <c r="L218" s="846"/>
    </row>
    <row r="219" spans="2:12" hidden="1" x14ac:dyDescent="0.15">
      <c r="B219" s="1293"/>
      <c r="C219" s="1290"/>
      <c r="E219" s="1291"/>
    </row>
    <row r="220" spans="2:12" hidden="1" x14ac:dyDescent="0.15">
      <c r="B220" s="1295"/>
      <c r="C220" s="1290"/>
      <c r="E220" s="1291"/>
    </row>
    <row r="221" spans="2:12" hidden="1" x14ac:dyDescent="0.15">
      <c r="B221" s="1295"/>
      <c r="C221" s="1290"/>
      <c r="E221" s="1291"/>
    </row>
    <row r="222" spans="2:12" hidden="1" x14ac:dyDescent="0.15">
      <c r="B222" s="1293"/>
      <c r="C222" s="1290"/>
      <c r="E222" s="1291"/>
    </row>
    <row r="223" spans="2:12" hidden="1" x14ac:dyDescent="0.15">
      <c r="B223" s="1295"/>
      <c r="C223" s="1290"/>
      <c r="E223" s="1291"/>
    </row>
    <row r="224" spans="2:12" hidden="1" x14ac:dyDescent="0.15">
      <c r="B224" s="1295"/>
      <c r="C224" s="1290"/>
      <c r="E224" s="1291"/>
    </row>
    <row r="225" spans="2:12" hidden="1" x14ac:dyDescent="0.15">
      <c r="B225" s="1294"/>
      <c r="C225" s="1290"/>
      <c r="E225" s="1291"/>
    </row>
    <row r="226" spans="2:12" hidden="1" x14ac:dyDescent="0.15">
      <c r="B226" s="1295"/>
      <c r="C226" s="1290"/>
      <c r="E226" s="1291"/>
    </row>
    <row r="227" spans="2:12" hidden="1" x14ac:dyDescent="0.15">
      <c r="B227" s="1295"/>
      <c r="C227" s="1290"/>
      <c r="D227" s="1290"/>
      <c r="E227" s="1290"/>
    </row>
    <row r="228" spans="2:12" hidden="1" x14ac:dyDescent="0.15">
      <c r="B228" s="1293"/>
      <c r="C228" s="1290"/>
      <c r="D228" s="1290"/>
      <c r="E228" s="1290"/>
    </row>
    <row r="229" spans="2:12" hidden="1" x14ac:dyDescent="0.15">
      <c r="B229" s="1295"/>
      <c r="C229" s="1290"/>
      <c r="D229" s="1290"/>
      <c r="E229" s="1290"/>
    </row>
    <row r="230" spans="2:12" hidden="1" x14ac:dyDescent="0.15">
      <c r="B230" s="1293"/>
      <c r="C230" s="1290"/>
      <c r="D230" s="1290"/>
      <c r="E230" s="1290"/>
    </row>
    <row r="231" spans="2:12" hidden="1" x14ac:dyDescent="0.15">
      <c r="B231" s="1295"/>
      <c r="C231" s="1290"/>
      <c r="D231" s="1290"/>
      <c r="E231" s="1290"/>
    </row>
    <row r="232" spans="2:12" hidden="1" x14ac:dyDescent="0.15">
      <c r="B232" s="1293"/>
      <c r="C232" s="1290"/>
      <c r="D232" s="1290"/>
      <c r="E232" s="1290"/>
    </row>
    <row r="233" spans="2:12" hidden="1" x14ac:dyDescent="0.15">
      <c r="B233" s="1293"/>
      <c r="C233" s="1290"/>
      <c r="D233" s="1290"/>
      <c r="E233" s="1290"/>
    </row>
    <row r="234" spans="2:12" hidden="1" x14ac:dyDescent="0.15">
      <c r="B234" s="1293"/>
      <c r="C234" s="1290"/>
      <c r="D234" s="1290"/>
      <c r="E234" s="1290"/>
    </row>
    <row r="235" spans="2:12" hidden="1" x14ac:dyDescent="0.15">
      <c r="C235" s="1290"/>
      <c r="D235" s="1290"/>
      <c r="E235" s="1290"/>
    </row>
    <row r="236" spans="2:12" hidden="1" x14ac:dyDescent="0.15">
      <c r="B236" s="1289"/>
      <c r="C236" s="1290"/>
      <c r="D236" s="1290"/>
      <c r="E236" s="1290"/>
    </row>
    <row r="237" spans="2:12" hidden="1" x14ac:dyDescent="0.15">
      <c r="B237" s="1293"/>
      <c r="C237" s="873"/>
      <c r="D237" s="533"/>
      <c r="E237" s="1278"/>
      <c r="L237" s="865"/>
    </row>
    <row r="238" spans="2:12" hidden="1" x14ac:dyDescent="0.15">
      <c r="B238" s="1295"/>
      <c r="C238" s="546"/>
      <c r="D238" s="546"/>
      <c r="E238" s="546"/>
      <c r="F238" s="546"/>
      <c r="G238" s="546"/>
      <c r="H238" s="546"/>
      <c r="I238" s="546"/>
      <c r="J238" s="546"/>
      <c r="K238" s="546"/>
      <c r="L238" s="546"/>
    </row>
    <row r="239" spans="2:12" hidden="1" x14ac:dyDescent="0.15">
      <c r="B239" s="1293"/>
      <c r="C239" s="877"/>
      <c r="D239" s="877"/>
      <c r="E239" s="1277"/>
      <c r="L239" s="846"/>
    </row>
    <row r="240" spans="2:12" hidden="1" x14ac:dyDescent="0.15">
      <c r="C240" s="1290"/>
      <c r="E240" s="1291"/>
    </row>
    <row r="241" spans="2:5" hidden="1" x14ac:dyDescent="0.15">
      <c r="C241" s="1290"/>
      <c r="E241" s="1291"/>
    </row>
    <row r="242" spans="2:5" hidden="1" x14ac:dyDescent="0.15">
      <c r="B242" s="1295"/>
      <c r="C242" s="1290"/>
      <c r="E242" s="1291"/>
    </row>
    <row r="243" spans="2:5" hidden="1" x14ac:dyDescent="0.15">
      <c r="B243" s="1293"/>
      <c r="C243" s="1290"/>
      <c r="E243" s="1291"/>
    </row>
    <row r="244" spans="2:5" hidden="1" x14ac:dyDescent="0.15">
      <c r="B244" s="1295"/>
      <c r="C244" s="1290"/>
      <c r="E244" s="1291"/>
    </row>
    <row r="245" spans="2:5" hidden="1" x14ac:dyDescent="0.15">
      <c r="C245" s="1290"/>
      <c r="D245" s="1290"/>
      <c r="E245" s="1290"/>
    </row>
    <row r="246" spans="2:5" hidden="1" x14ac:dyDescent="0.15">
      <c r="C246" s="1290"/>
      <c r="D246" s="1290"/>
      <c r="E246" s="1290"/>
    </row>
    <row r="247" spans="2:5" hidden="1" x14ac:dyDescent="0.15">
      <c r="B247" s="1295"/>
      <c r="C247" s="1290"/>
      <c r="D247" s="1290"/>
      <c r="E247" s="1290"/>
    </row>
    <row r="248" spans="2:5" hidden="1" x14ac:dyDescent="0.15">
      <c r="B248" s="1295"/>
      <c r="C248" s="1290"/>
      <c r="D248" s="1290"/>
      <c r="E248" s="1290"/>
    </row>
    <row r="249" spans="2:5" hidden="1" x14ac:dyDescent="0.15">
      <c r="B249" s="1293"/>
      <c r="C249" s="1290"/>
      <c r="D249" s="1290"/>
      <c r="E249" s="1290"/>
    </row>
    <row r="250" spans="2:5" hidden="1" x14ac:dyDescent="0.15">
      <c r="B250" s="1293"/>
    </row>
    <row r="251" spans="2:5" hidden="1" x14ac:dyDescent="0.15">
      <c r="C251" s="533"/>
      <c r="D251" s="533"/>
    </row>
    <row r="252" spans="2:5" hidden="1" x14ac:dyDescent="0.15">
      <c r="B252" s="1295"/>
      <c r="C252" s="533"/>
      <c r="D252" s="533"/>
    </row>
    <row r="253" spans="2:5" hidden="1" x14ac:dyDescent="0.15">
      <c r="C253" s="533"/>
      <c r="D253" s="533"/>
    </row>
    <row r="254" spans="2:5" hidden="1" x14ac:dyDescent="0.15">
      <c r="C254" s="533"/>
      <c r="D254" s="533"/>
    </row>
    <row r="255" spans="2:5" hidden="1" x14ac:dyDescent="0.15">
      <c r="C255" s="533"/>
      <c r="D255" s="533"/>
    </row>
    <row r="256" spans="2:5" hidden="1" x14ac:dyDescent="0.15">
      <c r="B256" s="1295"/>
      <c r="C256" s="533"/>
      <c r="D256" s="533"/>
    </row>
    <row r="257" spans="2:4" hidden="1" x14ac:dyDescent="0.15">
      <c r="B257" s="1295"/>
      <c r="C257" s="533"/>
      <c r="D257" s="533"/>
    </row>
    <row r="258" spans="2:4" hidden="1" x14ac:dyDescent="0.15">
      <c r="B258" s="1295"/>
    </row>
    <row r="259" spans="2:4" hidden="1" x14ac:dyDescent="0.15"/>
    <row r="260" spans="2:4" hidden="1" x14ac:dyDescent="0.15">
      <c r="B260" s="1295"/>
    </row>
    <row r="261" spans="2:4" hidden="1" x14ac:dyDescent="0.15">
      <c r="B261" s="1293"/>
    </row>
    <row r="262" spans="2:4" hidden="1" x14ac:dyDescent="0.15"/>
    <row r="263" spans="2:4" hidden="1" x14ac:dyDescent="0.15"/>
    <row r="264" spans="2:4" hidden="1" x14ac:dyDescent="0.15"/>
    <row r="265" spans="2:4" hidden="1" x14ac:dyDescent="0.15"/>
    <row r="266" spans="2:4" hidden="1" x14ac:dyDescent="0.15"/>
    <row r="267" spans="2:4" hidden="1" x14ac:dyDescent="0.15">
      <c r="B267" s="1293"/>
    </row>
    <row r="268" spans="2:4" hidden="1" x14ac:dyDescent="0.15"/>
    <row r="269" spans="2:4" hidden="1" x14ac:dyDescent="0.15"/>
    <row r="270" spans="2:4" hidden="1" x14ac:dyDescent="0.15">
      <c r="B270" s="1295"/>
    </row>
    <row r="271" spans="2:4" hidden="1" x14ac:dyDescent="0.15"/>
    <row r="272" spans="2:4" hidden="1" x14ac:dyDescent="0.15"/>
    <row r="273" spans="2:2" hidden="1" x14ac:dyDescent="0.15"/>
    <row r="274" spans="2:2" hidden="1" x14ac:dyDescent="0.15">
      <c r="B274" s="1295"/>
    </row>
    <row r="275" spans="2:2" hidden="1" x14ac:dyDescent="0.15"/>
    <row r="276" spans="2:2" hidden="1" x14ac:dyDescent="0.15"/>
    <row r="277" spans="2:2" hidden="1" x14ac:dyDescent="0.15">
      <c r="B277" s="1293"/>
    </row>
    <row r="278" spans="2:2" hidden="1" x14ac:dyDescent="0.15"/>
    <row r="279" spans="2:2" hidden="1" x14ac:dyDescent="0.15"/>
    <row r="280" spans="2:2" hidden="1" x14ac:dyDescent="0.15">
      <c r="B280" s="1295"/>
    </row>
    <row r="281" spans="2:2" hidden="1" x14ac:dyDescent="0.15">
      <c r="B281" s="1293"/>
    </row>
    <row r="282" spans="2:2" hidden="1" x14ac:dyDescent="0.15">
      <c r="B282" s="1295"/>
    </row>
    <row r="283" spans="2:2" hidden="1" x14ac:dyDescent="0.15">
      <c r="B283" s="1295"/>
    </row>
    <row r="284" spans="2:2" hidden="1" x14ac:dyDescent="0.15">
      <c r="B284" s="1295"/>
    </row>
    <row r="285" spans="2:2" hidden="1" x14ac:dyDescent="0.15">
      <c r="B285" s="1293"/>
    </row>
    <row r="286" spans="2:2" hidden="1" x14ac:dyDescent="0.15">
      <c r="B286" s="1295"/>
    </row>
    <row r="287" spans="2:2" hidden="1" x14ac:dyDescent="0.15">
      <c r="B287" s="1293"/>
    </row>
    <row r="288" spans="2:2" hidden="1" x14ac:dyDescent="0.15">
      <c r="B288" s="1295"/>
    </row>
    <row r="289" spans="2:2" hidden="1" x14ac:dyDescent="0.15">
      <c r="B289" s="1293"/>
    </row>
    <row r="290" spans="2:2" hidden="1" x14ac:dyDescent="0.15">
      <c r="B290" s="1295"/>
    </row>
    <row r="291" spans="2:2" hidden="1" x14ac:dyDescent="0.15">
      <c r="B291" s="1293"/>
    </row>
    <row r="292" spans="2:2" hidden="1" x14ac:dyDescent="0.15">
      <c r="B292" s="1293"/>
    </row>
    <row r="293" spans="2:2" hidden="1" x14ac:dyDescent="0.15">
      <c r="B293" s="1295"/>
    </row>
    <row r="294" spans="2:2" hidden="1" x14ac:dyDescent="0.15"/>
    <row r="295" spans="2:2" hidden="1" x14ac:dyDescent="0.15">
      <c r="B295" s="1293"/>
    </row>
    <row r="296" spans="2:2" hidden="1" x14ac:dyDescent="0.15">
      <c r="B296" s="1293"/>
    </row>
    <row r="297" spans="2:2" hidden="1" x14ac:dyDescent="0.15">
      <c r="B297" s="1293"/>
    </row>
    <row r="298" spans="2:2" hidden="1" x14ac:dyDescent="0.15">
      <c r="B298" s="1293"/>
    </row>
    <row r="299" spans="2:2" hidden="1" x14ac:dyDescent="0.15">
      <c r="B299" s="1293"/>
    </row>
    <row r="300" spans="2:2" hidden="1" x14ac:dyDescent="0.15">
      <c r="B300" s="1293"/>
    </row>
    <row r="301" spans="2:2" hidden="1" x14ac:dyDescent="0.15"/>
    <row r="302" spans="2:2" hidden="1" x14ac:dyDescent="0.15">
      <c r="B302" s="1295"/>
    </row>
  </sheetData>
  <sheetProtection password="97A9" sheet="1" objects="1" scenarios="1"/>
  <mergeCells count="63">
    <mergeCell ref="F11:G11"/>
    <mergeCell ref="F12:G12"/>
    <mergeCell ref="F13:G13"/>
    <mergeCell ref="C28:O28"/>
    <mergeCell ref="H17:L17"/>
    <mergeCell ref="H18:L18"/>
    <mergeCell ref="H19:L19"/>
    <mergeCell ref="H20:L20"/>
    <mergeCell ref="C17:E17"/>
    <mergeCell ref="L2:O2"/>
    <mergeCell ref="C3:O3"/>
    <mergeCell ref="C7:O7"/>
    <mergeCell ref="J5:K5"/>
    <mergeCell ref="E5:I5"/>
    <mergeCell ref="F17:G17"/>
    <mergeCell ref="F18:G18"/>
    <mergeCell ref="C25:E25"/>
    <mergeCell ref="F23:G23"/>
    <mergeCell ref="C23:E23"/>
    <mergeCell ref="C18:E18"/>
    <mergeCell ref="F22:G22"/>
    <mergeCell ref="H21:L21"/>
    <mergeCell ref="H22:L22"/>
    <mergeCell ref="H23:L23"/>
    <mergeCell ref="C21:E21"/>
    <mergeCell ref="F21:G21"/>
    <mergeCell ref="C22:E22"/>
    <mergeCell ref="C19:E19"/>
    <mergeCell ref="F19:G19"/>
    <mergeCell ref="C20:E20"/>
    <mergeCell ref="F20:G20"/>
    <mergeCell ref="C16:E16"/>
    <mergeCell ref="H9:L9"/>
    <mergeCell ref="H10:L10"/>
    <mergeCell ref="C12:E12"/>
    <mergeCell ref="C13:E13"/>
    <mergeCell ref="F10:G10"/>
    <mergeCell ref="F9:G9"/>
    <mergeCell ref="C9:E9"/>
    <mergeCell ref="F14:G14"/>
    <mergeCell ref="H16:L16"/>
    <mergeCell ref="C10:E10"/>
    <mergeCell ref="C11:E11"/>
    <mergeCell ref="F15:G15"/>
    <mergeCell ref="C15:E15"/>
    <mergeCell ref="F16:G16"/>
    <mergeCell ref="C14:E14"/>
    <mergeCell ref="U15:Y15"/>
    <mergeCell ref="H11:L11"/>
    <mergeCell ref="H12:L12"/>
    <mergeCell ref="U13:Y13"/>
    <mergeCell ref="U14:Y14"/>
    <mergeCell ref="H13:L13"/>
    <mergeCell ref="H14:L14"/>
    <mergeCell ref="H15:L15"/>
    <mergeCell ref="C26:E26"/>
    <mergeCell ref="F26:G26"/>
    <mergeCell ref="H26:L26"/>
    <mergeCell ref="H24:L24"/>
    <mergeCell ref="F25:G25"/>
    <mergeCell ref="H25:L25"/>
    <mergeCell ref="C24:E24"/>
    <mergeCell ref="F24:G24"/>
  </mergeCells>
  <phoneticPr fontId="0" type="noConversion"/>
  <conditionalFormatting sqref="H19:L19">
    <cfRule type="cellIs" dxfId="501" priority="1" stopIfTrue="1" operator="equal">
      <formula>"REGRA NÃO CUMPRIDA"</formula>
    </cfRule>
    <cfRule type="cellIs" dxfId="500" priority="2" stopIfTrue="1" operator="equal">
      <formula>"A PARTIR DE 20/02/2004 ESSA REGRA NÃO SE APLICA AO SERVIDOR"</formula>
    </cfRule>
    <cfRule type="cellIs" dxfId="499" priority="3" stopIfTrue="1" operator="equal">
      <formula>"CONFIRME MAGISTÉRIO OU REVEJA FUNDAMENTAÇÃO"</formula>
    </cfRule>
  </conditionalFormatting>
  <conditionalFormatting sqref="H18">
    <cfRule type="cellIs" dxfId="498" priority="4" stopIfTrue="1" operator="equal">
      <formula>"REGRA NÃO CUMPRIDA"</formula>
    </cfRule>
    <cfRule type="cellIs" dxfId="497" priority="5" stopIfTrue="1" operator="equal">
      <formula>"A PARTIR DE 20/02/2004 ESSA REGRA NÃO SE APLICA AO SERVIDOR"</formula>
    </cfRule>
    <cfRule type="cellIs" dxfId="496" priority="6" stopIfTrue="1" operator="equal">
      <formula>"REVER FUNDAMENTAÇÃO E/OU MODALIDADE"</formula>
    </cfRule>
  </conditionalFormatting>
  <conditionalFormatting sqref="H16:L17">
    <cfRule type="cellIs" dxfId="495" priority="7" stopIfTrue="1" operator="equal">
      <formula>"REGRA NÃO CUMPRIDA"</formula>
    </cfRule>
    <cfRule type="cellIs" dxfId="494" priority="8" stopIfTrue="1" operator="equal">
      <formula>"A PARTIR DE 20/02/2004 ESSA REGRA NÃO SE APLICA AO SERVIDOR"</formula>
    </cfRule>
    <cfRule type="cellIs" dxfId="493" priority="9" stopIfTrue="1" operator="equal">
      <formula>"REGRA CUMPRIDA"</formula>
    </cfRule>
  </conditionalFormatting>
  <conditionalFormatting sqref="U13:Y13 U15:Y15 H13:I15">
    <cfRule type="cellIs" dxfId="492" priority="10" stopIfTrue="1" operator="equal">
      <formula>"REGRA NÃO CUMPRIDA"</formula>
    </cfRule>
    <cfRule type="cellIs" dxfId="491" priority="11" stopIfTrue="1" operator="equal">
      <formula>"A PARTIR DE 31/12/2003 ESSA REGRA NÃO SE APLICA AO SERVIDOR"</formula>
    </cfRule>
    <cfRule type="cellIs" dxfId="490" priority="12" stopIfTrue="1" operator="equal">
      <formula>"REGRA CUMPRIDA"</formula>
    </cfRule>
  </conditionalFormatting>
  <conditionalFormatting sqref="U14:Y14">
    <cfRule type="cellIs" dxfId="489" priority="13" stopIfTrue="1" operator="equal">
      <formula>"REGRA NÃO CUMPRIDA"</formula>
    </cfRule>
    <cfRule type="cellIs" dxfId="488" priority="14" stopIfTrue="1" operator="equal">
      <formula>"A PARTIR DE 31/12/2003 ESSA REGRA NÃO SE APLICA AO SERVIDOR"</formula>
    </cfRule>
    <cfRule type="cellIs" dxfId="487" priority="15" stopIfTrue="1" operator="equal">
      <formula>"CONFIRME MAGISTÉRIO"</formula>
    </cfRule>
  </conditionalFormatting>
  <conditionalFormatting sqref="R10:R15 R18:R19 R22:R24 M10:M26 N10:O16 O17 N18:O20 N25:O26 N22:N24 O21:O24">
    <cfRule type="cellIs" dxfId="486" priority="16" stopIfTrue="1" operator="notEqual">
      <formula>0</formula>
    </cfRule>
  </conditionalFormatting>
  <conditionalFormatting sqref="J219:K237 J209:K215 J240:K263 L152:L153 C197:C199 C108:C153 C155:C174 C194:C195 C201:C205 C176:C192">
    <cfRule type="cellIs" dxfId="485" priority="17" stopIfTrue="1" operator="equal">
      <formula>"ANUÊNIO"</formula>
    </cfRule>
    <cfRule type="cellIs" dxfId="484" priority="18" stopIfTrue="1" operator="equal">
      <formula>"TRIÊNIO"</formula>
    </cfRule>
    <cfRule type="cellIs" dxfId="483" priority="19" stopIfTrue="1" operator="equal">
      <formula>"QUINQUÊNIO"</formula>
    </cfRule>
  </conditionalFormatting>
  <conditionalFormatting sqref="J34:K45 J63:K63 I46 N29 J27:K27">
    <cfRule type="cellIs" dxfId="482" priority="20" stopIfTrue="1" operator="equal">
      <formula>"ATENDE"</formula>
    </cfRule>
    <cfRule type="cellIs" dxfId="481" priority="21" stopIfTrue="1" operator="equal">
      <formula>"NÃO ATENDE"</formula>
    </cfRule>
    <cfRule type="cellIs" dxfId="480" priority="22" stopIfTrue="1" operator="equal">
      <formula>"OK"</formula>
    </cfRule>
  </conditionalFormatting>
  <conditionalFormatting sqref="A47:L62 H30:H43 H27">
    <cfRule type="cellIs" dxfId="479" priority="23" stopIfTrue="1" operator="equal">
      <formula>"SIM"</formula>
    </cfRule>
    <cfRule type="cellIs" dxfId="478" priority="24" stopIfTrue="1" operator="equal">
      <formula>"NÃO"</formula>
    </cfRule>
  </conditionalFormatting>
  <conditionalFormatting sqref="H24:H26 H10:L11">
    <cfRule type="cellIs" dxfId="477" priority="25" stopIfTrue="1" operator="equal">
      <formula>"REGRA NÃO CUMPRIDA"</formula>
    </cfRule>
    <cfRule type="cellIs" dxfId="476" priority="26" stopIfTrue="1" operator="equal">
      <formula>"O SERVIDOR NÃO FAZ JUS A ESSA REGRA E/OU MODALIDADE"</formula>
    </cfRule>
    <cfRule type="cellIs" dxfId="475" priority="27" stopIfTrue="1" operator="equal">
      <formula>"REGRA CUMPRIDA"</formula>
    </cfRule>
  </conditionalFormatting>
  <conditionalFormatting sqref="H20:L22">
    <cfRule type="cellIs" dxfId="474" priority="28" stopIfTrue="1" operator="equal">
      <formula>"REGRA NÃO CUMPRIDA"</formula>
    </cfRule>
    <cfRule type="cellIs" dxfId="473" priority="29" stopIfTrue="1" operator="equal">
      <formula>"O SERVIDOR NÃO FAZ JUS NESTA DATA"</formula>
    </cfRule>
    <cfRule type="cellIs" dxfId="472" priority="30" stopIfTrue="1" operator="equal">
      <formula>"REGRA CUMPRIDA"</formula>
    </cfRule>
  </conditionalFormatting>
  <conditionalFormatting sqref="H12:L12">
    <cfRule type="cellIs" dxfId="471" priority="31" stopIfTrue="1" operator="equal">
      <formula>"REGRA NÃO CUMPRIDA"</formula>
    </cfRule>
    <cfRule type="cellIs" dxfId="470" priority="32" stopIfTrue="1" operator="equal">
      <formula>"O SERVIDOR NÃO FAZ JUS A ESSA REGRA E/OU MODALIDADE"</formula>
    </cfRule>
    <cfRule type="cellIs" dxfId="469" priority="33" stopIfTrue="1" operator="equal">
      <formula>"CONFIRME MAGISTÉRIO"</formula>
    </cfRule>
  </conditionalFormatting>
  <conditionalFormatting sqref="H23:L23">
    <cfRule type="cellIs" dxfId="468" priority="34" stopIfTrue="1" operator="equal">
      <formula>"REGRA NÃO CUMPRIDA"</formula>
    </cfRule>
    <cfRule type="cellIs" dxfId="467" priority="35" stopIfTrue="1" operator="equal">
      <formula>"O SERVIDOR NÃO FAZ JUS NESTA DATA"</formula>
    </cfRule>
    <cfRule type="cellIs" dxfId="466" priority="36" stopIfTrue="1" operator="equal">
      <formula>"CONFIRME EFETIVO MAGISTÉRIO"</formula>
    </cfRule>
  </conditionalFormatting>
  <conditionalFormatting sqref="N17 N21">
    <cfRule type="cellIs" dxfId="465" priority="37" stopIfTrue="1" operator="notEqual">
      <formula>0</formula>
    </cfRule>
    <cfRule type="cellIs" dxfId="464" priority="38" stopIfTrue="1" operator="equal">
      <formula>0</formula>
    </cfRule>
  </conditionalFormatting>
  <printOptions horizontalCentered="1" gridLinesSet="0"/>
  <pageMargins left="0.17" right="0.19685039370078741" top="0.78740157480314965" bottom="0.19685039370078741" header="0.19685039370078741" footer="3.937007874015748E-2"/>
  <pageSetup paperSize="9" scale="6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49"/>
  <sheetViews>
    <sheetView showGridLines="0" zoomScale="75" zoomScaleNormal="75" workbookViewId="0" xr3:uid="{F9CF3CF3-643B-5BE6-8B46-32C596A47465}">
      <pane xSplit="14970" topLeftCell="IV1"/>
      <selection activeCell="G47" sqref="G47"/>
      <selection pane="topRight" activeCell="G47" sqref="G47"/>
    </sheetView>
  </sheetViews>
  <sheetFormatPr defaultColWidth="0" defaultRowHeight="14.25" zeroHeight="1" x14ac:dyDescent="0.2"/>
  <cols>
    <col min="1" max="1" width="1.75" style="259" customWidth="1"/>
    <col min="2" max="2" width="22.11328125" style="21" customWidth="1"/>
    <col min="3" max="3" width="12.5390625" style="40" customWidth="1"/>
    <col min="4" max="4" width="3.7734375" style="40" customWidth="1"/>
    <col min="5" max="5" width="13.078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9.03515625" style="21" customWidth="1"/>
    <col min="12" max="12" width="9.84375" style="21" customWidth="1"/>
    <col min="13" max="13" width="12" style="21" bestFit="1" customWidth="1"/>
    <col min="14" max="14" width="13.88671875" style="21" customWidth="1"/>
    <col min="15" max="15" width="1.75" style="254" customWidth="1"/>
    <col min="16" max="16" width="26.56640625" style="21" hidden="1" customWidth="1"/>
    <col min="17" max="17" width="12" style="21" hidden="1" customWidth="1"/>
    <col min="18" max="18" width="11.73046875" style="21" hidden="1" customWidth="1"/>
    <col min="19" max="19" width="13.34765625" style="21" hidden="1" customWidth="1"/>
    <col min="20" max="20" width="10.515625" style="21" hidden="1" customWidth="1"/>
    <col min="21" max="21" width="13.34765625" style="21" hidden="1" customWidth="1"/>
    <col min="22" max="22" width="10.78515625" style="21" hidden="1" customWidth="1"/>
    <col min="23" max="23" width="9.9765625" style="21" hidden="1" customWidth="1"/>
    <col min="24" max="27" width="8.76171875" style="21" hidden="1" customWidth="1"/>
    <col min="28" max="28" width="9.70703125" style="21" hidden="1" customWidth="1"/>
    <col min="29" max="29" width="10.78515625" style="21" hidden="1" customWidth="1"/>
    <col min="30" max="30" width="8.359375" style="67" hidden="1" customWidth="1"/>
    <col min="31" max="31" width="9.57421875" style="67" hidden="1" customWidth="1"/>
    <col min="32" max="32" width="10.78515625" style="67" hidden="1" customWidth="1"/>
    <col min="33" max="52" width="8.76171875" style="21" hidden="1" customWidth="1"/>
    <col min="53" max="53" width="8.76171875" style="311" hidden="1" customWidth="1"/>
    <col min="54" max="65" width="8.76171875" style="21" hidden="1" customWidth="1"/>
    <col min="66" max="66" width="39.375" style="21" hidden="1" customWidth="1"/>
    <col min="67" max="67" width="75.11328125" style="21" hidden="1" customWidth="1"/>
    <col min="68" max="68" width="55.2890625" style="21" hidden="1" customWidth="1"/>
    <col min="69" max="69" width="69.71875" style="21" hidden="1" customWidth="1"/>
    <col min="70" max="70" width="60.546875" style="21" hidden="1" customWidth="1"/>
    <col min="71" max="71" width="55.2890625" style="21" hidden="1" customWidth="1"/>
    <col min="72" max="72" width="66.34765625" style="21" hidden="1" customWidth="1"/>
    <col min="73" max="73" width="55.2890625" style="21" hidden="1" customWidth="1"/>
    <col min="74" max="85" width="8.76171875" style="21" hidden="1" customWidth="1"/>
    <col min="86" max="16384" width="2.6953125" style="21" hidden="1"/>
  </cols>
  <sheetData>
    <row r="1" spans="1:73" ht="6" customHeight="1" thickBot="1" x14ac:dyDescent="0.2">
      <c r="A1" s="295"/>
      <c r="O1" s="362"/>
      <c r="BA1" s="80"/>
    </row>
    <row r="2" spans="1:73" x14ac:dyDescent="0.15">
      <c r="A2" s="295"/>
      <c r="B2" s="650" t="s">
        <v>435</v>
      </c>
      <c r="C2" s="651"/>
      <c r="D2" s="651" t="s">
        <v>433</v>
      </c>
      <c r="E2" s="1850" t="str">
        <f>'FICHA FUNCIONAL'!E4</f>
        <v>PREENCHA COM A MODALIDADE</v>
      </c>
      <c r="F2" s="1850"/>
      <c r="G2" s="1850"/>
      <c r="H2" s="1850"/>
      <c r="I2" s="1850"/>
      <c r="J2" s="652" t="s">
        <v>462</v>
      </c>
      <c r="K2" s="1851" t="str">
        <f>'FICHA FUNCIONAL'!$E$6</f>
        <v>PREENCHA A REGRA DESEJADA</v>
      </c>
      <c r="L2" s="1852"/>
      <c r="M2" s="1852"/>
      <c r="N2" s="1853"/>
      <c r="O2" s="364" t="s">
        <v>463</v>
      </c>
      <c r="P2" s="1816" t="s">
        <v>528</v>
      </c>
      <c r="Q2" s="1811" t="s">
        <v>533</v>
      </c>
      <c r="R2" s="1811" t="s">
        <v>532</v>
      </c>
      <c r="S2" s="1832" t="s">
        <v>534</v>
      </c>
      <c r="T2" s="1832" t="s">
        <v>535</v>
      </c>
      <c r="U2" s="1803" t="s">
        <v>536</v>
      </c>
      <c r="BA2" s="80"/>
    </row>
    <row r="3" spans="1:73" ht="6" customHeight="1" x14ac:dyDescent="0.15">
      <c r="A3" s="295"/>
      <c r="O3" s="364" t="s">
        <v>485</v>
      </c>
      <c r="P3" s="1817"/>
      <c r="Q3" s="1812"/>
      <c r="R3" s="1812"/>
      <c r="S3" s="1812"/>
      <c r="T3" s="1812"/>
      <c r="U3" s="1804"/>
      <c r="BA3" s="80"/>
    </row>
    <row r="4" spans="1:7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364" t="s">
        <v>476</v>
      </c>
      <c r="P4" s="913" t="s">
        <v>529</v>
      </c>
      <c r="Q4" s="905" t="str">
        <f>IF(OR($E$2=$B$115,$E$2=$B$116,E2=B117),IF($M$13&gt;=5,"ATENDE","NÃO CUMPRE"),"NÃO CABE")</f>
        <v>NÃO CABE</v>
      </c>
      <c r="R4" s="905" t="str">
        <f>IF($N$8&lt;$Q$11,IF($M$13&gt;=5,"ATENDE","NÃO CUMPRE"),"REVER FUNDAMENTAÇÃO")</f>
        <v>NÃO CUMPRE</v>
      </c>
      <c r="S4" s="905" t="str">
        <f>IF($N$8&lt;$Q$13,IF($M$13&gt;=5,"ATENDE","NÃO ATENDE"),"REVER FUNDAMENTAÇÃO")</f>
        <v>NÃO ATENDE</v>
      </c>
      <c r="T4" s="905" t="str">
        <f>IF($N$8&lt;$Q$11,IF($M$13&gt;=5,"ATENDE","NÃO ATENDE"),"REVER FUNDAMENT.")</f>
        <v>NÃO ATENDE</v>
      </c>
      <c r="U4" s="906" t="str">
        <f>IF($N$8&lt;$Q$11,IF($M$13&gt;=5,"ATENDE","NÃO ATENDE"),"REVER FUNDAMENT.")</f>
        <v>NÃO ATENDE</v>
      </c>
      <c r="AA4" s="21" t="s">
        <v>254</v>
      </c>
      <c r="AB4" s="21" t="s">
        <v>255</v>
      </c>
      <c r="AD4" s="67" t="s">
        <v>349</v>
      </c>
      <c r="AE4" s="67" t="s">
        <v>333</v>
      </c>
      <c r="BA4" s="80"/>
    </row>
    <row r="5" spans="1:73" s="5" customFormat="1" ht="6" customHeight="1" thickBot="1" x14ac:dyDescent="0.2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365" t="s">
        <v>464</v>
      </c>
      <c r="P5" s="914"/>
      <c r="Q5" s="912"/>
      <c r="R5" s="912"/>
      <c r="S5" s="912"/>
      <c r="T5" s="912"/>
      <c r="U5" s="915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73" ht="15" thickBot="1" x14ac:dyDescent="0.2">
      <c r="A6" s="362" t="s">
        <v>589</v>
      </c>
      <c r="B6" s="151" t="s">
        <v>593</v>
      </c>
      <c r="C6" s="152"/>
      <c r="D6" s="152"/>
      <c r="E6" s="1824" t="str">
        <f>'FICHA FUNCIONAL'!$E$10</f>
        <v>ESTADO DO RIO DE JANEIRO</v>
      </c>
      <c r="F6" s="1824"/>
      <c r="G6" s="1861"/>
      <c r="H6" s="1861"/>
      <c r="I6" s="152" t="s">
        <v>594</v>
      </c>
      <c r="J6" s="655" t="str">
        <f>'FICHA FUNCIONAL'!$E$11</f>
        <v>EXECUTIVO</v>
      </c>
      <c r="K6" s="152" t="s">
        <v>595</v>
      </c>
      <c r="L6" s="152"/>
      <c r="M6" s="1824">
        <f>'FICHA FUNCIONAL'!$E$12</f>
        <v>0</v>
      </c>
      <c r="N6" s="1825"/>
      <c r="O6" s="366" t="s">
        <v>465</v>
      </c>
      <c r="P6" s="913" t="s">
        <v>530</v>
      </c>
      <c r="Q6" s="905" t="s">
        <v>537</v>
      </c>
      <c r="R6" s="905" t="str">
        <f>IF($N$8&lt;$Q$11,"NÃO CABE","REVER FUNDAM.")</f>
        <v>NÃO CABE</v>
      </c>
      <c r="S6" s="905" t="str">
        <f>IF($N$8&lt;$Q$13,IF($M$14&gt;=10,"ATENDE","NÃO ATENDE"),"REVER FUNDAMEN.")</f>
        <v>NÃO ATENDE</v>
      </c>
      <c r="T6" s="905" t="str">
        <f>IF($N$8&lt;$Q$11,"NÃO CABE","REVER FUNDAMENT.")</f>
        <v>NÃO CABE</v>
      </c>
      <c r="U6" s="906" t="str">
        <f>IF($N$8&lt;$Q$11,IF($M$14&gt;=15,"ATENDE","NÃO ATENDE"),"REVER FUNDAMENT.")</f>
        <v>NÃO ATENDE</v>
      </c>
      <c r="V6" s="5"/>
      <c r="W6" s="5"/>
      <c r="X6" s="1805" t="s">
        <v>456</v>
      </c>
      <c r="Y6" s="1805"/>
      <c r="Z6" s="814">
        <v>95</v>
      </c>
      <c r="AA6" s="814">
        <f>Z6*365+24</f>
        <v>34699</v>
      </c>
      <c r="AB6" s="814">
        <f>$O$9+$F$61</f>
        <v>0</v>
      </c>
      <c r="AC6" s="814">
        <f>IF($H$61&gt;=35,$AA$6-$AB$6,12775-$F$61)</f>
        <v>12775</v>
      </c>
      <c r="AD6" s="67">
        <f>ROUNDDOWN($AC$6/365,0)</f>
        <v>35</v>
      </c>
      <c r="AE6" s="70">
        <f>(($AC$6/365)-$AD$6)*365</f>
        <v>0</v>
      </c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  <c r="BN6" s="1160" t="s">
        <v>449</v>
      </c>
      <c r="BO6" s="1161" t="s">
        <v>764</v>
      </c>
      <c r="BP6" s="1162" t="s">
        <v>765</v>
      </c>
      <c r="BQ6" s="1161" t="s">
        <v>766</v>
      </c>
      <c r="BR6" s="1162" t="s">
        <v>765</v>
      </c>
      <c r="BS6" s="1162" t="s">
        <v>765</v>
      </c>
      <c r="BT6" s="1162" t="s">
        <v>765</v>
      </c>
      <c r="BU6" s="1163" t="s">
        <v>767</v>
      </c>
    </row>
    <row r="7" spans="1:73" ht="15" thickBot="1" x14ac:dyDescent="0.2">
      <c r="A7" s="362" t="s">
        <v>590</v>
      </c>
      <c r="B7" s="149" t="s">
        <v>730</v>
      </c>
      <c r="C7" s="1870">
        <f>'FICHA FUNCIONAL'!$E$16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'FICHA FUNCIONAL'!$E$17</f>
        <v>0</v>
      </c>
      <c r="O7" s="366" t="s">
        <v>466</v>
      </c>
      <c r="P7" s="916" t="s">
        <v>531</v>
      </c>
      <c r="Q7" s="917" t="str">
        <f>IF(OR($E$2=$B$115,$E$2=$B$116,E2=B117),IF($M$15&gt;=10,"ATENDE","NÃO CUMPRE"),O77)</f>
        <v>OK</v>
      </c>
      <c r="R7" s="918">
        <v>0</v>
      </c>
      <c r="S7" s="907" t="str">
        <f>IF($N$8&lt;$Q$13,IF($M$15&gt;=20,"ATENDE","NÃO ATENDE"),"REVER FUNDAMENT.")</f>
        <v>NÃO ATENDE</v>
      </c>
      <c r="T7" s="918">
        <v>0</v>
      </c>
      <c r="U7" s="908" t="str">
        <f>IF($N$8&lt;$Q$11,IF($M$15&gt;=25,"ATENDE","NÃO ATENDE"),"REVER FUNDAMENT.")</f>
        <v>NÃO ATENDE</v>
      </c>
      <c r="V7" s="5"/>
      <c r="W7" s="5"/>
      <c r="X7" s="1805" t="s">
        <v>457</v>
      </c>
      <c r="Y7" s="1805"/>
      <c r="Z7" s="814">
        <v>85</v>
      </c>
      <c r="AA7" s="814">
        <f>Z7*365+22</f>
        <v>31047</v>
      </c>
      <c r="AB7" s="814">
        <f>$O$9+$F$61</f>
        <v>0</v>
      </c>
      <c r="AC7" s="814">
        <f>IF($H$61&gt;=30,$AA$7-$AB$7,10950-$F$61)</f>
        <v>10950</v>
      </c>
      <c r="AD7" s="67">
        <f>ROUNDDOWN($AC$7/365,0)</f>
        <v>30</v>
      </c>
      <c r="AE7" s="70">
        <f>(($AC$7/365)-$AD$7)*365</f>
        <v>0</v>
      </c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  <c r="BN7" s="725" t="s">
        <v>450</v>
      </c>
      <c r="BO7" s="726" t="s">
        <v>768</v>
      </c>
      <c r="BP7" s="726" t="s">
        <v>769</v>
      </c>
      <c r="BQ7" s="726" t="s">
        <v>770</v>
      </c>
      <c r="BR7" s="726" t="s">
        <v>771</v>
      </c>
      <c r="BS7" s="727" t="s">
        <v>772</v>
      </c>
      <c r="BT7" s="1164" t="s">
        <v>773</v>
      </c>
      <c r="BU7" s="728" t="s">
        <v>774</v>
      </c>
    </row>
    <row r="8" spans="1:73" ht="13.5" customHeight="1" thickBot="1" x14ac:dyDescent="0.2">
      <c r="A8" s="362" t="s">
        <v>591</v>
      </c>
      <c r="B8" s="149" t="s">
        <v>731</v>
      </c>
      <c r="C8" s="1870">
        <f>'FICHA FUNCIONAL'!$E$18</f>
        <v>0</v>
      </c>
      <c r="D8" s="1870"/>
      <c r="E8" s="1870"/>
      <c r="F8" s="1870"/>
      <c r="G8" s="1870"/>
      <c r="H8" s="1870"/>
      <c r="I8" s="150" t="s">
        <v>514</v>
      </c>
      <c r="J8" s="737">
        <f>'FICHA FUNCIONAL'!$M$18</f>
        <v>0</v>
      </c>
      <c r="K8" s="153" t="s">
        <v>542</v>
      </c>
      <c r="L8" s="154"/>
      <c r="M8" s="45"/>
      <c r="N8" s="1027">
        <f>'FICHA FUNCIONAL'!E20</f>
        <v>0</v>
      </c>
      <c r="O8" s="1378" t="str">
        <f>IF($D$12="X",$BN$16,"")</f>
        <v/>
      </c>
      <c r="Q8" s="21" t="s">
        <v>256</v>
      </c>
      <c r="S8" s="5"/>
      <c r="T8" s="5"/>
      <c r="U8" s="5"/>
      <c r="V8" s="5"/>
      <c r="W8" s="5"/>
      <c r="X8" s="1805" t="s">
        <v>159</v>
      </c>
      <c r="Y8" s="1805"/>
      <c r="Z8" s="814">
        <v>85</v>
      </c>
      <c r="AA8" s="814">
        <f>Z8*365+22</f>
        <v>31047</v>
      </c>
      <c r="AB8" s="814">
        <f>$O$9+$F$61</f>
        <v>0</v>
      </c>
      <c r="AC8" s="814">
        <f>IF($H$61&gt;=30,$AA$8-$AB$8,10950-$F$61)</f>
        <v>10950</v>
      </c>
      <c r="AD8" s="67">
        <f>ROUNDDOWN($AC$8/365,0)</f>
        <v>30</v>
      </c>
      <c r="AE8" s="70">
        <f>(($AC$8/365)-$AD$8)*365</f>
        <v>0</v>
      </c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  <c r="BN8" s="729" t="s">
        <v>455</v>
      </c>
      <c r="BO8" s="730" t="s">
        <v>775</v>
      </c>
      <c r="BP8" s="730" t="s">
        <v>776</v>
      </c>
      <c r="BQ8" s="730" t="s">
        <v>777</v>
      </c>
      <c r="BR8" s="730" t="s">
        <v>778</v>
      </c>
      <c r="BS8" s="786" t="s">
        <v>773</v>
      </c>
      <c r="BT8" s="786" t="s">
        <v>773</v>
      </c>
      <c r="BU8" s="731" t="s">
        <v>779</v>
      </c>
    </row>
    <row r="9" spans="1:73" ht="17.25" customHeight="1" thickBot="1" x14ac:dyDescent="0.2">
      <c r="A9" s="362" t="s">
        <v>592</v>
      </c>
      <c r="B9" s="149" t="s">
        <v>732</v>
      </c>
      <c r="C9" s="1870">
        <f>'FICHA FUNCIONAL'!$E$19</f>
        <v>0</v>
      </c>
      <c r="D9" s="1870"/>
      <c r="E9" s="1870"/>
      <c r="F9" s="1870"/>
      <c r="G9" s="1870"/>
      <c r="H9" s="1870"/>
      <c r="I9" s="150" t="s">
        <v>514</v>
      </c>
      <c r="J9" s="737">
        <f>'FICHA FUNCIONAL'!$M$19</f>
        <v>0</v>
      </c>
      <c r="K9" s="153" t="s">
        <v>443</v>
      </c>
      <c r="L9" s="154"/>
      <c r="M9" s="155"/>
      <c r="N9" s="911">
        <f>'FICHA FUNCIONAL'!$E$21</f>
        <v>0</v>
      </c>
      <c r="O9" s="1191">
        <f>IF($N$9=0,0,O$10-$N$9+1)</f>
        <v>0</v>
      </c>
      <c r="P9" s="67">
        <f>IF(D10="X",N11*365+15,IF(G10="X",N11*365+14,O9))</f>
        <v>0</v>
      </c>
      <c r="Q9" s="964">
        <f>IF($G$10="x",($O$9-12)/365,($O$9-14)/365)</f>
        <v>-3.8356164383561646E-2</v>
      </c>
      <c r="R9" s="11">
        <f>(Q9-N11)*365</f>
        <v>-14</v>
      </c>
      <c r="S9" s="67">
        <f>365-R9</f>
        <v>379</v>
      </c>
      <c r="X9" s="1806" t="s">
        <v>160</v>
      </c>
      <c r="Y9" s="1805"/>
      <c r="Z9" s="814">
        <v>75</v>
      </c>
      <c r="AA9" s="814">
        <f>Z9*365+19</f>
        <v>27394</v>
      </c>
      <c r="AB9" s="814">
        <f>$O$9+$F$61</f>
        <v>0</v>
      </c>
      <c r="AC9" s="814">
        <f>IF($H$61&gt;=25,$AA$9-$AB$9,9125-$F$61)</f>
        <v>9125</v>
      </c>
      <c r="AD9" s="67">
        <f>ROUNDDOWN($AC$9/365,0)</f>
        <v>25</v>
      </c>
      <c r="AE9" s="70">
        <f>(($AC$9/365)-$AD$9)*365</f>
        <v>0</v>
      </c>
      <c r="AF9" s="70"/>
      <c r="AG9" s="69"/>
      <c r="AH9" s="69"/>
      <c r="AI9" s="70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  <c r="BN9" s="729" t="s">
        <v>467</v>
      </c>
      <c r="BO9" s="730" t="s">
        <v>780</v>
      </c>
      <c r="BP9" s="786" t="s">
        <v>773</v>
      </c>
      <c r="BQ9" s="730" t="s">
        <v>781</v>
      </c>
      <c r="BR9" s="786" t="s">
        <v>773</v>
      </c>
      <c r="BS9" s="786" t="s">
        <v>773</v>
      </c>
      <c r="BT9" s="786" t="s">
        <v>773</v>
      </c>
      <c r="BU9" s="731" t="s">
        <v>782</v>
      </c>
    </row>
    <row r="10" spans="1:73" x14ac:dyDescent="0.15">
      <c r="A10" s="295"/>
      <c r="B10" s="149" t="s">
        <v>733</v>
      </c>
      <c r="C10" s="156"/>
      <c r="D10" s="675">
        <f>'FICHA FUNCIONAL'!$I$25</f>
        <v>0</v>
      </c>
      <c r="E10" s="150" t="s">
        <v>439</v>
      </c>
      <c r="F10" s="150"/>
      <c r="G10" s="675">
        <f>'FICHA FUNCIONAL'!$M$25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381">
        <f>IF($K$2=$O$3,IF($D$14="X",$R$12,IF($G$14="X",$H$19,0)),IF($K$2=$O$2,$R$11,IF($K$2=$O$4,$R$13,$H$19)))</f>
        <v>0</v>
      </c>
      <c r="P10" s="5">
        <f>65*365+16</f>
        <v>23741</v>
      </c>
      <c r="Q10" s="5"/>
      <c r="R10" s="5"/>
      <c r="X10" s="21" t="s">
        <v>153</v>
      </c>
      <c r="AB10" s="18" t="s">
        <v>156</v>
      </c>
      <c r="AC10" s="5" t="s">
        <v>501</v>
      </c>
      <c r="AD10" s="70" t="s">
        <v>156</v>
      </c>
      <c r="AE10" s="70"/>
      <c r="AF10" s="70"/>
      <c r="AG10" s="1801" t="s">
        <v>138</v>
      </c>
      <c r="AH10" s="1801"/>
      <c r="AI10" s="69"/>
      <c r="AJ10" s="69"/>
      <c r="AK10" s="69"/>
      <c r="AL10" s="69"/>
      <c r="AM10" s="69"/>
      <c r="AN10" s="5"/>
      <c r="AO10" s="5" t="s">
        <v>748</v>
      </c>
      <c r="AP10" s="5" t="s">
        <v>501</v>
      </c>
      <c r="AQ10" s="5" t="s">
        <v>162</v>
      </c>
      <c r="AR10" s="1802" t="s">
        <v>163</v>
      </c>
      <c r="AS10" s="1802"/>
      <c r="AT10" s="1802"/>
      <c r="AU10" s="1802"/>
      <c r="AV10" s="1802"/>
      <c r="AW10" s="1802"/>
      <c r="AX10" s="5" t="s">
        <v>248</v>
      </c>
      <c r="AY10" s="5"/>
      <c r="AZ10" s="5"/>
      <c r="BA10" s="82"/>
      <c r="BN10" s="729" t="s">
        <v>468</v>
      </c>
      <c r="BO10" s="730" t="s">
        <v>783</v>
      </c>
      <c r="BP10" s="786" t="s">
        <v>773</v>
      </c>
      <c r="BQ10" s="730" t="s">
        <v>784</v>
      </c>
      <c r="BR10" s="786" t="s">
        <v>773</v>
      </c>
      <c r="BS10" s="786" t="s">
        <v>773</v>
      </c>
      <c r="BT10" s="786" t="s">
        <v>773</v>
      </c>
      <c r="BU10" s="731" t="s">
        <v>82</v>
      </c>
    </row>
    <row r="11" spans="1:7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>
        <f>'FICHA FUNCIONAL'!$E$22</f>
        <v>0</v>
      </c>
      <c r="M11" s="1839"/>
      <c r="N11" s="157">
        <f>IF($G$10="x",ROUNDDOWN(($O$9-14)/365,0),ROUNDDOWN(($O$9-15)/365,0))</f>
        <v>0</v>
      </c>
      <c r="O11" s="1054">
        <f>IF($D$14="X",IF(OR(E49&lt;&gt;0,E50&lt;&gt;0),IF(E46&lt;=O10,E46,O10),O10),$O$10)</f>
        <v>0</v>
      </c>
      <c r="P11" s="11" t="s">
        <v>715</v>
      </c>
      <c r="Q11" s="245">
        <v>36145</v>
      </c>
      <c r="R11" s="253">
        <f>IF($H$19&lt;36144,$H$19,36144)</f>
        <v>0</v>
      </c>
      <c r="T11" s="658"/>
      <c r="X11" s="21" t="s">
        <v>249</v>
      </c>
      <c r="AB11" s="11">
        <f>ROUNDDOWN($C$65/365,0)</f>
        <v>0</v>
      </c>
      <c r="AC11" s="21" t="str">
        <f>IF(OR(E2=B118,E2=B119),(70-N11),IF(E2=B117,IF(D10="X",(65-N11),IF(G10="X",(60-N11),"MARQUE O SEXO")),"NÃO CABE"))</f>
        <v>NÃO CABE</v>
      </c>
      <c r="AD11" s="67">
        <f>IF(OR(AC11="MARQUE O SEXO",AC11="NÃO CABE"),0,IF(AND(AB11&lt;=0,AC11&lt;=0),"NADA A CUMPRIR",IF(AB11&gt;AC11,C65,IF(AC11&gt;AB11,(AC11*365),0))))</f>
        <v>0</v>
      </c>
      <c r="AG11" s="51" t="str">
        <f>IF($K$2=$O$2,IF(OR(E2=B115,E2=B116,E2=B117,E2=B118,E2=B119,E2=B122),IF(OR(AD11&lt;&gt;"NADA A CUMPRIR",AD11&lt;&gt;"MARQUE O SEXO"),"NÃO SATISFAZ TEMPO DE CONTRIBUIÇÃO E/OU IDADE","SATISFAZ TEMPO DE CONTRIBUIÇÃO E IDADE")),IF(OR(AD11&lt;&gt;"NADA A CUMPRIR",AD11&lt;&gt;"MARQUE O SEXO"),"NÃO SATISFAZ TEMPO DE CONTRIBUIÇÃO E/OU IDADE","SATISFAZ TEMPO DE CONTRIBUIÇÃO E/OU IDADE"))</f>
        <v>NÃO SATISFAZ TEMPO DE CONTRIBUIÇÃO E/OU IDADE</v>
      </c>
      <c r="AO11" s="21">
        <f>ROUNDDOWN($F$61/365,0)</f>
        <v>0</v>
      </c>
      <c r="AP11" s="67">
        <f>AP12</f>
        <v>0</v>
      </c>
      <c r="AQ11" s="5">
        <f>SUM(AO11:AP11)</f>
        <v>0</v>
      </c>
      <c r="AR11" s="1797" t="str">
        <f>IF(OR($E$70="atende limite mínimo de idade",$F$71="nada a cumprir"),"SATISFAZ TEMPO DE CONTRIBUIÇÃO E/OU IDADE","NÃO SATISFAZ TEMPO DE CONTRIBUIÇÃO E/OU IDADE")</f>
        <v>SATISFAZ TEMPO DE CONTRIBUIÇÃO E/OU IDADE</v>
      </c>
      <c r="AS11" s="1797"/>
      <c r="AT11" s="1797"/>
      <c r="AU11" s="1797"/>
      <c r="AV11" s="1797"/>
      <c r="AW11" s="1797"/>
      <c r="AX11" s="5"/>
      <c r="AY11" s="5"/>
      <c r="AZ11" s="5"/>
      <c r="BA11" s="82"/>
      <c r="BN11" s="729" t="s">
        <v>470</v>
      </c>
      <c r="BO11" s="730" t="s">
        <v>783</v>
      </c>
      <c r="BP11" s="786" t="s">
        <v>773</v>
      </c>
      <c r="BQ11" s="730" t="s">
        <v>784</v>
      </c>
      <c r="BR11" s="786" t="s">
        <v>773</v>
      </c>
      <c r="BS11" s="786" t="s">
        <v>773</v>
      </c>
      <c r="BT11" s="786" t="s">
        <v>773</v>
      </c>
      <c r="BU11" s="731" t="s">
        <v>82</v>
      </c>
    </row>
    <row r="12" spans="1:73" x14ac:dyDescent="0.15">
      <c r="A12" s="295"/>
      <c r="B12" s="149" t="s">
        <v>734</v>
      </c>
      <c r="C12" s="156"/>
      <c r="D12" s="675">
        <f>'FICHA FUNCIONAL'!$I$27</f>
        <v>0</v>
      </c>
      <c r="E12" s="45" t="s">
        <v>446</v>
      </c>
      <c r="F12" s="150"/>
      <c r="G12" s="675">
        <f>'FICHA FUNCIONAL'!$M$27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P12" s="11" t="s">
        <v>717</v>
      </c>
      <c r="Q12" s="246">
        <v>38037</v>
      </c>
      <c r="R12" s="253">
        <f>IF($H$19&lt;38036,$H$19,38036)</f>
        <v>0</v>
      </c>
      <c r="T12" s="658"/>
      <c r="X12" s="17" t="s">
        <v>485</v>
      </c>
      <c r="Y12" s="5"/>
      <c r="Z12" s="5"/>
      <c r="AA12" s="5"/>
      <c r="AB12" s="11">
        <f>ROUNDDOWN($C$65/365,0)</f>
        <v>0</v>
      </c>
      <c r="AC12" s="69">
        <f>IF($G$10="x",55-$N$11,IF($D$10="x",60-$N$11,0))</f>
        <v>0</v>
      </c>
      <c r="AD12" s="103" t="str">
        <f>IF(AND($AB$12&lt;=0,$AC$12&lt;=0),"NADA A CUMPRIR",IF($G$10="X",$I$147-$P$9,IF($D$10="X",$J$147-$P$9,"REVER TEMPO E/OU IDADE")))</f>
        <v>NADA A CUMPRIR</v>
      </c>
      <c r="AE12" s="103"/>
      <c r="AF12" s="103"/>
      <c r="AG12" s="51" t="str">
        <f>IF($K$2=$O$3,IF($E$2=$B$115,IF($AD$12&lt;&gt;"NADA A CUMPRIR","NÃO SATISFAZ TEMPO DE CONTRIBUIÇÃO E/OU IDADE","SATISFAZ TEMPO DE CONTRIBUIÇÃO E IDADE"),IF($AD$12&lt;&gt;"NADA A CUMPRIR","NÃO SATISFAZ TEMPO DE CONTRIBUIÇÃO E/OU IDADE","SATISFAZ TEMPO DE CONTRIBUIÇÃO E IDADE")),"NÃO É INTEGRAL DA REGRA PERMANENTE")</f>
        <v>NÃO É INTEGRAL DA REGRA PERMANENTE</v>
      </c>
      <c r="AH12" s="51"/>
      <c r="AI12" s="51"/>
      <c r="AJ12" s="51"/>
      <c r="AK12" s="51"/>
      <c r="AL12" s="51"/>
      <c r="AM12" s="51"/>
      <c r="AN12" s="51"/>
      <c r="AO12" s="21">
        <f>ROUNDDOWN($F$61/365,0)</f>
        <v>0</v>
      </c>
      <c r="AP12" s="11">
        <f>$N$11</f>
        <v>0</v>
      </c>
      <c r="AQ12" s="5">
        <f>SUM(AO12:AP12)</f>
        <v>0</v>
      </c>
      <c r="AR12" s="1797" t="str">
        <f t="shared" ref="AR12:AR20" si="0">IF(AND($E$70="atende limite mínimo de idade",$F$71="nada a cumprir"),"SATISFAZ TEMPO DE CONTRIBUIÇÃO E IDADE","NÃO SATISFAZ TEMPO DE CONTRIBUIÇÃO E/OU IDADE")</f>
        <v>NÃO SATISFAZ TEMPO DE CONTRIBUIÇÃO E/OU IDADE</v>
      </c>
      <c r="AS12" s="1797"/>
      <c r="AT12" s="1797"/>
      <c r="AU12" s="1797"/>
      <c r="AV12" s="1797"/>
      <c r="AW12" s="1797"/>
      <c r="AX12" s="5"/>
      <c r="AY12" s="5"/>
      <c r="AZ12" s="5"/>
      <c r="BA12" s="82"/>
      <c r="BN12" s="729" t="s">
        <v>471</v>
      </c>
      <c r="BO12" s="730" t="s">
        <v>83</v>
      </c>
      <c r="BP12" s="786" t="s">
        <v>773</v>
      </c>
      <c r="BQ12" s="730" t="s">
        <v>84</v>
      </c>
      <c r="BR12" s="786" t="s">
        <v>773</v>
      </c>
      <c r="BS12" s="786" t="s">
        <v>773</v>
      </c>
      <c r="BT12" s="786" t="s">
        <v>773</v>
      </c>
      <c r="BU12" s="731" t="s">
        <v>85</v>
      </c>
    </row>
    <row r="13" spans="1:7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6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T13" s="658"/>
      <c r="X13" s="21" t="s">
        <v>154</v>
      </c>
      <c r="Z13" s="5"/>
      <c r="AA13" s="5"/>
      <c r="AB13" s="11">
        <f t="shared" ref="AB13:AB21" si="1">$AB$12</f>
        <v>0</v>
      </c>
      <c r="AC13" s="69">
        <f>IF($G$10="x",50-$N$11,IF($D$10="x",55-$N$11,0))</f>
        <v>0</v>
      </c>
      <c r="AD13" s="329" t="str">
        <f>IF(AND($AB$13&lt;0,$AC$13&lt;0),"NADA A CUMPRIR",IF($G$10="X",$I$148-$P$9,IF($D$10="X",$J$148-$P$9,"REVER TEMPO E/OU IDADE")))</f>
        <v>REVER TEMPO E/OU IDADE</v>
      </c>
      <c r="AE13" s="329"/>
      <c r="AF13" s="329"/>
      <c r="AG13" s="934" t="str">
        <f>IF($K$2=$O$3,IF($E$2=$B$116,IF($AD$13&lt;&gt;"NADA A CUMPRIR","NÃO SATISFAZ TEMPO DE CONTRIBUIÇÃO E/OU IDADE","SATISFAZ TEMPO DE CONTRIBUIÇÃO E IDADE"),IF($AD$13&lt;&gt;"NADA A CUMPRIR","NÃO SATISFAZ TEMPO DE CONTRIBUIÇÃO E/OU IDADE","SATISFAZ TEMPO DE CONTRIBUIÇÃO E IDADE")),"NÃO É ESPECIAL DA REGRA PERMANENTE")</f>
        <v>NÃO É ESPECIAL DA REGRA PERMANENTE</v>
      </c>
      <c r="AH13" s="53"/>
      <c r="AI13" s="53"/>
      <c r="AJ13" s="53"/>
      <c r="AK13" s="53"/>
      <c r="AL13" s="53"/>
      <c r="AM13" s="53"/>
      <c r="AN13" s="53"/>
      <c r="AO13" s="21">
        <f t="shared" ref="AO13:AO21" si="2">ROUNDDOWN($F$61/365,0)</f>
        <v>0</v>
      </c>
      <c r="AP13" s="11">
        <f t="shared" ref="AP13:AP21" si="3">$AP$12</f>
        <v>0</v>
      </c>
      <c r="AQ13" s="5">
        <f>SUM(AO13:AP13)</f>
        <v>0</v>
      </c>
      <c r="AR13" s="1797" t="str">
        <f t="shared" si="0"/>
        <v>NÃO SATISFAZ TEMPO DE CONTRIBUIÇÃO E/OU IDADE</v>
      </c>
      <c r="AS13" s="1797"/>
      <c r="AT13" s="1797"/>
      <c r="AU13" s="1797"/>
      <c r="AV13" s="1797"/>
      <c r="AW13" s="1797"/>
      <c r="AY13" s="5"/>
      <c r="AZ13" s="5"/>
      <c r="BA13" s="82"/>
      <c r="BN13" s="732" t="s">
        <v>472</v>
      </c>
      <c r="BO13" s="730" t="s">
        <v>83</v>
      </c>
      <c r="BP13" s="786" t="s">
        <v>773</v>
      </c>
      <c r="BQ13" s="730" t="s">
        <v>84</v>
      </c>
      <c r="BR13" s="786" t="s">
        <v>773</v>
      </c>
      <c r="BS13" s="786" t="s">
        <v>773</v>
      </c>
      <c r="BT13" s="786" t="s">
        <v>773</v>
      </c>
      <c r="BU13" s="731" t="s">
        <v>85</v>
      </c>
    </row>
    <row r="14" spans="1:73" x14ac:dyDescent="0.15">
      <c r="A14" s="295"/>
      <c r="B14" s="249" t="s">
        <v>735</v>
      </c>
      <c r="C14" s="150"/>
      <c r="D14" s="675">
        <f>'FICHA FUNCIONAL'!$I$29</f>
        <v>0</v>
      </c>
      <c r="E14" s="1835" t="s">
        <v>728</v>
      </c>
      <c r="F14" s="1872"/>
      <c r="G14" s="675" t="str">
        <f>'FICHA FUNCIONAL'!$M$29</f>
        <v>x</v>
      </c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6">
        <f>IF($J$9=0,0,O$10-$J$9-$O$63-$O$61)</f>
        <v>0</v>
      </c>
      <c r="P14" s="11" t="s">
        <v>545</v>
      </c>
      <c r="Q14" s="245">
        <v>32421</v>
      </c>
      <c r="R14" s="245"/>
      <c r="X14" s="21" t="s">
        <v>164</v>
      </c>
      <c r="AB14" s="11">
        <f t="shared" si="1"/>
        <v>0</v>
      </c>
      <c r="AC14" s="69">
        <f>IF($G$10="x",60-$N$11,IF($D$10="x",65-$N$11,0))</f>
        <v>0</v>
      </c>
      <c r="AD14" s="329">
        <f>IF(AND($AB$14&lt;0,$AC$14&lt;0),"NADA A CUMPRIR",$C$65)</f>
        <v>0</v>
      </c>
      <c r="AE14" s="329"/>
      <c r="AF14" s="329"/>
      <c r="AG14" s="934" t="str">
        <f>IF($K$2=$O$3,IF($E$2=$B$117,IF($AD$13&lt;&gt;"NADA A CUMPRIR","NÃO SATISFAZ A IDADE E/OU TEMPO DE CONTRIBUIÇÃO","IDADE E TEMPO DE CONTRIBUIÇÃO SATISFEITOS"),IF($AD$13&lt;&gt;"NADA A CUMPRIR","NÃO SATISFAZ A IDADE E/OU TEMPO DE CONTRIBUIÇÃO","IDADE E TEMPO DE CONTRIBUIÇÃO SATISFEITOS")),"NÃO É VOLUNTÁRIA POR IDADE / REGRA PERMANENTE")</f>
        <v>NÃO É VOLUNTÁRIA POR IDADE / REGRA PERMANENTE</v>
      </c>
      <c r="AH14" s="53"/>
      <c r="AI14" s="53"/>
      <c r="AJ14" s="53"/>
      <c r="AK14" s="53"/>
      <c r="AL14" s="53"/>
      <c r="AM14" s="53"/>
      <c r="AN14" s="53"/>
      <c r="AO14" s="21">
        <f t="shared" si="2"/>
        <v>0</v>
      </c>
      <c r="AP14" s="11">
        <f t="shared" si="3"/>
        <v>0</v>
      </c>
      <c r="AR14" s="1797" t="str">
        <f>IF(AND($E$70="atende limite mínimo de idade",$F$71="NÃO CABE"),"SATISFAZ TEMPO DE CONTRIBUIÇÃO E/OU IDADE","NÃO SATISFAZ TEMPO DE CONTRIBUIÇÃO E/OU IDADE")</f>
        <v>NÃO SATISFAZ TEMPO DE CONTRIBUIÇÃO E/OU IDADE</v>
      </c>
      <c r="AS14" s="1797"/>
      <c r="AT14" s="1797"/>
      <c r="AU14" s="1797"/>
      <c r="AV14" s="1797"/>
      <c r="AW14" s="1797"/>
      <c r="AX14" s="5"/>
      <c r="AY14" s="5"/>
      <c r="AZ14" s="5"/>
      <c r="BA14" s="82"/>
      <c r="BN14" s="732" t="s">
        <v>487</v>
      </c>
      <c r="BO14" s="786" t="s">
        <v>773</v>
      </c>
      <c r="BP14" s="786" t="s">
        <v>773</v>
      </c>
      <c r="BQ14" s="786" t="s">
        <v>773</v>
      </c>
      <c r="BR14" s="730" t="s">
        <v>86</v>
      </c>
      <c r="BS14" s="786" t="s">
        <v>773</v>
      </c>
      <c r="BT14" s="786" t="s">
        <v>773</v>
      </c>
      <c r="BU14" s="731" t="s">
        <v>87</v>
      </c>
    </row>
    <row r="15" spans="1:73" ht="19.5" customHeight="1" x14ac:dyDescent="0.15">
      <c r="A15" s="295"/>
      <c r="B15" s="251" t="s">
        <v>736</v>
      </c>
      <c r="C15" s="160"/>
      <c r="D15" s="161"/>
      <c r="E15" s="161"/>
      <c r="F15" s="131"/>
      <c r="G15" s="1871" t="str">
        <f>'MTS - MAPA DE TEMPO DE SERVIÇO'!$N$8</f>
        <v>TRIÊNIO</v>
      </c>
      <c r="H15" s="1871"/>
      <c r="I15" s="1871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7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X15" s="17" t="s">
        <v>476</v>
      </c>
      <c r="Y15" s="5"/>
      <c r="Z15" s="5"/>
      <c r="AA15" s="5"/>
      <c r="AB15" s="11">
        <f t="shared" si="1"/>
        <v>0</v>
      </c>
      <c r="AC15" s="69">
        <f>IF($G$10="x",48-$N$11,IF($D$10="x",53-$N$11,0))</f>
        <v>0</v>
      </c>
      <c r="AD15" s="329" t="str">
        <f>IF(AND($AB$15&lt;0,$AC$15&lt;0),"NADA A CUMPRIR",IF($G$10="X",$I$147-$P$9,IF($D$10="X",$J$147-$P$9,"REVER TEMPO E/OU IDADE")))</f>
        <v>REVER TEMPO E/OU IDADE</v>
      </c>
      <c r="AE15" s="329"/>
      <c r="AF15" s="329"/>
      <c r="AG15" s="934" t="str">
        <f>IF($K$2=$O$4,IF($E$2=$B$115,IF($AD$15&lt;&gt;"NADA A CUMPRIR","NÃO SATISFAZ A IDADE E/OU TEMPO DE CONTRIBUIÇÃO","IDADE E TEMPO DE CONTRIBUIÇÃO SATISFEITOS"),IF($AD$15&lt;&gt;"NADA A CUMPRIR","NÃO SATISFAZ A IDADE E/OU TEMPO DE CONTRIBUIÇÃO","IDADE E TEMPO DE CONTRIBUIÇÃO SATISFEITOS")),"NÃO É INTEGRAL - TRANSIÇÃO EMENDA 20")</f>
        <v>NÃO É INTEGRAL - TRANSIÇÃO EMENDA 20</v>
      </c>
      <c r="AH15" s="53"/>
      <c r="AI15" s="53"/>
      <c r="AJ15" s="53"/>
      <c r="AK15" s="53"/>
      <c r="AL15" s="53"/>
      <c r="AM15" s="53"/>
      <c r="AN15" s="53"/>
      <c r="AO15" s="21">
        <f t="shared" si="2"/>
        <v>0</v>
      </c>
      <c r="AP15" s="11">
        <f t="shared" si="3"/>
        <v>0</v>
      </c>
      <c r="AQ15" s="5">
        <f t="shared" ref="AQ15:AQ21" si="4">SUM(AO15:AP15)</f>
        <v>0</v>
      </c>
      <c r="AR15" s="1797" t="str">
        <f t="shared" si="0"/>
        <v>NÃO SATISFAZ TEMPO DE CONTRIBUIÇÃO E/OU IDADE</v>
      </c>
      <c r="AS15" s="1797"/>
      <c r="AT15" s="1797"/>
      <c r="AU15" s="1797"/>
      <c r="AV15" s="1797"/>
      <c r="AW15" s="1797"/>
      <c r="AX15" s="5"/>
      <c r="AY15" s="5"/>
      <c r="AZ15" s="5"/>
      <c r="BA15" s="82"/>
      <c r="BN15" s="732" t="s">
        <v>484</v>
      </c>
      <c r="BO15" s="786" t="s">
        <v>773</v>
      </c>
      <c r="BP15" s="786" t="s">
        <v>773</v>
      </c>
      <c r="BQ15" s="786" t="s">
        <v>773</v>
      </c>
      <c r="BR15" s="786" t="s">
        <v>773</v>
      </c>
      <c r="BS15" s="786" t="s">
        <v>773</v>
      </c>
      <c r="BT15" s="730" t="s">
        <v>53</v>
      </c>
      <c r="BU15" s="1165" t="s">
        <v>773</v>
      </c>
    </row>
    <row r="16" spans="1:73" ht="15" thickBot="1" x14ac:dyDescent="0.2">
      <c r="A16" s="295"/>
      <c r="N16" s="658"/>
      <c r="O16" s="1137">
        <f>IF($N$10&lt;$Q$11,SUM($F$27:$F$34),IF($N$10&lt;$Q$12,SUM($F$27:$F$34)+$H$51-$O$20,SUM($F$27:$F$34)+$H$51+$H$60-$O$22))</f>
        <v>0</v>
      </c>
      <c r="P16" s="1810" t="s">
        <v>258</v>
      </c>
      <c r="Q16" s="1810"/>
      <c r="R16" s="1810"/>
      <c r="S16" s="1810"/>
      <c r="T16" s="1810"/>
      <c r="X16" s="17" t="s">
        <v>155</v>
      </c>
      <c r="Y16" s="5"/>
      <c r="Z16" s="5"/>
      <c r="AA16" s="5"/>
      <c r="AB16" s="11">
        <f t="shared" si="1"/>
        <v>0</v>
      </c>
      <c r="AC16" s="69">
        <f>IF($G$10="x",48-$N$11,IF($D$10="x",53-$N$11,0))</f>
        <v>0</v>
      </c>
      <c r="AD16" s="329" t="str">
        <f>IF(AND($AB$16&lt;0,$AC$16&lt;0),"NADA A CUMPRIR",IF($G$10="X",$I$148-$P$9,IF($D$10="X",$J$148-$P$9,"REVER TEMPO E/OU IDADE")))</f>
        <v>REVER TEMPO E/OU IDADE</v>
      </c>
      <c r="AE16" s="329"/>
      <c r="AF16" s="329"/>
      <c r="AG16" s="934" t="str">
        <f>IF($K$2=$O$4,IF($E$2=$B$116,IF($AD$16&lt;&gt;"NADA A CUMPRIR","NÃO SATISFAZ A IDADE E/OU TEMPO DE CONTRIBUIÇÃO","IDADE E TEMPO DE CONTRIBUIÇÃO SATISFEITOS"),IF($AD$16&lt;&gt;"NADA A CUMPRIR","NÃO SATISFAZ A IDADE E/OU TEMPO DE CONTRIBUIÇÃO","IDADE E TEMPO DE CONTRIBUIÇÃO SATISFEITOS")),"NÃO É ESPECIAL - TRANSIÇÃO EMENDA 20/98")</f>
        <v>NÃO É ESPECIAL - TRANSIÇÃO EMENDA 20/98</v>
      </c>
      <c r="AH16" s="53"/>
      <c r="AI16" s="53"/>
      <c r="AJ16" s="53"/>
      <c r="AK16" s="53"/>
      <c r="AL16" s="53"/>
      <c r="AM16" s="53"/>
      <c r="AN16" s="53"/>
      <c r="AO16" s="21">
        <f t="shared" si="2"/>
        <v>0</v>
      </c>
      <c r="AP16" s="11">
        <f t="shared" si="3"/>
        <v>0</v>
      </c>
      <c r="AQ16" s="5">
        <f t="shared" si="4"/>
        <v>0</v>
      </c>
      <c r="AR16" s="1797" t="str">
        <f t="shared" si="0"/>
        <v>NÃO SATISFAZ TEMPO DE CONTRIBUIÇÃO E/OU IDADE</v>
      </c>
      <c r="AS16" s="1797"/>
      <c r="AT16" s="1797"/>
      <c r="AU16" s="1797"/>
      <c r="AV16" s="1797"/>
      <c r="AW16" s="1797"/>
      <c r="AX16" s="5"/>
      <c r="BA16" s="80"/>
      <c r="BN16" s="733" t="s">
        <v>55</v>
      </c>
      <c r="BO16" s="787" t="s">
        <v>773</v>
      </c>
      <c r="BP16" s="787" t="s">
        <v>773</v>
      </c>
      <c r="BQ16" s="787" t="s">
        <v>773</v>
      </c>
      <c r="BR16" s="787" t="s">
        <v>773</v>
      </c>
      <c r="BS16" s="787" t="s">
        <v>773</v>
      </c>
      <c r="BT16" s="734" t="s">
        <v>54</v>
      </c>
      <c r="BU16" s="1166" t="s">
        <v>773</v>
      </c>
    </row>
    <row r="17" spans="1:73" ht="15" thickBot="1" x14ac:dyDescent="0.2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7">
        <f>IF($N$10&lt;$Q$11,SUM($F$27:$F$34),IF($N$10&lt;$Q$12,SUM($F$27:$F$34)+$H$51-$O$20,SUM($F$27:$F$34)+$H$51-$O$20+$H$60))</f>
        <v>0</v>
      </c>
      <c r="P17" s="21" t="s">
        <v>696</v>
      </c>
      <c r="X17" s="17" t="s">
        <v>166</v>
      </c>
      <c r="Y17" s="5"/>
      <c r="Z17" s="5"/>
      <c r="AA17" s="5"/>
      <c r="AB17" s="11">
        <f t="shared" si="1"/>
        <v>0</v>
      </c>
      <c r="AC17" s="69">
        <f>IF($G$10="x",48-$N$11,IF($D$10="x",53-$N$11,0))</f>
        <v>0</v>
      </c>
      <c r="AD17" s="329" t="str">
        <f>IF(AND($AB$17&lt;=0,$AC$17&lt;=0),"NADA A CUMPRIR",IF($G$10="X",$I$148-$P$9,IF($D$10="X",$J$148-$P$9,"REVER TEMPO E/OU IDADE")))</f>
        <v>NADA A CUMPRIR</v>
      </c>
      <c r="AE17" s="329"/>
      <c r="AF17" s="329"/>
      <c r="AG17" s="934" t="str">
        <f>IF($K$2=$O$4,IF($E$2=$B$122,IF($AD$17&lt;&gt;"NADA A CUMPRIR","NÃO SATISFAZ TEMPO DE CONTRIBUIÇÃO E/OU IDADE","SATISFAZ TEMPO DE CONTRIBUIÇÃO E IDADE"),IF($AD$17&lt;&gt;"NADA A CUMPRIR","NÃO SATISFAZ TEMPO DE CONTRIBUIÇÃO E/OU IDADE","SATISFAZ TEMPO DE CONTRIBUIÇÃO E IDADE")),"NÃO É VOL. TEMPO. CONTRIBUIÇÃO - TRANSIÇÃO EMENDA 20/98")</f>
        <v>NÃO É VOL. TEMPO. CONTRIBUIÇÃO - TRANSIÇÃO EMENDA 20/98</v>
      </c>
      <c r="AH17" s="53"/>
      <c r="AI17" s="53"/>
      <c r="AJ17" s="53"/>
      <c r="AK17" s="53"/>
      <c r="AL17" s="53"/>
      <c r="AM17" s="53"/>
      <c r="AN17" s="53"/>
      <c r="AO17" s="21">
        <f t="shared" si="2"/>
        <v>0</v>
      </c>
      <c r="AP17" s="11">
        <f t="shared" si="3"/>
        <v>0</v>
      </c>
      <c r="AQ17" s="5">
        <f t="shared" si="4"/>
        <v>0</v>
      </c>
      <c r="AR17" s="1797" t="str">
        <f t="shared" si="0"/>
        <v>NÃO SATISFAZ TEMPO DE CONTRIBUIÇÃO E/OU IDADE</v>
      </c>
      <c r="AS17" s="1797"/>
      <c r="AT17" s="1797"/>
      <c r="AU17" s="1797"/>
      <c r="AV17" s="1797"/>
      <c r="AW17" s="1797"/>
      <c r="AX17" s="5"/>
      <c r="BA17" s="80"/>
      <c r="BN17" s="729" t="s">
        <v>10</v>
      </c>
      <c r="BO17" s="730" t="s">
        <v>0</v>
      </c>
      <c r="BP17" s="787" t="s">
        <v>773</v>
      </c>
      <c r="BQ17" s="787" t="s">
        <v>773</v>
      </c>
      <c r="BR17" s="787" t="s">
        <v>773</v>
      </c>
      <c r="BS17" s="787" t="s">
        <v>773</v>
      </c>
      <c r="BT17" s="787" t="s">
        <v>773</v>
      </c>
      <c r="BU17" s="787" t="s">
        <v>773</v>
      </c>
    </row>
    <row r="18" spans="1:7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7">
        <f>IF($N$10&lt;$Q$11,SUM($F$27:$F$34),IF($N$10&lt;$Q$12,SUM($F$27:$F$34)+$H$51,SUM($F$27:$F$34)+$H$51+$H$60-$O$21))</f>
        <v>0</v>
      </c>
      <c r="P18" s="347" t="s">
        <v>12</v>
      </c>
      <c r="Q18" s="67">
        <f>70*365+18</f>
        <v>25568</v>
      </c>
      <c r="S18" s="67"/>
      <c r="T18" s="67"/>
      <c r="X18" s="33" t="s">
        <v>464</v>
      </c>
      <c r="Y18" s="5"/>
      <c r="AA18" s="5"/>
      <c r="AB18" s="11">
        <f t="shared" si="1"/>
        <v>0</v>
      </c>
      <c r="AC18" s="69">
        <f>IF($G$10="x",48-$N$11,IF($D$10="x",53-$N$11,0))</f>
        <v>0</v>
      </c>
      <c r="AD18" s="329" t="str">
        <f>IF(AND($AB$18&lt;0,$AC$18&lt;0),"NADA A CUMPRIR",$F$71)</f>
        <v>NADA A CUMPRIR</v>
      </c>
      <c r="AE18" s="329"/>
      <c r="AF18" s="329"/>
      <c r="AG18" s="934" t="str">
        <f>IF($K$2=$O$5,IF($E$2=$B$123,IF($AD$18&lt;&gt;"NADA A CUMPRIR","NÃO SATISFAZ A IDADE E/OU TEMPO DE CONTRIBUIÇÃO","IDADE E TEMPO DE CONTRIBUIÇÃO SATISFEITOS"),IF($AD$18&lt;&gt;"NADA A CUMPRIR","NÃO SATISFAZ A IDADE E/OU TEMPO DE CONTRIBUIÇÃO","IDADE E TEMPO DE CONTRIBUIÇÃO SATISFEITOS")),"NÃO É TRANSIÇÃO_ART. 2º DA EMENDA 41/03")</f>
        <v>NÃO É TRANSIÇÃO_ART. 2º DA EMENDA 41/03</v>
      </c>
      <c r="AH18" s="53"/>
      <c r="AI18" s="53"/>
      <c r="AJ18" s="53"/>
      <c r="AK18" s="53"/>
      <c r="AL18" s="53"/>
      <c r="AM18" s="53"/>
      <c r="AN18" s="53"/>
      <c r="AO18" s="21">
        <f t="shared" si="2"/>
        <v>0</v>
      </c>
      <c r="AP18" s="11">
        <f t="shared" si="3"/>
        <v>0</v>
      </c>
      <c r="AQ18" s="5">
        <f t="shared" si="4"/>
        <v>0</v>
      </c>
      <c r="AR18" s="1797" t="str">
        <f t="shared" si="0"/>
        <v>NÃO SATISFAZ TEMPO DE CONTRIBUIÇÃO E/OU IDADE</v>
      </c>
      <c r="AS18" s="1797"/>
      <c r="AT18" s="1797"/>
      <c r="AU18" s="1797"/>
      <c r="AV18" s="1797"/>
      <c r="AW18" s="1797"/>
      <c r="BA18" s="80"/>
    </row>
    <row r="19" spans="1:73" ht="15.75" customHeight="1" x14ac:dyDescent="0.15">
      <c r="A19" s="295"/>
      <c r="B19" s="149" t="s">
        <v>706</v>
      </c>
      <c r="C19" s="45"/>
      <c r="D19" s="45" t="s">
        <v>707</v>
      </c>
      <c r="E19" s="788"/>
      <c r="F19" s="150" t="s">
        <v>709</v>
      </c>
      <c r="G19" s="150"/>
      <c r="H19" s="1837">
        <f>'FICHA FUNCIONAL'!E23</f>
        <v>0</v>
      </c>
      <c r="I19" s="1838"/>
      <c r="J19" s="1867" t="s">
        <v>708</v>
      </c>
      <c r="K19" s="1868"/>
      <c r="L19" s="1868"/>
      <c r="M19" s="1869"/>
      <c r="N19" s="789"/>
      <c r="O19" s="1137">
        <f>IF($N$10&lt;$Q$11,SUM($F$27:$F$34),IF($N$10&lt;$Q$12,SUM($F$27:$F$34)+$H$51,SUM($F$27:$F$34)+$H$51+$H$60))</f>
        <v>0</v>
      </c>
      <c r="P19" s="347" t="s">
        <v>13</v>
      </c>
      <c r="Q19" s="49">
        <f>$S$22</f>
        <v>0</v>
      </c>
      <c r="R19" s="67">
        <f>ROUND(Q20/365,0)</f>
        <v>70</v>
      </c>
      <c r="S19" s="67"/>
      <c r="T19" s="67"/>
      <c r="X19" s="18" t="s">
        <v>465</v>
      </c>
      <c r="AB19" s="11">
        <f t="shared" si="1"/>
        <v>0</v>
      </c>
      <c r="AC19" s="69">
        <f>IF($G$10="x",55-$N$11,IF($D$10="x",60-$N$11,0))</f>
        <v>0</v>
      </c>
      <c r="AD19" s="329" t="str">
        <f>IF(AND($AB$19&lt;0,$AC$19&lt;0),"NADA A CUMPRIR",IF($G$10="X",$I$147-$P$9,IF($D$10="X",$J$147-$P$9,"REVER TEMPO E/OU IDADE")))</f>
        <v>REVER TEMPO E/OU IDADE</v>
      </c>
      <c r="AE19" s="329"/>
      <c r="AF19" s="329"/>
      <c r="AG19" s="934" t="str">
        <f>IF($K$2=$O$6,IF($E$2=$B$115,IF($AD$19&lt;&gt;"NADA A CUMPRIR","NÃO SATISFAZ A IDADE E/OU TEMPO DE CONTRIBUIÇÃO","IDADE E TEMPO DE CONTRIBUIÇÃO SATISFEITOS"),IF($AD$19&lt;&gt;"NADA A CUMPRIR","NÃO SATISFAZ A IDADE E/OU TEMPO DE CONTRIBUIÇÃO","IDADE E TEMPO DE CONTRIBUIÇÃO SATISFEITOS")),"NÃO É INTEGRAL - TRANSIÇAO ART. 6º DA EC 41/03")</f>
        <v>NÃO É INTEGRAL - TRANSIÇAO ART. 6º DA EC 41/03</v>
      </c>
      <c r="AH19" s="53"/>
      <c r="AI19" s="53"/>
      <c r="AJ19" s="53"/>
      <c r="AK19" s="53"/>
      <c r="AL19" s="53"/>
      <c r="AM19" s="53"/>
      <c r="AN19" s="53"/>
      <c r="AO19" s="21">
        <f t="shared" si="2"/>
        <v>0</v>
      </c>
      <c r="AP19" s="11">
        <f t="shared" si="3"/>
        <v>0</v>
      </c>
      <c r="AQ19" s="5">
        <f t="shared" si="4"/>
        <v>0</v>
      </c>
      <c r="AR19" s="1797" t="str">
        <f t="shared" si="0"/>
        <v>NÃO SATISFAZ TEMPO DE CONTRIBUIÇÃO E/OU IDADE</v>
      </c>
      <c r="AS19" s="1797"/>
      <c r="AT19" s="1797"/>
      <c r="AU19" s="1797"/>
      <c r="AV19" s="1797"/>
      <c r="AW19" s="1797"/>
      <c r="BA19" s="80"/>
    </row>
    <row r="20" spans="1:73" ht="15.75" customHeight="1" x14ac:dyDescent="0.15">
      <c r="A20" s="295"/>
      <c r="B20" s="149" t="s">
        <v>712</v>
      </c>
      <c r="C20" s="45"/>
      <c r="D20" s="45" t="s">
        <v>707</v>
      </c>
      <c r="E20" s="788"/>
      <c r="F20" s="150" t="s">
        <v>710</v>
      </c>
      <c r="G20" s="150"/>
      <c r="H20" s="1862"/>
      <c r="I20" s="1863"/>
      <c r="J20" s="1864" t="s">
        <v>357</v>
      </c>
      <c r="K20" s="1865"/>
      <c r="L20" s="1865"/>
      <c r="M20" s="1866"/>
      <c r="N20" s="789"/>
      <c r="O20" s="1138">
        <f>'MTS - MAPA DE TEMPO DE SERVIÇO'!H42</f>
        <v>0</v>
      </c>
      <c r="P20" s="347" t="s">
        <v>14</v>
      </c>
      <c r="Q20" s="67">
        <f>$Q$18-$Q$19</f>
        <v>25568</v>
      </c>
      <c r="R20" s="1808" t="str">
        <f>IF(N11&gt;=70,"O SERVIDOR JÁ ATINGIU A COMPULSÓRIA, DEVENDO SER APOSENTADO EM",IF(N11&gt;=60,70-N11,"O SERVIDOR NÃO COMPLETOU 70 ANOS"))</f>
        <v>O SERVIDOR NÃO COMPLETOU 70 ANOS</v>
      </c>
      <c r="S20" s="1809"/>
      <c r="T20" s="1809"/>
      <c r="X20" s="18" t="s">
        <v>157</v>
      </c>
      <c r="AB20" s="11">
        <f t="shared" si="1"/>
        <v>0</v>
      </c>
      <c r="AC20" s="69">
        <f>IF($G$10="x",50-$N$11,IF($D$10="x",55-$N$11,0))</f>
        <v>0</v>
      </c>
      <c r="AD20" s="329" t="str">
        <f>IF(AND($AB$20&lt;0,$AC$20&lt;0),"NADA A CUMPRIR",IF($G$10="X",$I$147-$P$9,IF($D$10="X",$J$147-$P$9,"REVER TEMPO E/OU IDADE")))</f>
        <v>REVER TEMPO E/OU IDADE</v>
      </c>
      <c r="AE20" s="329"/>
      <c r="AF20" s="329"/>
      <c r="AG20" s="934" t="str">
        <f>IF($K$2=$O$6,IF($E$2=$B$116,IF($AD$20&lt;&gt;"NADA A CUMPRIR","NÃO SATISFAZ A IDADE E/OU TEMPO DE CONTRIBUIÇÃO","IDADE E TEMPO DE CONTRIBUIÇÃO SATISFEITOS"),IF($AD$20&lt;&gt;"NADA A CUMPRIR","NÃO SATISFAZ A IDADE E/OU TEMPO DE CONTRIBUIÇÃO","IDADE E TEMPO DE CONTRIBUIÇÃO SATISFEITOS")),"NÃO É ESPECIAL - TRANSIÇÃO ART. 6º DA EC 41/03")</f>
        <v>NÃO É ESPECIAL - TRANSIÇÃO ART. 6º DA EC 41/03</v>
      </c>
      <c r="AH20" s="53"/>
      <c r="AI20" s="53"/>
      <c r="AJ20" s="53"/>
      <c r="AK20" s="53"/>
      <c r="AL20" s="53"/>
      <c r="AM20" s="53"/>
      <c r="AN20" s="53"/>
      <c r="AO20" s="21">
        <f t="shared" si="2"/>
        <v>0</v>
      </c>
      <c r="AP20" s="11">
        <f t="shared" si="3"/>
        <v>0</v>
      </c>
      <c r="AQ20" s="5">
        <f t="shared" si="4"/>
        <v>0</v>
      </c>
      <c r="AR20" s="1797" t="str">
        <f t="shared" si="0"/>
        <v>NÃO SATISFAZ TEMPO DE CONTRIBUIÇÃO E/OU IDADE</v>
      </c>
      <c r="AS20" s="1797"/>
      <c r="AT20" s="1797"/>
      <c r="AU20" s="1797"/>
      <c r="AV20" s="1797"/>
      <c r="AW20" s="1797"/>
      <c r="BA20" s="80"/>
    </row>
    <row r="21" spans="1:73" ht="15" thickBot="1" x14ac:dyDescent="0.2">
      <c r="A21" s="295"/>
      <c r="B21" s="149" t="s">
        <v>711</v>
      </c>
      <c r="C21" s="45"/>
      <c r="D21" s="45" t="s">
        <v>707</v>
      </c>
      <c r="E21" s="788"/>
      <c r="F21" s="150" t="s">
        <v>713</v>
      </c>
      <c r="G21" s="150"/>
      <c r="H21" s="662"/>
      <c r="I21" s="150"/>
      <c r="J21" s="790"/>
      <c r="K21" s="5"/>
      <c r="L21" s="5"/>
      <c r="M21" s="5"/>
      <c r="N21" s="76"/>
      <c r="O21" s="1138">
        <f>'MTS - MAPA DE TEMPO DE SERVIÇO'!H58</f>
        <v>0</v>
      </c>
      <c r="P21" s="60" t="s">
        <v>11</v>
      </c>
      <c r="Q21" s="67" t="str">
        <f>N10</f>
        <v>-</v>
      </c>
      <c r="R21" s="1809"/>
      <c r="S21" s="1809"/>
      <c r="T21" s="1809"/>
      <c r="X21" s="18" t="s">
        <v>466</v>
      </c>
      <c r="AB21" s="11">
        <f t="shared" si="1"/>
        <v>0</v>
      </c>
      <c r="AC21" s="69">
        <f>IF($G$10="x",$I$153-$N$11,IF($D$10="x",$J$153-$N$11,0))</f>
        <v>0</v>
      </c>
      <c r="AD21" s="933" t="str">
        <f>IF(AND($AB$21&lt;0,$AC$21&lt;0),"NADA A CUMPRIR",IF($G$10="X",$I$147-$P$9,IF($D$10="X",$J$147-$P$9,"REVER TEMPO E/OU IDADE")))</f>
        <v>REVER TEMPO E/OU IDADE</v>
      </c>
      <c r="AE21" s="933"/>
      <c r="AF21" s="933"/>
      <c r="AG21" s="934" t="str">
        <f>IF($K$2=$O$7,IF($AD$21&lt;&gt;"NADA A CUMPRIR","NÃO SATISFAZ A IDADE E/OU TEMPO DE CONTRIBUIÇÃO","IDADE E TEMPO DE CONTRIBUIÇÃO SATISFEITOS"),"NÃO É TRANSIÇÃO ART. 3º DA EC 47/05")</f>
        <v>NÃO É TRANSIÇÃO ART. 3º DA EC 47/05</v>
      </c>
      <c r="AH21" s="53"/>
      <c r="AI21" s="53"/>
      <c r="AJ21" s="53"/>
      <c r="AK21" s="53"/>
      <c r="AL21" s="53"/>
      <c r="AM21" s="53"/>
      <c r="AN21" s="53"/>
      <c r="AO21" s="21">
        <f t="shared" si="2"/>
        <v>0</v>
      </c>
      <c r="AP21" s="11">
        <f t="shared" si="3"/>
        <v>0</v>
      </c>
      <c r="AQ21" s="391">
        <f t="shared" si="4"/>
        <v>0</v>
      </c>
      <c r="AR21" s="1797" t="str">
        <f>IF($G$10="X",IF(AQ21&gt;=$Z$7,"SATISFAZ TEMPO DE CONTRIBUIÇÃO E IDADE","NÃO SATISFAZ TEMPO DE CONTRIBUIÇÃO E/OU IDADE"),IF($D$10="X",IF(AQ21&gt;=$Z$6,"SATISFAZ TEMPO DE CONTRIBUIÇÃO E IDADE","NÃO SATISFAZ TEMPO DE CONTRIBUIÇÃO E/OU IDADE"),"REVER"))</f>
        <v>REVER</v>
      </c>
      <c r="AS21" s="1797"/>
      <c r="AT21" s="1797"/>
      <c r="AU21" s="1797"/>
      <c r="AV21" s="1797"/>
      <c r="AW21" s="1797"/>
      <c r="AX21" s="21">
        <f>95*365</f>
        <v>34675</v>
      </c>
      <c r="AY21" s="21">
        <f>85*365</f>
        <v>31025</v>
      </c>
      <c r="BA21" s="80"/>
    </row>
    <row r="22" spans="1:73" ht="15" thickBot="1" x14ac:dyDescent="0.2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9">
        <f>SUM(O20:O21)</f>
        <v>0</v>
      </c>
      <c r="P22" s="347" t="s">
        <v>15</v>
      </c>
      <c r="Q22" s="67">
        <f>SUM(Q20:Q21)</f>
        <v>25568</v>
      </c>
      <c r="R22" s="1212">
        <f>Q22</f>
        <v>25568</v>
      </c>
      <c r="S22" s="1191">
        <f>IF($N$9=0,0,($N$10-$N$9+1))</f>
        <v>0</v>
      </c>
      <c r="T22" s="658"/>
      <c r="X22" s="583" t="s">
        <v>161</v>
      </c>
      <c r="AB22" s="1798" t="str">
        <f>IF(AND($K$2=$O$3,$E$2=$B$115),$AR$12,IF(AND($K$2=$O$3,$E$2=$B$116),$AR$13,IF(AND($K$2=$O$3,$E$2=$B$117),$AR$14,IF(AND($K$2=$O$4,E2=$B$115),$AR$15,IF(AND($K$2=$O$4,$E$2=$B$116),$AR$16,IF(AND($K$2=$O$5,$E$2=$B$123),$AR$18,IF(AND($K$2=$O$6,$E$2=$B$115),$AR$19,$AI$22)))))))</f>
        <v>NÃO SATISFAZ TEMPO DE CONTRIBUIÇÃO E/OU IDADE</v>
      </c>
      <c r="AC22" s="1799"/>
      <c r="AD22" s="1799"/>
      <c r="AE22" s="1799"/>
      <c r="AF22" s="1799"/>
      <c r="AG22" s="1799"/>
      <c r="AH22" s="1799"/>
      <c r="AI22" s="1800" t="str">
        <f>IF(AND($K$2=$O$6,$E$2=$B$116),$AR$20,IF(AND($K$2=$O$7,$E$2=$B$115),$AR$21,IF(AND($K$2=$O$4,$E$2=$B$122),$AR$17,IF(AND(K2=O2,OR(F71="NADA A CUMPRIR",F71="NÃO CABE")),"SATISFAZ TEMPO DE SERVIÇO E/OU IDADE",IF(OR(E2=B120,E2=B121),"EX OFFICIO",IF(AND(E2=B119,E70="ATENDE LIMITE MÍNIMO DE IDADE"),"SATISFAZ TEMPO DE CONTRIBUIÇÃO E/OU IDADE","NÃO SATISFAZ TEMPO DE CONTRIBUIÇÃO E/OU IDADE"))))))</f>
        <v>NÃO SATISFAZ TEMPO DE CONTRIBUIÇÃO E/OU IDADE</v>
      </c>
      <c r="AJ22" s="1800"/>
      <c r="AK22" s="1800"/>
      <c r="AL22" s="1800"/>
      <c r="AM22" s="1800"/>
      <c r="AN22" s="1800"/>
      <c r="AO22" s="1800"/>
      <c r="AP22" s="932"/>
      <c r="AQ22" s="932"/>
      <c r="AR22" s="932"/>
      <c r="AS22" s="932"/>
      <c r="BA22" s="80"/>
    </row>
    <row r="23" spans="1:7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73" ht="6" customHeight="1" thickBot="1" x14ac:dyDescent="0.2">
      <c r="A24" s="295"/>
      <c r="B24" s="44"/>
      <c r="C24" s="43"/>
      <c r="D24" s="43"/>
      <c r="O24" s="362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73" ht="15" thickBot="1" x14ac:dyDescent="0.2"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2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73" x14ac:dyDescent="0.15">
      <c r="B26" s="263" t="s">
        <v>335</v>
      </c>
      <c r="C26" s="744">
        <f>'MTS - MAPA DE TEMPO DE SERVIÇO'!D9</f>
        <v>0</v>
      </c>
      <c r="D26" s="593" t="s">
        <v>336</v>
      </c>
      <c r="E26" s="744">
        <f>'MTS - MAPA DE TEMPO DE SERVIÇO'!G9</f>
        <v>0</v>
      </c>
      <c r="F26" s="745">
        <f>'MTS - MAPA DE TEMPO DE SERVIÇO'!H9</f>
        <v>0</v>
      </c>
      <c r="G26" s="594" t="s">
        <v>337</v>
      </c>
      <c r="H26" s="595"/>
      <c r="I26" s="595"/>
      <c r="J26" s="615">
        <f>'MTS - MAPA DE TEMPO DE SERVIÇO'!K6</f>
        <v>0</v>
      </c>
      <c r="K26" s="215"/>
      <c r="L26" s="215" t="s">
        <v>524</v>
      </c>
      <c r="M26" s="595"/>
      <c r="N26" s="746">
        <f>'MTS - MAPA DE TEMPO DE SERVIÇO'!O6</f>
        <v>0</v>
      </c>
      <c r="O26" s="3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73" x14ac:dyDescent="0.15">
      <c r="B27" s="596" t="s">
        <v>338</v>
      </c>
      <c r="C27" s="674">
        <f>'MTS - MAPA DE TEMPO DE SERVIÇO'!D10</f>
        <v>0</v>
      </c>
      <c r="D27" s="170" t="s">
        <v>336</v>
      </c>
      <c r="E27" s="674">
        <f>'MTS - MAPA DE TEMPO DE SERVIÇO'!G10</f>
        <v>0</v>
      </c>
      <c r="F27" s="171">
        <f>'MTS - MAPA DE TEMPO DE SERVIÇO'!H10</f>
        <v>0</v>
      </c>
      <c r="G27" s="149" t="s">
        <v>339</v>
      </c>
      <c r="H27" s="5"/>
      <c r="I27" s="5"/>
      <c r="J27" s="740" t="e">
        <f>'MTS - MAPA DE TEMPO DE SERVIÇO'!#REF!</f>
        <v>#REF!</v>
      </c>
      <c r="K27" s="150"/>
      <c r="L27" s="150" t="s">
        <v>524</v>
      </c>
      <c r="M27" s="5"/>
      <c r="N27" s="747">
        <f>'MTS - MAPA DE TEMPO DE SERVIÇO'!O7</f>
        <v>0</v>
      </c>
      <c r="O27" s="2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73" x14ac:dyDescent="0.15">
      <c r="B28" s="596" t="s">
        <v>338</v>
      </c>
      <c r="C28" s="674">
        <f>'MTS - MAPA DE TEMPO DE SERVIÇO'!D11</f>
        <v>0</v>
      </c>
      <c r="D28" s="170" t="s">
        <v>336</v>
      </c>
      <c r="E28" s="674">
        <f>'MTS - MAPA DE TEMPO DE SERVIÇO'!G11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'MTS - MAPA DE TEMPO DE SERVIÇO'!#REF!</f>
        <v>#REF!</v>
      </c>
      <c r="K28" s="150"/>
      <c r="L28" s="150" t="s">
        <v>524</v>
      </c>
      <c r="M28" s="5"/>
      <c r="N28" s="747">
        <f>'MTS - MAPA DE TEMPO DE SERVIÇO'!O8</f>
        <v>0</v>
      </c>
      <c r="O28" s="2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73" x14ac:dyDescent="0.15">
      <c r="B29" s="596" t="s">
        <v>691</v>
      </c>
      <c r="C29" s="674">
        <f>'MTS - MAPA DE TEMPO DE SERVIÇO'!D12</f>
        <v>0</v>
      </c>
      <c r="D29" s="170" t="s">
        <v>336</v>
      </c>
      <c r="E29" s="674">
        <f>'MTS - MAPA DE TEMPO DE SERVIÇO'!G12</f>
        <v>0</v>
      </c>
      <c r="F29" s="171">
        <f>'MTS - MAPA DE TEMPO DE SERVIÇO'!H12</f>
        <v>0</v>
      </c>
      <c r="G29" s="149" t="s">
        <v>339</v>
      </c>
      <c r="H29" s="5"/>
      <c r="I29" s="5"/>
      <c r="J29" s="740">
        <f>'MTS - MAPA DE TEMPO DE SERVIÇO'!K9</f>
        <v>0</v>
      </c>
      <c r="K29" s="150"/>
      <c r="L29" s="5"/>
      <c r="M29" s="5"/>
      <c r="N29" s="748"/>
      <c r="O29" s="2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73" x14ac:dyDescent="0.15">
      <c r="B30" s="596" t="s">
        <v>606</v>
      </c>
      <c r="C30" s="674">
        <f>'MTS - MAPA DE TEMPO DE SERVIÇO'!D13</f>
        <v>0</v>
      </c>
      <c r="D30" s="170" t="s">
        <v>336</v>
      </c>
      <c r="E30" s="674">
        <f>'MTS - MAPA DE TEMPO DE SERVIÇO'!G13</f>
        <v>0</v>
      </c>
      <c r="F30" s="171">
        <f>'MTS - MAPA DE TEMPO DE SERVIÇO'!H13</f>
        <v>0</v>
      </c>
      <c r="G30" s="149" t="s">
        <v>339</v>
      </c>
      <c r="H30" s="5"/>
      <c r="I30" s="5"/>
      <c r="J30" s="740">
        <f>'MTS - MAPA DE TEMPO DE SERVIÇO'!K10</f>
        <v>0</v>
      </c>
      <c r="K30" s="150"/>
      <c r="L30" s="5"/>
      <c r="M30" s="5"/>
      <c r="N30" s="597"/>
      <c r="O30" s="2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73" x14ac:dyDescent="0.15">
      <c r="A31" s="254"/>
      <c r="B31" s="596" t="s">
        <v>606</v>
      </c>
      <c r="C31" s="674">
        <f>'MTS - MAPA DE TEMPO DE SERVIÇO'!D14</f>
        <v>0</v>
      </c>
      <c r="D31" s="170" t="s">
        <v>336</v>
      </c>
      <c r="E31" s="674">
        <f>'MTS - MAPA DE TEMPO DE SERVIÇO'!G14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'MTS - MAPA DE TEMPO DE SERVIÇO'!H19+'MTS - MAPA DE TEMPO DE SERVIÇO'!H20</f>
        <v>0</v>
      </c>
      <c r="O31" s="2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73" x14ac:dyDescent="0.15">
      <c r="A32" s="254"/>
      <c r="B32" s="596" t="s">
        <v>606</v>
      </c>
      <c r="C32" s="674">
        <f>'MTS - MAPA DE TEMPO DE SERVIÇO'!D15</f>
        <v>0</v>
      </c>
      <c r="D32" s="170" t="s">
        <v>336</v>
      </c>
      <c r="E32" s="677">
        <f>'MTS - MAPA DE TEMPO DE SERVIÇO'!G15</f>
        <v>0</v>
      </c>
      <c r="F32" s="171">
        <f>'MTS - MAPA DE TEMPO DE SERVIÇO'!H15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2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B33" s="596" t="s">
        <v>340</v>
      </c>
      <c r="C33" s="1859" t="s">
        <v>453</v>
      </c>
      <c r="D33" s="1860"/>
      <c r="E33" s="749">
        <f>'MTS - MAPA DE TEMPO DE SERVIÇO'!G16</f>
        <v>0</v>
      </c>
      <c r="F33" s="171">
        <f>IF(E6=B208,O80,IF(E33=0,0,E33*2*90))</f>
        <v>0</v>
      </c>
      <c r="G33" s="149" t="s">
        <v>442</v>
      </c>
      <c r="H33" s="150"/>
      <c r="I33" s="150"/>
      <c r="J33" s="150"/>
      <c r="K33" s="150"/>
      <c r="L33" s="150"/>
      <c r="M33" s="154"/>
      <c r="N33" s="605">
        <f>SUM(F27:F33)</f>
        <v>0</v>
      </c>
      <c r="O33" s="3">
        <f>SUM($F$27:$F$33)+$G$46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1244"/>
      <c r="B34" s="596" t="s">
        <v>341</v>
      </c>
      <c r="C34" s="172" t="s">
        <v>349</v>
      </c>
      <c r="D34" s="173"/>
      <c r="E34" s="749">
        <f>'MTS - MAPA DE TEMPO DE SERVIÇO'!G17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1044"/>
      <c r="N34" s="606">
        <f>ROUNDDOWN(N33/365,0)</f>
        <v>0</v>
      </c>
      <c r="O34" s="369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1244">
        <v>32421</v>
      </c>
      <c r="B35" s="1843" t="s">
        <v>490</v>
      </c>
      <c r="C35" s="1844"/>
      <c r="D35" s="1844"/>
      <c r="E35" s="1845"/>
      <c r="F35" s="262">
        <f>IF(K2=O4,N35,IF(K2=O5,M35,0))</f>
        <v>0</v>
      </c>
      <c r="G35" s="149" t="s">
        <v>139</v>
      </c>
      <c r="H35" s="150"/>
      <c r="I35" s="150"/>
      <c r="J35" s="150"/>
      <c r="K35" s="150"/>
      <c r="L35" s="150"/>
      <c r="M35" s="379">
        <f>IF(E2=B123,IF(D12="X",IF(G10="X",ROUNDDOWN(SUM(F26:F34)*0.2,0),ROUNDDOWN(SUM(F26:F34)*0.17,0)),0),0)</f>
        <v>0</v>
      </c>
      <c r="N35" s="632">
        <f>IF(E2="VOLUNTÁRIA ESPECIAL",IF(D12="X",IF(G10="X",ROUNDDOWN(SUM(F26:F34)*0.2,0),ROUNDDOWN(SUM(F26:F34)*0.17,0)),0),0)</f>
        <v>0</v>
      </c>
      <c r="O35" s="369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124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2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1244">
        <v>36144</v>
      </c>
      <c r="B37" s="219" t="s">
        <v>345</v>
      </c>
      <c r="C37" s="174">
        <f>IF(C38&lt;36145,C38,0)</f>
        <v>0</v>
      </c>
      <c r="D37" s="175" t="s">
        <v>336</v>
      </c>
      <c r="E37" s="176">
        <f>IF(E38&lt;&gt;0,IF(E38&lt;36145,E38,"REVER"),0)</f>
        <v>0</v>
      </c>
      <c r="F37" s="157">
        <f>IF(E37&lt;=A37,IF(F38&lt;&gt;0,SUM(F26:F35),0),0)</f>
        <v>0</v>
      </c>
      <c r="G37" s="45" t="s">
        <v>90</v>
      </c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2"/>
      <c r="AD37" s="21"/>
      <c r="AE37" s="21"/>
      <c r="AF37" s="21"/>
      <c r="AZ37" s="5"/>
      <c r="BA37" s="82"/>
    </row>
    <row r="38" spans="1:53" ht="15" thickBot="1" x14ac:dyDescent="0.2">
      <c r="B38" s="267" t="s">
        <v>350</v>
      </c>
      <c r="C38" s="1300">
        <f>IF(C26&gt;0,C26,IF(C27&gt;0,C27,IF(C28&gt;0,C28,IF(C29&gt;0,C29,IF(C30&gt;0,C30,IF(C31&gt;0,C31,IF(C32&gt;0,C32,0)))))))</f>
        <v>0</v>
      </c>
      <c r="D38" s="1301"/>
      <c r="E38" s="1302">
        <f>MAX(E26:E32)</f>
        <v>0</v>
      </c>
      <c r="F38" s="1303">
        <f>MAX(F26:F32)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2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B39" s="383" t="s">
        <v>489</v>
      </c>
      <c r="C39" s="22" t="str">
        <f>IF(C45&gt;=36145,C45,"REVER")</f>
        <v>REVER</v>
      </c>
      <c r="D39" s="22"/>
      <c r="E39" s="23" t="str">
        <f>IF(E46&lt;=38036,E46,"REVER")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2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2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B41" s="177" t="s">
        <v>493</v>
      </c>
      <c r="C41" s="178">
        <f>IF(E41&gt;0,IF(E2=B115,E41,IF(E2=B116,E41,IF(E2=B122,E41,))),0)</f>
        <v>0</v>
      </c>
      <c r="D41" s="178" t="b">
        <f>IF(E41&gt;0,IF(K2=O5,IF(E2=B123,E41,0)),0)</f>
        <v>0</v>
      </c>
      <c r="E41" s="179">
        <f>IF($E$2=B122,IF($G$10="X",(25*365)-$F$37,(30*365)-$F$37),IF($G$10="X",(30*365)-$F$37,(35*365)-$F$37))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1211"/>
      <c r="AD41" s="21"/>
      <c r="AE41" s="21"/>
      <c r="AF41" s="21"/>
      <c r="AX41" s="5"/>
      <c r="AY41" s="5"/>
      <c r="AZ41" s="5"/>
      <c r="BA41" s="82"/>
    </row>
    <row r="42" spans="1:53" x14ac:dyDescent="0.15">
      <c r="A42" s="392">
        <f>IF($K$2=$O$2,0,IF($K$2=$O$3,IF($E$46&lt;$Q$12,IF($D$14="x",$A$44,IF($G$14="x",$A$44,0)),0),$A$44))</f>
        <v>0</v>
      </c>
      <c r="B42" s="181" t="s">
        <v>494</v>
      </c>
      <c r="C42" s="45"/>
      <c r="D42" s="182"/>
      <c r="E42" s="183">
        <f>IF(N8&lt;Q11,IF(K2=O4,C41,IF(K2=O5,D41,0)),0)</f>
        <v>0</v>
      </c>
      <c r="F42" s="45" t="s">
        <v>333</v>
      </c>
      <c r="G42" s="150"/>
      <c r="H42" s="184" t="str">
        <f>IF(E42&gt;0,IF(K2=O4,"HÁ PEDÁGIO A CUMPRIR",IF(K2=O5,IF(E2=B123,"HÁ PEDÁGIO A CUMPRIR",E70))),"NÃO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O42" s="362"/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92">
        <f>IF($K$2=$O$2,0,IF($K$2=$O$4,IF($E$46&lt;$Q$13,$A$44,0),$A$44))</f>
        <v>0</v>
      </c>
      <c r="B43" s="181" t="s">
        <v>496</v>
      </c>
      <c r="C43" s="45"/>
      <c r="D43" s="182"/>
      <c r="E43" s="189">
        <f>IF(E42&gt;0,IF(E2=B122,ROUNDUP(E42*0.4,0),ROUNDUP(E42*0.2,0)),0)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4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92">
        <f>IF(AND(C45&gt;=Q11,E46&lt;Q12),E46-C45+1,IF(F47&lt;&gt;0,F47,0))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4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92">
        <f>IF($C$45="REVER",0,IF($E$46="REVER",0,$F$46))</f>
        <v>0</v>
      </c>
      <c r="B45" s="299" t="s">
        <v>352</v>
      </c>
      <c r="C45" s="272">
        <f>IF(C51&lt;&gt;0,IF(AND(C51&gt;=36145,C51&lt;38037),C51,"REVER"),0)</f>
        <v>0</v>
      </c>
      <c r="D45" s="292" t="s">
        <v>336</v>
      </c>
      <c r="E45" s="377">
        <f>IF('MTS - MAPA DE TEMPO DE SERVIÇO'!$G$46&lt;CRÍTICA_IGP1!$E$46,'MTS - MAPA DE TEMPO DE SERVIÇO'!$G$46,$E$46)</f>
        <v>0</v>
      </c>
      <c r="F45" s="1260">
        <f>IF(E45&lt;=E46,F46,G46)</f>
        <v>0</v>
      </c>
      <c r="G45" s="280" t="s">
        <v>719</v>
      </c>
      <c r="H45" s="280"/>
      <c r="I45" s="280"/>
      <c r="J45" s="280"/>
      <c r="K45" s="280">
        <f>ROUNDDOWN($F$45/365,0)</f>
        <v>0</v>
      </c>
      <c r="L45" s="280" t="s">
        <v>354</v>
      </c>
      <c r="M45" s="293">
        <f>($F$45/365-K45)*365</f>
        <v>0</v>
      </c>
      <c r="N45" s="294" t="s">
        <v>348</v>
      </c>
      <c r="O45" s="2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20.25" customHeight="1" thickBot="1" x14ac:dyDescent="0.2">
      <c r="A46" s="392"/>
      <c r="B46" s="153"/>
      <c r="C46" s="1066"/>
      <c r="D46" s="274"/>
      <c r="E46" s="377" t="str">
        <f>IF(AND($E$51&lt;&gt;0,'FICHA FUNCIONAL'!$E$23&gt;=36145),IF(AND($E$51&gt;=36145,$E$51&lt;38037),IF(AND($K$2=$O$3,$G$14="X"),$I$46,IF($K$2=$O$4,$H$46,$E$51)),"REVER"),"REVER")</f>
        <v>REVER</v>
      </c>
      <c r="F46" s="1257">
        <f>IF(AND(C45&lt;&gt;"rever",E46&lt;&gt;"rever"),SUM(F47:F50),0)</f>
        <v>0</v>
      </c>
      <c r="G46" s="1261">
        <f>IF(OR(E45=0,K2=O2),0,IF(K2=O3,A42,IF(K2=O4,A43,A44)))</f>
        <v>0</v>
      </c>
      <c r="H46" s="1258" t="str">
        <f>IF(AND($E$51&gt;=36145,$E$51&lt;=37985),$E$51,"REVER")</f>
        <v>REVER</v>
      </c>
      <c r="I46" s="1259" t="str">
        <f>IF(AND($E$51&gt;=36145,$E$51&lt;38037),$E$51,"REVER")</f>
        <v>REVER</v>
      </c>
      <c r="J46" s="230"/>
      <c r="K46" s="230"/>
      <c r="L46" s="230"/>
      <c r="M46" s="378"/>
      <c r="N46" s="230"/>
      <c r="O46" s="2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ht="15" thickBot="1" x14ac:dyDescent="0.2">
      <c r="A47" s="392"/>
      <c r="B47" s="263" t="s">
        <v>335</v>
      </c>
      <c r="C47" s="744">
        <f>'MTS - MAPA DE TEMPO DE SERVIÇO'!D37</f>
        <v>0</v>
      </c>
      <c r="D47" s="593" t="s">
        <v>336</v>
      </c>
      <c r="E47" s="744">
        <f>'MTS - MAPA DE TEMPO DE SERVIÇO'!G37</f>
        <v>0</v>
      </c>
      <c r="F47" s="1249">
        <f>'MTS - MAPA DE TEMPO DE SERVIÇO'!H37</f>
        <v>0</v>
      </c>
      <c r="G47" s="215" t="s">
        <v>337</v>
      </c>
      <c r="H47" s="595"/>
      <c r="I47" s="595"/>
      <c r="J47" s="615">
        <f>'MTS - MAPA DE TEMPO DE SERVIÇO'!K27</f>
        <v>0</v>
      </c>
      <c r="K47" s="215"/>
      <c r="L47" s="215" t="s">
        <v>524</v>
      </c>
      <c r="M47" s="595"/>
      <c r="N47" s="746">
        <f>'MTS - MAPA DE TEMPO DE SERVIÇO'!O27</f>
        <v>0</v>
      </c>
      <c r="O47" s="2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ht="15" thickBot="1" x14ac:dyDescent="0.2">
      <c r="A48" s="392"/>
      <c r="B48" s="596" t="s">
        <v>338</v>
      </c>
      <c r="C48" s="744">
        <f>'MTS - MAPA DE TEMPO DE SERVIÇO'!D38</f>
        <v>0</v>
      </c>
      <c r="D48" s="170" t="s">
        <v>336</v>
      </c>
      <c r="E48" s="1248">
        <f>'MTS - MAPA DE TEMPO DE SERVIÇO'!G38</f>
        <v>0</v>
      </c>
      <c r="F48" s="1250">
        <f>IF(C48=0,0,IF(E48=0,0,E48-C48+1))</f>
        <v>0</v>
      </c>
      <c r="G48" s="150" t="s">
        <v>339</v>
      </c>
      <c r="H48" s="5"/>
      <c r="I48" s="5"/>
      <c r="J48" s="740">
        <f>'MTS - MAPA DE TEMPO DE SERVIÇO'!K28</f>
        <v>0</v>
      </c>
      <c r="K48" s="150"/>
      <c r="L48" s="150"/>
      <c r="M48" s="276"/>
      <c r="N48" s="597"/>
      <c r="O48" s="2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ht="15" thickBot="1" x14ac:dyDescent="0.2">
      <c r="A49" s="392"/>
      <c r="B49" s="596" t="s">
        <v>606</v>
      </c>
      <c r="C49" s="744">
        <f>'MTS - MAPA DE TEMPO DE SERVIÇO'!D39</f>
        <v>0</v>
      </c>
      <c r="D49" s="170" t="s">
        <v>336</v>
      </c>
      <c r="E49" s="1248">
        <f>'MTS - MAPA DE TEMPO DE SERVIÇO'!G39</f>
        <v>0</v>
      </c>
      <c r="F49" s="1250">
        <f>IF(C49=0,0,IF(E49=0,0,E49-C49+1-N50))</f>
        <v>0</v>
      </c>
      <c r="G49" s="150" t="s">
        <v>339</v>
      </c>
      <c r="H49" s="5"/>
      <c r="I49" s="5"/>
      <c r="J49" s="740" t="str">
        <f>'MTS - MAPA DE TEMPO DE SERVIÇO'!K29</f>
        <v>anos</v>
      </c>
      <c r="K49" s="150"/>
      <c r="L49" s="150"/>
      <c r="M49" s="276"/>
      <c r="N49" s="597"/>
      <c r="O49" s="2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92"/>
      <c r="B50" s="598" t="s">
        <v>606</v>
      </c>
      <c r="C50" s="1251">
        <f>'MTS - MAPA DE TEMPO DE SERVIÇO'!D40</f>
        <v>0</v>
      </c>
      <c r="D50" s="599" t="s">
        <v>336</v>
      </c>
      <c r="E50" s="1252">
        <f>'MTS - MAPA DE TEMPO DE SERVIÇO'!I45</f>
        <v>25567</v>
      </c>
      <c r="F50" s="1253">
        <f>'MTS - MAPA DE TEMPO DE SERVIÇO'!H40</f>
        <v>0</v>
      </c>
      <c r="G50" s="238"/>
      <c r="H50" s="1028"/>
      <c r="I50" s="411"/>
      <c r="J50" s="240" t="s">
        <v>704</v>
      </c>
      <c r="K50" s="238"/>
      <c r="L50" s="238"/>
      <c r="M50" s="602"/>
      <c r="N50" s="752">
        <f>IF(AND('MTS - MAPA DE TEMPO DE SERVIÇO'!H42&lt;&gt;0,'MTS - MAPA DE TEMPO DE SERVIÇO'!N35="SIM"),'MTS - MAPA DE TEMPO DE SERVIÇO'!H41,'MTS - MAPA DE TEMPO DE SERVIÇO'!H41+'MTS - MAPA DE TEMPO DE SERVIÇO'!H42)</f>
        <v>0</v>
      </c>
      <c r="O50" s="2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18" customHeight="1" thickBot="1" x14ac:dyDescent="0.2">
      <c r="B51" s="362"/>
      <c r="C51" s="273">
        <f>IF($C$47&gt;0,$C$47,IF($C$48&gt;0,$C$48,IF($C$49&gt;0,$C$49,IF($C$50&gt;0,$C$50,0))))</f>
        <v>0</v>
      </c>
      <c r="D51" s="21"/>
      <c r="E51" s="155">
        <f>MAX(E47:E50)</f>
        <v>25567</v>
      </c>
      <c r="F51" s="390"/>
      <c r="G51" s="362"/>
      <c r="H51" s="390">
        <f>SUM($F$48:$F$50)</f>
        <v>0</v>
      </c>
      <c r="I51" s="362" t="s">
        <v>743</v>
      </c>
      <c r="J51" s="363">
        <f>SUM(F49:F50)</f>
        <v>0</v>
      </c>
      <c r="K51" s="362"/>
      <c r="L51" s="362"/>
      <c r="M51" s="362"/>
      <c r="N51" s="362"/>
      <c r="O51" s="362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92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2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92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2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ht="15" thickBot="1" x14ac:dyDescent="0.2">
      <c r="A54" s="392"/>
      <c r="B54" s="263" t="s">
        <v>335</v>
      </c>
      <c r="C54" s="744">
        <f>'MTS - MAPA DE TEMPO DE SERVIÇO'!D53</f>
        <v>0</v>
      </c>
      <c r="D54" s="593" t="s">
        <v>336</v>
      </c>
      <c r="E54" s="744">
        <f>'MTS - MAPA DE TEMPO DE SERVIÇO'!G53</f>
        <v>0</v>
      </c>
      <c r="F54" s="745">
        <f>'MTS - MAPA DE TEMPO DE SERVIÇO'!H53</f>
        <v>0</v>
      </c>
      <c r="G54" s="594" t="s">
        <v>337</v>
      </c>
      <c r="H54" s="595"/>
      <c r="I54" s="595"/>
      <c r="J54" s="615">
        <f>'MTS - MAPA DE TEMPO DE SERVIÇO'!K34</f>
        <v>0</v>
      </c>
      <c r="K54" s="215"/>
      <c r="L54" s="215" t="s">
        <v>524</v>
      </c>
      <c r="M54" s="595"/>
      <c r="N54" s="746">
        <f>'MTS - MAPA DE TEMPO DE SERVIÇO'!O34</f>
        <v>0</v>
      </c>
      <c r="O54" s="2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ht="15" thickBot="1" x14ac:dyDescent="0.2">
      <c r="A55" s="392"/>
      <c r="B55" s="596" t="s">
        <v>338</v>
      </c>
      <c r="C55" s="744">
        <f>'MTS - MAPA DE TEMPO DE SERVIÇO'!D54</f>
        <v>0</v>
      </c>
      <c r="D55" s="170" t="s">
        <v>336</v>
      </c>
      <c r="E55" s="744">
        <f>'MTS - MAPA DE TEMPO DE SERVIÇO'!G54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'MTS - MAPA DE TEMPO DE SERVIÇO'!K35</f>
        <v>0</v>
      </c>
      <c r="K55" s="150"/>
      <c r="L55" s="150"/>
      <c r="M55" s="276"/>
      <c r="N55" s="597"/>
      <c r="O55" s="2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ht="15" thickBot="1" x14ac:dyDescent="0.2">
      <c r="A56" s="392"/>
      <c r="B56" s="596" t="s">
        <v>606</v>
      </c>
      <c r="C56" s="744">
        <f>'MTS - MAPA DE TEMPO DE SERVIÇO'!D55</f>
        <v>0</v>
      </c>
      <c r="D56" s="170" t="s">
        <v>336</v>
      </c>
      <c r="E56" s="744">
        <f>'MTS - MAPA DE TEMPO DE SERVIÇO'!G55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'MTS - MAPA DE TEMPO DE SERVIÇO'!K36</f>
        <v>0</v>
      </c>
      <c r="K56" s="150"/>
      <c r="L56" s="150"/>
      <c r="M56" s="276"/>
      <c r="N56" s="597"/>
      <c r="O56" s="2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92"/>
      <c r="B57" s="598" t="s">
        <v>606</v>
      </c>
      <c r="C57" s="744">
        <f>'MTS - MAPA DE TEMPO DE SERVIÇO'!D56</f>
        <v>0</v>
      </c>
      <c r="D57" s="599" t="s">
        <v>336</v>
      </c>
      <c r="E57" s="1275">
        <f>'MTS - MAPA DE TEMPO DE SERVIÇO'!G56</f>
        <v>0</v>
      </c>
      <c r="F57" s="600">
        <f>'MTS - MAPA DE TEMPO DE SERVIÇO'!H56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IF(AND('MTS - MAPA DE TEMPO DE SERVIÇO'!H58&lt;&gt;0,'MTS - MAPA DE TEMPO DE SERVIÇO'!N51="SIM"),'MTS - MAPA DE TEMPO DE SERVIÇO'!H57,'MTS - MAPA DE TEMPO DE SERVIÇO'!H57+'MTS - MAPA DE TEMPO DE SERVIÇO'!H58)</f>
        <v>0</v>
      </c>
      <c r="O57" s="1044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18" customHeight="1" thickBot="1" x14ac:dyDescent="0.2">
      <c r="B58" s="685"/>
      <c r="C58" s="277" t="str">
        <f>IF(C54&gt;0,C54,IF(C55&gt;0,C55,IF(C56&gt;0,C56,IF(C57&gt;0,C57,"REVER"))))</f>
        <v>REVER</v>
      </c>
      <c r="D58" s="22"/>
      <c r="E58" s="1210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2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92">
        <f>IF(OR(C59="REVER",E59="REVER"),IF(F54&lt;&gt;0,F54,SUM(F54:F57)),SUM(F54:F57))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3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17.25" customHeight="1" thickBot="1" x14ac:dyDescent="0.2"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369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40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2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40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960" t="str">
        <f>IF($E$2=$B$117,"NÃO CABE",IF($E$2=$B$119,"NÃO CABE",IF($E$2=$B$120,"NÃO CABE",IF($E$2=$B$121,"NÃO CABE",IF($C$65&gt;0,$C$65,"NADA A CUMPRIR")))))</f>
        <v>NADA A CUMPRIR</v>
      </c>
      <c r="D64" s="961"/>
      <c r="E64" s="962"/>
      <c r="F64" s="963"/>
      <c r="G64" s="198"/>
      <c r="H64" s="201">
        <f>IF($C$64="NÃO CABE",0,IF($C$65&gt;0,ROUNDDOWN($C$65/365,0),0))</f>
        <v>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368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968"/>
      <c r="C65" s="1184">
        <f>VLOOKUP(K2,P86:AF93,2,FALSE)</f>
        <v>0</v>
      </c>
      <c r="D65" s="205"/>
      <c r="E65" s="1190" t="e">
        <f>VLOOKUP(K2,P86:AF93,17,FALSE)</f>
        <v>#VALUE!</v>
      </c>
      <c r="F65" s="1192"/>
      <c r="G65" s="205"/>
      <c r="H65" s="207">
        <f>IF($C$64="NÃO CABE",0,IF($C$65&gt;0,ROUNDDOWN($C$65/365,0),0))</f>
        <v>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370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30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419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371">
        <f>IF($O$10&lt;$D$156,VLOOKUP($E$6,$B$157:$Q$254,3,FALSE),IF($O$10&lt;$E$156,VLOOKUP($E$6,$B$157:$Q$254,4,FALSE),VLOOKUP($E$6,$B$157:$Q$254,5,FALSE)))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A68" s="295"/>
      <c r="B68" s="219" t="s">
        <v>544</v>
      </c>
      <c r="C68" s="29" t="str">
        <f>IF(N8=0,"FALTA DATA",IF(N8&gt;=Q14,"APÓS CF/88: CONCURSO?","ANTERIOR CF/88"))</f>
        <v>FALTA DATA</v>
      </c>
      <c r="D68" s="227"/>
      <c r="E68" s="232"/>
      <c r="F68" s="72"/>
      <c r="G68" s="228"/>
      <c r="H68" s="153"/>
      <c r="I68" s="153"/>
      <c r="J68" s="5"/>
      <c r="K68" s="153" t="s">
        <v>755</v>
      </c>
      <c r="L68" s="5"/>
      <c r="M68" s="5"/>
      <c r="N68" s="940" t="str">
        <f>IF($K$2=$O$3,$Q$4,IF($K$2=$O$4,$R$4,IF($K$2=$O$5,$T$4,IF($K$2=$O$6,$S$4,IF($K$2=$O$7,$U$4,"NÃO CABE")))))</f>
        <v>NÃO CABE</v>
      </c>
      <c r="O68" s="362" t="str">
        <f>VLOOKUP($E$6,$B$157:$C$254,2,FALSE)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/>
      <c r="C69" s="235">
        <f>IF(OR($J$8=0,$J$9=0),0,IF(OR($J$8&lt;$N$8,$J$9&lt;$N$8),"REVER INÍCIO DE CARGO E/OU CARREIRA","INÍCIO DE CARGO E/OU CARREIRA - OK"))</f>
        <v>0</v>
      </c>
      <c r="D69" s="227"/>
      <c r="E69" s="232"/>
      <c r="F69" s="72"/>
      <c r="G69" s="228"/>
      <c r="H69" s="153"/>
      <c r="I69" s="153"/>
      <c r="J69" s="5"/>
      <c r="K69" s="153" t="s">
        <v>756</v>
      </c>
      <c r="L69" s="5"/>
      <c r="M69" s="5"/>
      <c r="N69" s="940" t="str">
        <f>IF($K$2=$O$6,S6,IF($K$2=$O$7,$U$6,"NÃO CABE"))</f>
        <v>NÃO CABE</v>
      </c>
      <c r="O69" s="371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111</v>
      </c>
      <c r="C70" s="150"/>
      <c r="D70" s="227"/>
      <c r="E70" s="29" t="b">
        <f>IF($E$2=$L$136,$O$136,IF($E$2=$L$137,$O$137,IF($E$2=$L$138,$O$138,IF($E$2=$L$139,$O$139,IF($E$2=$L$140,$O$140,$O$141)))))</f>
        <v>0</v>
      </c>
      <c r="F70" s="150"/>
      <c r="G70" s="228"/>
      <c r="H70" s="150"/>
      <c r="I70" s="229"/>
      <c r="J70" s="230"/>
      <c r="K70" s="153" t="s">
        <v>757</v>
      </c>
      <c r="L70" s="5"/>
      <c r="M70" s="5"/>
      <c r="N70" s="941" t="str">
        <f>IF($K$2=$O$3,$Q$7,IF($K$2=$O$6,$S$7,IF($K$2=$O$7,$U$7,$O$76)))</f>
        <v>OK</v>
      </c>
      <c r="O70" s="372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502</v>
      </c>
      <c r="C71" s="29"/>
      <c r="D71" s="227"/>
      <c r="E71" s="232"/>
      <c r="F71" s="72" t="str">
        <f>C64</f>
        <v>NADA A CUMPRIR</v>
      </c>
      <c r="G71" s="228"/>
      <c r="H71" s="153"/>
      <c r="I71" s="153"/>
      <c r="J71" s="153" t="s">
        <v>333</v>
      </c>
      <c r="K71" s="5"/>
      <c r="L71" s="5"/>
      <c r="M71" s="5"/>
      <c r="N71" s="577"/>
      <c r="O71" s="362"/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360</v>
      </c>
      <c r="C72" s="45"/>
      <c r="D72" s="45"/>
      <c r="E72" s="220" t="e">
        <f>IF($BC$115&lt;=$BC$113,VLOOKUP($C$8,$BB$116:$BH$155,2,FALSE),IF($BC$115&lt;=$BD$113,VLOOKUP($C$8,$BB$116:$BH$155,3,FALSE),IF($BC$115&lt;=$BE$113,VLOOKUP($C$8,$BB$116:$BH$155,4,FALSE),IF($BC$115&lt;=$BF$113,VLOOKUP($C$8,$BB$116:$BH$155,5,FALSE),IF($BC$115&lt;=$BG$113,VLOOKUP($C$8,$BB$116:$BH$155,6,FALSE),VLOOKUP($C$8,$BB$116:$BH$155,7,FALSE))))))</f>
        <v>#REF!</v>
      </c>
      <c r="F72" s="150"/>
      <c r="G72" s="150"/>
      <c r="H72" s="150"/>
      <c r="I72" s="221"/>
      <c r="J72" s="222" t="e">
        <f>IF(#REF!&lt;=$BC$113,VLOOKUP($C$8,$BB$116:$BH$155,2,FALSE),IF(#REF!&lt;=$BD$113,VLOOKUP($C$8,$BB$116:$BH$155,3,FALSE),IF(#REF!&lt;=$BE$113,VLOOKUP($C$8,$BB$116:$BH$155,4,FALSE),IF(#REF!&lt;=$BF$113,VLOOKUP($C$8,$BB$116:$BH$155,5,FALSE),IF(#REF!&lt;=$BG$113,VLOOKUP($C$8,$BB$116:$BH$155,6,FALSE),VLOOKUP($C$8,$BB$116:$BH$155,7,FALSE))))))</f>
        <v>#REF!</v>
      </c>
      <c r="K72" s="150"/>
      <c r="L72" s="150"/>
      <c r="M72" s="5"/>
      <c r="N72" s="577"/>
      <c r="O72" s="972" t="s">
        <v>809</v>
      </c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400" t="s">
        <v>745</v>
      </c>
      <c r="C73" s="9"/>
      <c r="D73" s="401" t="str">
        <f>IF($K$2=$O$2,VLOOKUP($E$2,$BN$7:$BU$16,8,FALSE),IF($K$2=$O$6,VLOOKUP($E$2,$BN$7:$BU$16,3,FALSE),IF($K$2=$O$4,VLOOKUP($E$2,$BN$7:$BU$16,5,FALSE),IF($K$2=$O$7,VLOOKUP($E$2,$BN$7:$BU$16,6,FALSE),IF($K$2=$O$3,IF($D$14="X",VLOOKUP($E$2,$BN$7:$BU$16,4,FALSE),IF($G$14="X",VLOOKUP($E$2,$BN$7:$BU$16,2,FALSE),"REVER FUNDAMENTAÇÃO E/OU MODALIDADE")),IF(AND($K$2=$O$5,$D$12="X"),VLOOKUP($O$8,$BN$7:$BU$16,7,FALSE),IF($K$2=$O$5,VLOOKUP($E$2,$BN$7:$BU$16,7,FALSE),"REVER FUNDAMENTAÇÃO E/OU MODALIDADE")))))))</f>
        <v>REVER FUNDAMENTAÇÃO E/OU MODALIDADE</v>
      </c>
      <c r="E73" s="5"/>
      <c r="F73" s="11"/>
      <c r="G73" s="5"/>
      <c r="H73" s="5"/>
      <c r="I73" s="5"/>
      <c r="J73" s="5"/>
      <c r="K73" s="150"/>
      <c r="L73" s="150"/>
      <c r="M73" s="234"/>
      <c r="N73" s="578"/>
      <c r="O73" s="974" t="e">
        <f>IF($O$75=$O$2,VLOOKUP($O$74,$BN$7:$BU$16,8,FALSE),IF($O$75=$O$6,VLOOKUP($O$74,$BN$7:$BU$16,3,FALSE),IF($O$75=$O$4,VLOOKUP($O$74,$BN$7:$BU$16,5,FALSE),IF($O$75=$O$7,VLOOKUP($O$74,$BN$7:$BU$16,6,FALSE),IF($O$75=$O$3,IF($D$14="X",VLOOKUP($O$74,$BN$7:$BU$16,4,FALSE),IF($G$14="X",VLOOKUP($O$74,$BN$7:$BU$16,2,FALSE),"REVER FUNDAMENTAÇÃO E/OU MODALIDADE")),IF(AND($O$75=$O$5,$D$12="X"),VLOOKUP($O$8,$BN$7:$BU$16,7,FALSE),IF($O$75=$O$5,VLOOKUP($O$74,$BN$7:$BU$16,7,FALSE),"REVER FUNDAMENTAÇÃO E/OU MODALIDADE")))))))</f>
        <v>#N/A</v>
      </c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ht="15" thickBot="1" x14ac:dyDescent="0.2">
      <c r="A74" s="295"/>
      <c r="B74" s="812" t="s">
        <v>152</v>
      </c>
      <c r="C74" s="9"/>
      <c r="D74" s="401"/>
      <c r="E74" s="5"/>
      <c r="F74" s="11"/>
      <c r="G74" s="5"/>
      <c r="H74" s="5"/>
      <c r="I74" s="5" t="str">
        <f>AB22</f>
        <v>NÃO SATISFAZ TEMPO DE CONTRIBUIÇÃO E/OU IDADE</v>
      </c>
      <c r="J74" s="5"/>
      <c r="K74" s="150"/>
      <c r="L74" s="150"/>
      <c r="M74" s="234"/>
      <c r="N74" s="578"/>
      <c r="O74" s="362" t="e">
        <f>'RESUMO CONCLUSIVO'!B77</f>
        <v>#N/A</v>
      </c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5"/>
      <c r="AT74" s="5"/>
      <c r="AU74" s="5"/>
      <c r="AV74" s="5"/>
      <c r="AW74" s="5"/>
      <c r="AX74" s="5"/>
      <c r="AY74" s="5"/>
      <c r="AZ74" s="11"/>
      <c r="BA74" s="84"/>
    </row>
    <row r="75" spans="1:53" ht="15" thickBot="1" x14ac:dyDescent="0.2">
      <c r="A75" s="295"/>
      <c r="B75" s="1840" t="s">
        <v>746</v>
      </c>
      <c r="C75" s="1841"/>
      <c r="D75" s="1841"/>
      <c r="E75" s="1841"/>
      <c r="F75" s="1841"/>
      <c r="G75" s="1841"/>
      <c r="H75" s="1841"/>
      <c r="I75" s="1841"/>
      <c r="J75" s="1842"/>
      <c r="K75" s="150" t="s">
        <v>448</v>
      </c>
      <c r="L75" s="153"/>
      <c r="M75" s="150"/>
      <c r="N75" s="223" t="str">
        <f>IF($K$2=$O$2,J127,IF($K$2=$O$3,J128,IF($K$2=$O$4,J129,IF($K$2=$O$5,J130,"NÃO CABE"))))</f>
        <v>NÃO CABE</v>
      </c>
      <c r="O75" s="362" t="e">
        <f>'RESUMO CONCLUSIVO'!B79</f>
        <v>#N/A</v>
      </c>
      <c r="P75" s="129" t="s">
        <v>359</v>
      </c>
      <c r="Q75" s="130"/>
      <c r="R75" s="131"/>
      <c r="S75" s="132">
        <f>IF(ISERROR(HLOOKUP($J$202,$Q$73:$W$74,2)),0,HLOOKUP($J$202,$Q$73:$W$74,2))</f>
        <v>0</v>
      </c>
      <c r="T75" s="133" t="s">
        <v>451</v>
      </c>
      <c r="U75" s="132"/>
      <c r="V75" s="133"/>
      <c r="W75" s="132">
        <f>IF(ISERROR(HLOOKUP($K$202,$Q$73:$W$74,2)),0,HLOOKUP($K$202,$Q$73:$W$74,2))</f>
        <v>0</v>
      </c>
      <c r="X75" s="134" t="s">
        <v>507</v>
      </c>
      <c r="Y75" s="135"/>
      <c r="Z75" s="136"/>
      <c r="AA75" s="134"/>
      <c r="AB75" s="137">
        <f>IF(ISERROR(HLOOKUP($L$202,$Q$73:$W$74,2)),0,HLOOKUP($L$202,$Q$73:$W$74,2))</f>
        <v>0</v>
      </c>
      <c r="AC75" s="69"/>
      <c r="AD75" s="21"/>
      <c r="AE75" s="21"/>
      <c r="AF75" s="21"/>
      <c r="AS75" s="26"/>
      <c r="AT75" s="26"/>
      <c r="AU75" s="26"/>
      <c r="AV75" s="26"/>
      <c r="AW75" s="26"/>
      <c r="AX75" s="26"/>
      <c r="AY75" s="26"/>
      <c r="AZ75" s="11"/>
      <c r="BA75" s="85"/>
    </row>
    <row r="76" spans="1:53" ht="15" thickBot="1" x14ac:dyDescent="0.2">
      <c r="A76" s="295"/>
      <c r="B76" s="402" t="s">
        <v>454</v>
      </c>
      <c r="C76" s="1875" t="s">
        <v>747</v>
      </c>
      <c r="D76" s="1876"/>
      <c r="E76" s="1877"/>
      <c r="F76" s="1873" t="s">
        <v>748</v>
      </c>
      <c r="G76" s="1874"/>
      <c r="H76" s="403" t="s">
        <v>657</v>
      </c>
      <c r="I76" s="404" t="s">
        <v>501</v>
      </c>
      <c r="J76" s="404" t="s">
        <v>749</v>
      </c>
      <c r="K76" s="153" t="s">
        <v>513</v>
      </c>
      <c r="L76" s="150"/>
      <c r="M76" s="150"/>
      <c r="N76" s="225">
        <f>IF(N75="NÃO CABE",0,N75)</f>
        <v>0</v>
      </c>
      <c r="O76" s="3" t="str">
        <f>IF($K$2=$O$2,IF($O$10&lt;$Q$15,IF($F$71&lt;180,"NÃO CABE",$O$77),$O$77),$O$77)</f>
        <v>OK</v>
      </c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53" x14ac:dyDescent="0.15">
      <c r="A77" s="295" t="str">
        <f>IF(C77=0,"",A96)</f>
        <v/>
      </c>
      <c r="B77" s="405">
        <f t="shared" ref="B77:B92" si="5">IF(A96="SIM",B96,0)</f>
        <v>0</v>
      </c>
      <c r="C77" s="1818">
        <f t="shared" ref="C77:C92" si="6">IF(A96="SIM",C96,0)</f>
        <v>0</v>
      </c>
      <c r="D77" s="1819"/>
      <c r="E77" s="1820"/>
      <c r="F77" s="1846">
        <f t="shared" ref="F77:F92" si="7">IF(C77=C96,G96,IF(C77=C97,G97,IF(C77=C98,G98,IF(C77=C99,G99,IF(C77=C100,G100,0)))))</f>
        <v>0</v>
      </c>
      <c r="G77" s="1847"/>
      <c r="H77" s="406" t="e">
        <f>IF(A77="NÃO",0,VLOOKUP(C77,C96:$M$111,4,FALSE))</f>
        <v>#N/A</v>
      </c>
      <c r="I77" s="407" t="e">
        <f>IF(A77="NÃO","NÃO",VLOOKUP(C77,C96:$M$111,3,FALSE))</f>
        <v>#N/A</v>
      </c>
      <c r="J77" s="407" t="e">
        <f>IF(A77="NÃO","NÃO",VLOOKUP(C77,C96:$M$111,6,FALSE))</f>
        <v>#N/A</v>
      </c>
      <c r="K77" s="150" t="s">
        <v>511</v>
      </c>
      <c r="L77" s="153"/>
      <c r="M77" s="150"/>
      <c r="N77" s="226" t="str">
        <f>IF(K2=O3,IF(M129&gt;=N129,N128,"NÃO CABE"),"NÃO CABE")</f>
        <v>NÃO CABE</v>
      </c>
      <c r="O77" s="2" t="str">
        <f>IF($F$71="NADA A CUMPRIR","OK",IF($F$71="NÃO CABE","NÃO CABE",IF(AND(K2=O3,OR(E2=B118,E2=B119,E2=B120,E2=B121)),"NÃO CABE","NÃO CUMPRE")))</f>
        <v>OK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53" x14ac:dyDescent="0.15">
      <c r="A78" s="295" t="str">
        <f t="shared" ref="A78:A92" si="8">IF(C78=0,"",A97)</f>
        <v/>
      </c>
      <c r="B78" s="408">
        <f t="shared" si="5"/>
        <v>0</v>
      </c>
      <c r="C78" s="1813">
        <f t="shared" si="6"/>
        <v>0</v>
      </c>
      <c r="D78" s="1814"/>
      <c r="E78" s="1815"/>
      <c r="F78" s="1833">
        <f t="shared" si="7"/>
        <v>0</v>
      </c>
      <c r="G78" s="1834"/>
      <c r="H78" s="409" t="e">
        <f>IF(A78="NÃO",0,VLOOKUP(C78,C97:$M$111,4,FALSE))</f>
        <v>#N/A</v>
      </c>
      <c r="I78" s="410" t="e">
        <f>IF(A78="NÃO","NÃO",VLOOKUP(C78,C97:$M$111,3,FALSE))</f>
        <v>#N/A</v>
      </c>
      <c r="J78" s="407" t="e">
        <f>IF(A78="NÃO","NÃO",VLOOKUP(C78,C97:$M$111,6,FALSE))</f>
        <v>#N/A</v>
      </c>
      <c r="K78" s="153" t="s">
        <v>512</v>
      </c>
      <c r="L78" s="150"/>
      <c r="M78" s="150"/>
      <c r="N78" s="225">
        <f>IF(N77="NÃO CABE",0,N77)</f>
        <v>0</v>
      </c>
      <c r="O78" s="3"/>
      <c r="P78" s="117" t="s">
        <v>605</v>
      </c>
      <c r="Q78" s="118">
        <v>5</v>
      </c>
      <c r="R78" s="118">
        <v>10</v>
      </c>
      <c r="S78" s="118">
        <v>15</v>
      </c>
      <c r="T78" s="118">
        <v>20</v>
      </c>
      <c r="U78" s="118">
        <v>25</v>
      </c>
      <c r="V78" s="118">
        <v>30</v>
      </c>
      <c r="W78" s="118">
        <v>35</v>
      </c>
      <c r="X78" s="118">
        <v>40</v>
      </c>
      <c r="Y78" s="118">
        <v>45</v>
      </c>
      <c r="Z78" s="118">
        <v>50</v>
      </c>
      <c r="AA78" s="118">
        <v>55</v>
      </c>
      <c r="AB78" s="127">
        <v>60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53" ht="13.5" x14ac:dyDescent="0.15">
      <c r="A79" s="295" t="str">
        <f t="shared" si="8"/>
        <v/>
      </c>
      <c r="B79" s="408">
        <f t="shared" si="5"/>
        <v>0</v>
      </c>
      <c r="C79" s="1813">
        <f t="shared" si="6"/>
        <v>0</v>
      </c>
      <c r="D79" s="1814"/>
      <c r="E79" s="1815"/>
      <c r="F79" s="1833">
        <f t="shared" si="7"/>
        <v>0</v>
      </c>
      <c r="G79" s="1834"/>
      <c r="H79" s="409" t="e">
        <f>IF(A79="NÃO",0,VLOOKUP(C79,C98:$M$111,4,FALSE))</f>
        <v>#N/A</v>
      </c>
      <c r="I79" s="410" t="e">
        <f>IF(A79="NÃO","NÃO",VLOOKUP(C79,C98:$M$111,3,FALSE))</f>
        <v>#N/A</v>
      </c>
      <c r="J79" s="407" t="e">
        <f>IF(A79="NÃO","NÃO",VLOOKUP(C79,C98:$M$111,6,FALSE))</f>
        <v>#N/A</v>
      </c>
      <c r="K79" s="5"/>
      <c r="L79" s="5"/>
      <c r="M79" s="5"/>
      <c r="N79" s="577"/>
      <c r="O79" s="1172" t="s">
        <v>469</v>
      </c>
      <c r="P79" s="124" t="s">
        <v>351</v>
      </c>
      <c r="Q79" s="125">
        <v>0.1</v>
      </c>
      <c r="R79" s="125">
        <v>0.2</v>
      </c>
      <c r="S79" s="125">
        <v>0.3</v>
      </c>
      <c r="T79" s="125">
        <v>0.4</v>
      </c>
      <c r="U79" s="125">
        <v>0.5</v>
      </c>
      <c r="V79" s="125">
        <v>0.6</v>
      </c>
      <c r="W79" s="125">
        <v>0.7</v>
      </c>
      <c r="X79" s="125">
        <v>0.8</v>
      </c>
      <c r="Y79" s="125">
        <v>0.9</v>
      </c>
      <c r="Z79" s="125">
        <v>1</v>
      </c>
      <c r="AA79" s="125">
        <v>1.1000000000000001</v>
      </c>
      <c r="AB79" s="126">
        <v>1.2</v>
      </c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53" ht="13.5" x14ac:dyDescent="0.15">
      <c r="A80" s="295" t="str">
        <f t="shared" si="8"/>
        <v/>
      </c>
      <c r="B80" s="408">
        <f t="shared" si="5"/>
        <v>0</v>
      </c>
      <c r="C80" s="1813">
        <f t="shared" si="6"/>
        <v>0</v>
      </c>
      <c r="D80" s="1814"/>
      <c r="E80" s="1815"/>
      <c r="F80" s="1833">
        <f t="shared" si="7"/>
        <v>0</v>
      </c>
      <c r="G80" s="1834"/>
      <c r="H80" s="409" t="e">
        <f>IF(A80="NÃO",0,VLOOKUP(C80,C99:$M$111,4,FALSE))</f>
        <v>#N/A</v>
      </c>
      <c r="I80" s="410" t="e">
        <f>IF(A80="NÃO","NÃO",VLOOKUP(C80,C99:$M$111,3,FALSE))</f>
        <v>#N/A</v>
      </c>
      <c r="J80" s="407" t="e">
        <f>IF(A80="NÃO","NÃO",VLOOKUP(C80,C99:$M$111,6,FALSE))</f>
        <v>#N/A</v>
      </c>
      <c r="K80" s="5"/>
      <c r="L80" s="5"/>
      <c r="M80" s="5"/>
      <c r="N80" s="577"/>
      <c r="O80" s="3">
        <f>IF(E6=CRÍTICA_IGP1!B208,IF(E33=0,0,E33*4*90),IF(AND(E6=B208,D12="X",E33&lt;&gt;0),E33*2*180,0))</f>
        <v>0</v>
      </c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53" ht="13.5" x14ac:dyDescent="0.15">
      <c r="A81" s="295" t="str">
        <f t="shared" si="8"/>
        <v/>
      </c>
      <c r="B81" s="408">
        <f t="shared" si="5"/>
        <v>0</v>
      </c>
      <c r="C81" s="1813">
        <f t="shared" si="6"/>
        <v>0</v>
      </c>
      <c r="D81" s="1814"/>
      <c r="E81" s="1815"/>
      <c r="F81" s="1833">
        <f t="shared" si="7"/>
        <v>0</v>
      </c>
      <c r="G81" s="1834"/>
      <c r="H81" s="409" t="e">
        <f>IF(A81="NÃO",0,VLOOKUP(C81,C100:$M$111,4,FALSE))</f>
        <v>#N/A</v>
      </c>
      <c r="I81" s="410" t="e">
        <f>IF(A81="NÃO","NÃO",VLOOKUP(C81,C100:$M$111,3,FALSE))</f>
        <v>#N/A</v>
      </c>
      <c r="J81" s="407" t="e">
        <f>IF(A81="NÃO","NÃO",VLOOKUP(C81,C100:$M$111,6,FALSE))</f>
        <v>#N/A</v>
      </c>
      <c r="K81" s="5"/>
      <c r="L81" s="5"/>
      <c r="M81" s="5"/>
      <c r="N81" s="577"/>
      <c r="O81" s="3"/>
      <c r="P81" s="117" t="s">
        <v>605</v>
      </c>
      <c r="Q81" s="118">
        <v>5</v>
      </c>
      <c r="R81" s="118">
        <v>10</v>
      </c>
      <c r="S81" s="118">
        <v>15</v>
      </c>
      <c r="T81" s="118">
        <v>20</v>
      </c>
      <c r="U81" s="118">
        <v>25</v>
      </c>
      <c r="V81" s="118">
        <v>30</v>
      </c>
      <c r="W81" s="127">
        <v>35</v>
      </c>
      <c r="X81" s="5"/>
      <c r="Y81" s="5"/>
      <c r="Z81" s="5"/>
      <c r="AA81" s="5"/>
      <c r="AB81" s="5"/>
      <c r="AC81" s="7"/>
      <c r="AD81" s="70"/>
      <c r="AE81" s="70"/>
      <c r="AF81" s="70"/>
      <c r="AG81" s="69"/>
      <c r="AX81" s="11"/>
      <c r="AY81" s="11"/>
      <c r="AZ81" s="11"/>
      <c r="BA81" s="85"/>
    </row>
    <row r="82" spans="1:53" x14ac:dyDescent="0.15">
      <c r="A82" s="295" t="str">
        <f t="shared" si="8"/>
        <v/>
      </c>
      <c r="B82" s="408">
        <f t="shared" si="5"/>
        <v>0</v>
      </c>
      <c r="C82" s="1813">
        <f t="shared" si="6"/>
        <v>0</v>
      </c>
      <c r="D82" s="1814"/>
      <c r="E82" s="1815"/>
      <c r="F82" s="1833">
        <f t="shared" si="7"/>
        <v>0</v>
      </c>
      <c r="G82" s="1834"/>
      <c r="H82" s="409" t="e">
        <f>IF(A82="NÃO",0,VLOOKUP(C82,C101:$M$111,4,FALSE))</f>
        <v>#N/A</v>
      </c>
      <c r="I82" s="410" t="e">
        <f>IF(A82="NÃO","NÃO",VLOOKUP(C82,C101:$M$111,3,FALSE))</f>
        <v>#N/A</v>
      </c>
      <c r="J82" s="407" t="e">
        <f>IF(A82="NÃO","NÃO",VLOOKUP(C82,C101:$M$111,6,FALSE))</f>
        <v>#N/A</v>
      </c>
      <c r="K82" s="150"/>
      <c r="L82" s="153"/>
      <c r="M82" s="153"/>
      <c r="N82" s="233"/>
      <c r="O82" s="3"/>
      <c r="P82" s="124" t="s">
        <v>351</v>
      </c>
      <c r="Q82" s="125">
        <v>0.1</v>
      </c>
      <c r="R82" s="125">
        <v>0.15</v>
      </c>
      <c r="S82" s="125">
        <v>0.2</v>
      </c>
      <c r="T82" s="125">
        <v>0.25</v>
      </c>
      <c r="U82" s="125">
        <v>0.3</v>
      </c>
      <c r="V82" s="125">
        <v>0.35</v>
      </c>
      <c r="W82" s="126">
        <v>0.4</v>
      </c>
      <c r="X82" s="26"/>
      <c r="Y82" s="26"/>
      <c r="Z82" s="26"/>
      <c r="AA82" s="26"/>
      <c r="AB82" s="26"/>
      <c r="AC82" s="7"/>
      <c r="AD82" s="70"/>
      <c r="AE82" s="70"/>
      <c r="AF82" s="70"/>
      <c r="AG82" s="69"/>
      <c r="AX82" s="11"/>
      <c r="AY82" s="11"/>
      <c r="AZ82" s="11"/>
      <c r="BA82" s="85"/>
    </row>
    <row r="83" spans="1:53" ht="15" thickBot="1" x14ac:dyDescent="0.2">
      <c r="A83" s="295" t="str">
        <f t="shared" si="8"/>
        <v/>
      </c>
      <c r="B83" s="408">
        <f t="shared" si="5"/>
        <v>0</v>
      </c>
      <c r="C83" s="1813">
        <f t="shared" si="6"/>
        <v>0</v>
      </c>
      <c r="D83" s="1814"/>
      <c r="E83" s="1815"/>
      <c r="F83" s="1833">
        <f t="shared" si="7"/>
        <v>0</v>
      </c>
      <c r="G83" s="1834"/>
      <c r="H83" s="409" t="e">
        <f>IF(A83="NÃO",0,VLOOKUP(C83,C102:$M$111,4,FALSE))</f>
        <v>#N/A</v>
      </c>
      <c r="I83" s="410" t="e">
        <f>IF(A83="NÃO","NÃO",VLOOKUP(C83,C102:$M$111,3,FALSE))</f>
        <v>#N/A</v>
      </c>
      <c r="J83" s="407" t="e">
        <f>IF(A83="NÃO","NÃO",VLOOKUP(C83,C102:$M$111,6,FALSE))</f>
        <v>#N/A</v>
      </c>
      <c r="K83" s="150"/>
      <c r="L83" s="150"/>
      <c r="M83" s="234"/>
      <c r="N83" s="578"/>
      <c r="O83" s="3"/>
      <c r="P83" s="28"/>
      <c r="Q83" s="8"/>
      <c r="R83" s="5"/>
      <c r="S83" s="27"/>
      <c r="T83" s="28"/>
      <c r="U83" s="27"/>
      <c r="V83" s="28"/>
      <c r="W83" s="27"/>
      <c r="X83" s="114"/>
      <c r="Y83" s="100"/>
      <c r="Z83" s="115"/>
      <c r="AA83" s="114"/>
      <c r="AB83" s="114"/>
      <c r="AC83" s="7"/>
      <c r="AD83" s="70"/>
      <c r="AE83" s="70"/>
      <c r="AF83" s="70"/>
      <c r="AG83" s="69"/>
      <c r="AX83" s="11"/>
      <c r="AY83" s="11"/>
      <c r="AZ83" s="11"/>
      <c r="BA83" s="85"/>
    </row>
    <row r="84" spans="1:53" ht="15" thickBot="1" x14ac:dyDescent="0.2">
      <c r="A84" s="295" t="str">
        <f t="shared" si="8"/>
        <v/>
      </c>
      <c r="B84" s="408">
        <f t="shared" si="5"/>
        <v>0</v>
      </c>
      <c r="C84" s="1813">
        <f t="shared" si="6"/>
        <v>0</v>
      </c>
      <c r="D84" s="1814"/>
      <c r="E84" s="1815"/>
      <c r="F84" s="1833">
        <f t="shared" si="7"/>
        <v>0</v>
      </c>
      <c r="G84" s="1834"/>
      <c r="H84" s="409" t="e">
        <f>IF(A84="NÃO",0,VLOOKUP(C84,C103:$M$111,4,FALSE))</f>
        <v>#N/A</v>
      </c>
      <c r="I84" s="410" t="e">
        <f>IF(A84="NÃO","NÃO",VLOOKUP(C84,C103:$M$111,3,FALSE))</f>
        <v>#N/A</v>
      </c>
      <c r="J84" s="407" t="e">
        <f>IF(A84="NÃO","NÃO",VLOOKUP(C84,C103:$M$111,6,FALSE))</f>
        <v>#N/A</v>
      </c>
      <c r="K84" s="150"/>
      <c r="L84" s="150"/>
      <c r="M84" s="234"/>
      <c r="N84" s="578"/>
      <c r="O84" s="3"/>
      <c r="P84" s="1538" t="s">
        <v>245</v>
      </c>
      <c r="Q84" s="1539"/>
      <c r="R84" s="1539"/>
      <c r="S84" s="1539"/>
      <c r="T84" s="1539"/>
      <c r="U84" s="1807"/>
      <c r="V84" s="1538" t="s">
        <v>246</v>
      </c>
      <c r="W84" s="1539"/>
      <c r="X84" s="1539"/>
      <c r="Y84" s="1539"/>
      <c r="Z84" s="1807"/>
      <c r="AA84" s="1792" t="s">
        <v>247</v>
      </c>
      <c r="AB84" s="1793"/>
      <c r="AC84" s="1793"/>
      <c r="AD84" s="1793"/>
      <c r="AE84" s="1793"/>
      <c r="AF84" s="1187" t="s">
        <v>748</v>
      </c>
      <c r="AX84" s="11"/>
      <c r="AY84" s="11"/>
      <c r="AZ84" s="11"/>
      <c r="BA84" s="85"/>
    </row>
    <row r="85" spans="1:53" ht="15" thickBot="1" x14ac:dyDescent="0.2">
      <c r="A85" s="295" t="str">
        <f t="shared" si="8"/>
        <v/>
      </c>
      <c r="B85" s="408">
        <f t="shared" si="5"/>
        <v>0</v>
      </c>
      <c r="C85" s="1813">
        <f t="shared" si="6"/>
        <v>0</v>
      </c>
      <c r="D85" s="1814"/>
      <c r="E85" s="1815"/>
      <c r="F85" s="1833">
        <f t="shared" si="7"/>
        <v>0</v>
      </c>
      <c r="G85" s="1834"/>
      <c r="H85" s="409" t="e">
        <f>IF(A85="NÃO",0,VLOOKUP(C85,C104:$M$111,4,FALSE))</f>
        <v>#N/A</v>
      </c>
      <c r="I85" s="410" t="e">
        <f>IF(A85="NÃO","NÃO",VLOOKUP(C85,C104:$M$111,3,FALSE))</f>
        <v>#N/A</v>
      </c>
      <c r="J85" s="407" t="e">
        <f>IF(A85="NÃO","NÃO",VLOOKUP(C85,C104:$M$111,6,FALSE))</f>
        <v>#N/A</v>
      </c>
      <c r="K85" s="150"/>
      <c r="L85" s="150"/>
      <c r="M85" s="234"/>
      <c r="N85" s="578"/>
      <c r="O85" s="3"/>
      <c r="P85" s="1222" t="s">
        <v>244</v>
      </c>
      <c r="Q85" s="1183" t="s">
        <v>6</v>
      </c>
      <c r="R85" s="927" t="s">
        <v>529</v>
      </c>
      <c r="S85" s="928" t="s">
        <v>530</v>
      </c>
      <c r="T85" s="919" t="s">
        <v>243</v>
      </c>
      <c r="U85" s="920" t="s">
        <v>501</v>
      </c>
      <c r="V85" s="1183" t="s">
        <v>6</v>
      </c>
      <c r="W85" s="927" t="s">
        <v>529</v>
      </c>
      <c r="X85" s="928" t="s">
        <v>530</v>
      </c>
      <c r="Y85" s="919" t="s">
        <v>243</v>
      </c>
      <c r="Z85" s="920" t="s">
        <v>501</v>
      </c>
      <c r="AA85" s="1183" t="s">
        <v>6</v>
      </c>
      <c r="AB85" s="929" t="s">
        <v>529</v>
      </c>
      <c r="AC85" s="928" t="s">
        <v>530</v>
      </c>
      <c r="AD85" s="919" t="s">
        <v>243</v>
      </c>
      <c r="AE85" s="920" t="s">
        <v>501</v>
      </c>
      <c r="AF85" s="1220" t="s">
        <v>5</v>
      </c>
      <c r="AX85" s="11"/>
      <c r="AY85" s="11"/>
      <c r="AZ85" s="11"/>
      <c r="BA85" s="85"/>
    </row>
    <row r="86" spans="1:53" x14ac:dyDescent="0.15">
      <c r="A86" s="295" t="str">
        <f t="shared" si="8"/>
        <v/>
      </c>
      <c r="B86" s="408">
        <f t="shared" si="5"/>
        <v>0</v>
      </c>
      <c r="C86" s="1813">
        <f t="shared" si="6"/>
        <v>0</v>
      </c>
      <c r="D86" s="1814"/>
      <c r="E86" s="1815"/>
      <c r="F86" s="1833">
        <f t="shared" si="7"/>
        <v>0</v>
      </c>
      <c r="G86" s="1834"/>
      <c r="H86" s="409" t="e">
        <f>IF(A86="NÃO",0,VLOOKUP(C86,C105:$M$111,4,FALSE))</f>
        <v>#N/A</v>
      </c>
      <c r="I86" s="410" t="e">
        <f>IF(A86="NÃO","NÃO",VLOOKUP(C86,C105:$M$111,3,FALSE))</f>
        <v>#N/A</v>
      </c>
      <c r="J86" s="407" t="e">
        <f>IF(A86="NÃO","NÃO",VLOOKUP(C86,C105:$M$111,6,FALSE))</f>
        <v>#N/A</v>
      </c>
      <c r="K86" s="150"/>
      <c r="L86" s="150"/>
      <c r="M86" s="234"/>
      <c r="N86" s="578"/>
      <c r="O86" s="3"/>
      <c r="P86" s="1223" t="s">
        <v>463</v>
      </c>
      <c r="Q86" s="1181">
        <f>IF($E$2=$B$122,$R$148,$R$147)</f>
        <v>12775</v>
      </c>
      <c r="R86" s="923" t="s">
        <v>537</v>
      </c>
      <c r="S86" s="924" t="s">
        <v>537</v>
      </c>
      <c r="T86" s="910" t="str">
        <f>IF($D$10="x",IF(OR($E$2=$B$115,$E$2=$B$118),IF($F$61&lt;(35*365),(35*365)-$F$61,0),IF(OR($E$2=$B$116,$E$2=$B$122),IF($F$61&lt;(30*365),(30*365)-$F$61,0),"REVER")),IF($G$10="x",IF(OR($E$2=$B$115,$E$2=$B$118),IF($F$61&lt;(30*365),(30*365)-$F$61,0),IF(OR($E$2=$B$116,$E$2=$B$122),IF($F$61&lt;(25*365),(25*365)-$F$61,0),"NÃO CABE")),"REVER FUNDAMENTAÇÃO E/OU MODALIDADE"))</f>
        <v>REVER FUNDAMENTAÇÃO E/OU MODALIDADE</v>
      </c>
      <c r="U86" s="925" t="str">
        <f>IF($E$2=$B$117,IF($D$10="X",IF($O$9&gt;=(65*365+15),0,(65*365+15)-$O$9),IF($G$10="X",IF($O$9&gt;=(60*365+14),0,(60*365+14)-$O$9),"MARQUE O SEXO")),IF(OR($E$2=$B$118,$E$2=$B$119),IF($O$9&gt;=(70*365+18),0,(70*365+18)-$O$9),"REVER FUNDAMENTAÇÃO E/OU MODALIDADE"))</f>
        <v>REVER FUNDAMENTAÇÃO E/OU MODALIDADE</v>
      </c>
      <c r="V86" s="1185">
        <f>ROUNDDOWN($Q$86/365,0)</f>
        <v>35</v>
      </c>
      <c r="W86" s="1231">
        <f>IF($R$86="NÃO CABE",0,ROUNDDOWN($R$86/365,0))</f>
        <v>0</v>
      </c>
      <c r="X86" s="1232">
        <f>IF($S$86="NÃO CABE",0,ROUNDDOWN($S$86/365,0))</f>
        <v>0</v>
      </c>
      <c r="Y86" s="1232">
        <f>IF(OR($T$86="NÃO CABE",$T$86="REVER FUNDAMENTAÇÃO E/OU MODALIDADE",$T$86="REVER"),0,ROUNDDOWN($T$86/365,0))</f>
        <v>0</v>
      </c>
      <c r="Z86" s="1233">
        <f>IF(OR($U$86="NÃO CABE",$U$86="MARQUE O SEXO",$U$86="REVER FUNDAMENTAÇÃO E/OU MODALIDADE"),0,ROUNDDOWN($U$86/365,0))</f>
        <v>0</v>
      </c>
      <c r="AA86" s="1230">
        <f>(($Q$86/365)-$V$86)*365</f>
        <v>0</v>
      </c>
      <c r="AB86" s="923">
        <f>IF($R$86="NÃO CABE",0,(($R$86/365)-$W$86)*365)</f>
        <v>0</v>
      </c>
      <c r="AC86" s="926">
        <f>IF($S$86="NÃO CABE",0,(($S$86/365)-$X$86)*365)</f>
        <v>0</v>
      </c>
      <c r="AD86" s="924" t="e">
        <f>IF(OR($T$86="NÃO CABE",$T$86="REVER"),0,(($T$86/365)-$Y$86)*365)</f>
        <v>#VALUE!</v>
      </c>
      <c r="AE86" s="925">
        <f>IF(OR($U$86="NÃO CABE",$U$86="MARQUE O SEXO",$U$86="REVER FUNDAMENTAÇÃO E/OU MODALIDADE"),0,(($U$86/365)-$Z$86)*365)</f>
        <v>0</v>
      </c>
      <c r="AF86" s="1221" t="e">
        <f>MAX($X$97:$X$101)</f>
        <v>#VALUE!</v>
      </c>
      <c r="AX86" s="11"/>
      <c r="AY86" s="11"/>
      <c r="AZ86" s="11"/>
      <c r="BA86" s="85"/>
    </row>
    <row r="87" spans="1:53" x14ac:dyDescent="0.15">
      <c r="A87" s="295" t="str">
        <f t="shared" si="8"/>
        <v/>
      </c>
      <c r="B87" s="408">
        <f t="shared" si="5"/>
        <v>0</v>
      </c>
      <c r="C87" s="1813">
        <f t="shared" si="6"/>
        <v>0</v>
      </c>
      <c r="D87" s="1814"/>
      <c r="E87" s="1815"/>
      <c r="F87" s="1833">
        <f t="shared" si="7"/>
        <v>0</v>
      </c>
      <c r="G87" s="1834"/>
      <c r="H87" s="409" t="e">
        <f>IF(A87="NÃO",0,VLOOKUP(C87,C106:$M$111,4,FALSE))</f>
        <v>#N/A</v>
      </c>
      <c r="I87" s="410" t="e">
        <f>IF(A87="NÃO","NÃO",VLOOKUP(C87,C106:$M$111,3,FALSE))</f>
        <v>#N/A</v>
      </c>
      <c r="J87" s="407" t="e">
        <f>IF(A87="NÃO","NÃO",VLOOKUP(C87,C106:$M$111,6,FALSE))</f>
        <v>#N/A</v>
      </c>
      <c r="K87" s="150"/>
      <c r="L87" s="150"/>
      <c r="M87" s="234"/>
      <c r="N87" s="578"/>
      <c r="O87" s="3"/>
      <c r="P87" s="1224" t="s">
        <v>485</v>
      </c>
      <c r="Q87" s="1182">
        <f>$Q$146</f>
        <v>12775</v>
      </c>
      <c r="R87" s="921">
        <f>IF($O$13&gt;=(5*365),0,(5*365)-$O$13)</f>
        <v>1825</v>
      </c>
      <c r="S87" s="909" t="s">
        <v>537</v>
      </c>
      <c r="T87" s="909">
        <f>IF($O$15&gt;=(10*365),0,(10*365)-$O$15)</f>
        <v>3650</v>
      </c>
      <c r="U87" s="922" t="str">
        <f>IF($E$2=$B$115,IF($D$10="X",IF($O$9&gt;=(60*365+15),0,(60*365+15)-$O$9),IF($G$10="X",IF($O$9&gt;=(55*365+14),0,(55*365+14)-$O$9),"MARQUE O SEXO")),IF($E$2=$B$116,IF($D$10="X",IF($O$9&gt;=(55*365+14),0,(55*365+14)-O9),IF($G$10="X",IF($O$9&gt;=(50*365+14),0,(50*365+14)-$O$9),"MARQUE O SEXO")),IF($E$2=$B$117,IF($D$10="X",IF($O$9&gt;=(65*365+16),0,(65*365+16)-$O$9),IF($G$10="X",IF($O$9&gt;=(60*365+15),0,(60*365+15)-$O$9),"MARQUE O SEXO")),IF(OR($E$2=$B$118,$E$2=$B$119),IF($O$9&gt;=(70*365+19),0,(70*365+19)-$O$9),"REVER FUNDAMENTAÇÃO E/OU MODALIDADE"))))</f>
        <v>REVER FUNDAMENTAÇÃO E/OU MODALIDADE</v>
      </c>
      <c r="V87" s="1186">
        <f>ROUNDDOWN($Q$87/365,0)</f>
        <v>35</v>
      </c>
      <c r="W87" s="921">
        <f>IF($R$87="NÃO CABE",0,ROUNDDOWN($R$87/365,0))</f>
        <v>5</v>
      </c>
      <c r="X87" s="909">
        <f>IF($S$87="NÃO CABE",0,ROUNDDOWN($S$87/365,0))</f>
        <v>0</v>
      </c>
      <c r="Y87" s="909">
        <f>IF($T$87="NÃO CABE",0,ROUNDDOWN($T$87/365,0))</f>
        <v>10</v>
      </c>
      <c r="Z87" s="922">
        <f>IF(OR($U$87="NÃO CABE",$U$87="MARQUE O SEXO",$U$87="REVER FUNDAMENTAÇÃO E/OU MODALIDADE"),0,ROUNDDOWN($U$87/365,0))</f>
        <v>0</v>
      </c>
      <c r="AA87" s="1230">
        <f>(($Q$87/365)-$V$87)*365</f>
        <v>0</v>
      </c>
      <c r="AB87" s="921">
        <f>IF($R$87="NÃO CABE",0,(($R$87/365)-$W$87)*365)</f>
        <v>0</v>
      </c>
      <c r="AC87" s="926">
        <f>IF($S$87="NÃO CABE",0,(($S$87/365)-$X$87)*365)</f>
        <v>0</v>
      </c>
      <c r="AD87" s="924">
        <f>IF($T$87="NÃO CABE",0,(($T$87/365)-$Y$87)*365)</f>
        <v>0</v>
      </c>
      <c r="AE87" s="922">
        <f>IF(OR($U$87="NÃO CABE",$U$87="MARQUE O SEXO",$U$87="REVER FUNDAMENTAÇÃO E/OU MODALIDADE"),0,(($U$87/365)-$Z$87)*365)</f>
        <v>0</v>
      </c>
      <c r="AF87" s="1221" t="e">
        <f>MAX($X$97:$X$101)</f>
        <v>#VALUE!</v>
      </c>
      <c r="AX87" s="11"/>
      <c r="AY87" s="11"/>
      <c r="AZ87" s="11"/>
      <c r="BA87" s="85"/>
    </row>
    <row r="88" spans="1:53" x14ac:dyDescent="0.15">
      <c r="A88" s="295" t="str">
        <f t="shared" si="8"/>
        <v/>
      </c>
      <c r="B88" s="408">
        <f t="shared" si="5"/>
        <v>0</v>
      </c>
      <c r="C88" s="1813">
        <f t="shared" si="6"/>
        <v>0</v>
      </c>
      <c r="D88" s="1814"/>
      <c r="E88" s="1815"/>
      <c r="F88" s="1833">
        <f t="shared" si="7"/>
        <v>0</v>
      </c>
      <c r="G88" s="1834"/>
      <c r="H88" s="409" t="e">
        <f>IF(A88="NÃO",0,VLOOKUP(C88,C107:$M$111,4,FALSE))</f>
        <v>#N/A</v>
      </c>
      <c r="I88" s="410" t="e">
        <f>IF(A88="NÃO","NÃO",VLOOKUP(C88,C107:$M$111,3,FALSE))</f>
        <v>#N/A</v>
      </c>
      <c r="J88" s="407" t="e">
        <f>IF(A88="NÃO","NÃO",VLOOKUP(C88,C107:$M$111,6,FALSE))</f>
        <v>#N/A</v>
      </c>
      <c r="K88" s="150"/>
      <c r="L88" s="150"/>
      <c r="M88" s="234"/>
      <c r="N88" s="578"/>
      <c r="O88" s="3"/>
      <c r="P88" s="1224" t="s">
        <v>476</v>
      </c>
      <c r="Q88" s="1182" t="b">
        <f>$Q$145</f>
        <v>0</v>
      </c>
      <c r="R88" s="921">
        <f>IF($O$13&gt;=(5*365),0,(5*365)-$O$13)</f>
        <v>1825</v>
      </c>
      <c r="S88" s="909" t="s">
        <v>537</v>
      </c>
      <c r="T88" s="909" t="str">
        <f>$F$71</f>
        <v>NADA A CUMPRIR</v>
      </c>
      <c r="U88" s="906" t="str">
        <f>IF(OR($E$2=$B$115,$E$2=$B$116,$E$2=$B$122),IF($D$10="X",IF($O$9&gt;=(53*365+14),0,(53*365+14)-$O$9),IF($G$10="X",IF($O$9&gt;=(48*365+12),0,(48*365+12)-$O$9),"MARQUE O SEXO")),"REVER FUNDAMENTAÇÃO E/OU MODALIDADE")</f>
        <v>REVER FUNDAMENTAÇÃO E/OU MODALIDADE</v>
      </c>
      <c r="V88" s="1186">
        <f>ROUNDDOWN($Q$88/365,0)</f>
        <v>0</v>
      </c>
      <c r="W88" s="921">
        <f>IF($R$88="NÃO CABE",0,ROUNDDOWN($R$88/365,0))</f>
        <v>5</v>
      </c>
      <c r="X88" s="909">
        <f>IF($S$88="NÃO CABE",0,ROUNDDOWN($S$88/365,0))</f>
        <v>0</v>
      </c>
      <c r="Y88" s="909">
        <f>IF(OR($T$88="MARQUE O SEXO",$T$88="REVER FUNDAMENTAÇÃO E/OU MODALIDADE",$T$88="NÃO CABE",$T$88="NADA A CUMPRIR"),0,ROUNDDOWN($T$88/365,0))</f>
        <v>0</v>
      </c>
      <c r="Z88" s="922">
        <f>IF(OR($U$88="NÃO CABE",$U$88="MARQUE O SEXO",$U$88="REVER FUNDAMENTAÇÃO E/OU MODALIDADE"),0,ROUNDDOWN($U$88/365,0))</f>
        <v>0</v>
      </c>
      <c r="AA88" s="1230">
        <f>(($Q$88/365)-$V$88)*365</f>
        <v>0</v>
      </c>
      <c r="AB88" s="921">
        <f>IF($R$88="NÃO CABE",0,(($R$88/365)-$W$88)*365)</f>
        <v>0</v>
      </c>
      <c r="AC88" s="931">
        <f>IF($S$88="NÃO CABE",0,(($S$88/365)-$X$88)*365)</f>
        <v>0</v>
      </c>
      <c r="AD88" s="924">
        <f>IF(OR($T$88="MARQUE O SEXO",$T$88="REVER FUNDAMENTAÇÃO E/OU MODALIDADE",$T$88="NÃO CABE",$T$88="NADA A CUMPRIR"),0,(($T$88/365)-$Y$88)*365)</f>
        <v>0</v>
      </c>
      <c r="AE88" s="922">
        <f>IF(OR($U$88="NÃO CABE",$U$88="MARQUE O SEXO",$U$88="REVER FUNDAMENTAÇÃO E/OU MODALIDADE"),0,(($U$88/365)-$Z$88)*365)</f>
        <v>0</v>
      </c>
      <c r="AF88" s="1221" t="e">
        <f>MAX($X$97:$X$101)</f>
        <v>#VALUE!</v>
      </c>
      <c r="AX88" s="11"/>
      <c r="AY88" s="11"/>
      <c r="AZ88" s="11"/>
      <c r="BA88" s="85"/>
    </row>
    <row r="89" spans="1:53" x14ac:dyDescent="0.15">
      <c r="A89" s="295" t="str">
        <f t="shared" si="8"/>
        <v/>
      </c>
      <c r="B89" s="408">
        <f t="shared" si="5"/>
        <v>0</v>
      </c>
      <c r="C89" s="1813">
        <f t="shared" si="6"/>
        <v>0</v>
      </c>
      <c r="D89" s="1814"/>
      <c r="E89" s="1815"/>
      <c r="F89" s="1833">
        <f t="shared" si="7"/>
        <v>0</v>
      </c>
      <c r="G89" s="1834"/>
      <c r="H89" s="409" t="e">
        <f>IF(A89="NÃO",0,VLOOKUP(C89,C108:$M$111,4,FALSE))</f>
        <v>#N/A</v>
      </c>
      <c r="I89" s="410" t="e">
        <f>IF(A89="NÃO","NÃO",VLOOKUP(C89,C108:$M$111,3,FALSE))</f>
        <v>#N/A</v>
      </c>
      <c r="J89" s="407" t="e">
        <f>IF(A89="NÃO","NÃO",VLOOKUP(C89,C108:$M$111,6,FALSE))</f>
        <v>#N/A</v>
      </c>
      <c r="K89" s="150"/>
      <c r="L89" s="150"/>
      <c r="M89" s="234"/>
      <c r="N89" s="578"/>
      <c r="O89" s="3"/>
      <c r="P89" s="1225" t="s">
        <v>464</v>
      </c>
      <c r="Q89" s="1182" t="b">
        <f>$Q$145</f>
        <v>0</v>
      </c>
      <c r="R89" s="921">
        <f>IF($O$13&gt;=(5*365),0,(5*365)-$O$13)</f>
        <v>1825</v>
      </c>
      <c r="S89" s="909" t="s">
        <v>537</v>
      </c>
      <c r="T89" s="909" t="str">
        <f>$F$71</f>
        <v>NADA A CUMPRIR</v>
      </c>
      <c r="U89" s="906" t="str">
        <f>IF($E$2=$B$123,IF($D$10="X",IF($O$9&gt;=(53*365+14),0,(53*365+14)-$O$9),IF($G$10="X",IF($O$9&gt;=(48*365+12),0,(48*365+12)-$O$9),"MARQUE O SEXO")),"REVER FUNDAMENTAÇÃO E/OU MODALIDADE")</f>
        <v>REVER FUNDAMENTAÇÃO E/OU MODALIDADE</v>
      </c>
      <c r="V89" s="1186">
        <f>ROUNDDOWN($Q$89/365,0)</f>
        <v>0</v>
      </c>
      <c r="W89" s="921">
        <f>IF($R$89="NÃO CABE",0,ROUNDDOWN($R$89/365,0))</f>
        <v>5</v>
      </c>
      <c r="X89" s="909">
        <f>IF($S$89="NÃO CABE",0,ROUNDDOWN($S$89/365,0))</f>
        <v>0</v>
      </c>
      <c r="Y89" s="909">
        <f>IF(OR($T$89="NÃO CABE",$T$89="NADA A CUMPRIR"),0,ROUNDDOWN($T$89/365,0))</f>
        <v>0</v>
      </c>
      <c r="Z89" s="922">
        <f>IF(OR($U$89="NÃO CABE",$U$89="MARQUE O SEXO",$U$89="REVER FUNDAMENTAÇÃO E/OU MODALIDADE"),0,ROUNDDOWN($U$89/365,0))</f>
        <v>0</v>
      </c>
      <c r="AA89" s="1230">
        <f>(($Q$89/365)-$V$89)*365</f>
        <v>0</v>
      </c>
      <c r="AB89" s="930">
        <f>IF($R$89="NÃO CABE",0,(($R$89/365)-$W$89)*365)</f>
        <v>0</v>
      </c>
      <c r="AC89" s="909">
        <f>IF($S$89="NÃO CABE",0,(($S$89/365)-$X$89)*365)</f>
        <v>0</v>
      </c>
      <c r="AD89" s="926">
        <f>IF(OR($T$89="NÃO CABE",$T$89="NADA A CUMPRIR"),0,(($T$89/365)-$Y$89)*365)</f>
        <v>0</v>
      </c>
      <c r="AE89" s="922">
        <f>IF(OR($U$89="NÃO CABE",$U$89="MARQUE O SEXO",$U$89="REVER FUNDAMENTAÇÃO E/OU MODALIDADE"),0,(($U$89/365)-$Z$89)*365)</f>
        <v>0</v>
      </c>
      <c r="AF89" s="1221" t="e">
        <f>MAX($X$97:$X$101)</f>
        <v>#VALUE!</v>
      </c>
      <c r="AX89" s="11"/>
      <c r="AY89" s="11"/>
      <c r="AZ89" s="11"/>
      <c r="BA89" s="85"/>
    </row>
    <row r="90" spans="1:53" x14ac:dyDescent="0.15">
      <c r="A90" s="295" t="str">
        <f t="shared" si="8"/>
        <v/>
      </c>
      <c r="B90" s="408">
        <f t="shared" si="5"/>
        <v>0</v>
      </c>
      <c r="C90" s="1813">
        <f t="shared" si="6"/>
        <v>0</v>
      </c>
      <c r="D90" s="1814"/>
      <c r="E90" s="1815"/>
      <c r="F90" s="1833">
        <f t="shared" si="7"/>
        <v>0</v>
      </c>
      <c r="G90" s="1834"/>
      <c r="H90" s="409" t="e">
        <f>IF(A90="NÃO",0,VLOOKUP(C90,C109:$M$111,4,FALSE))</f>
        <v>#N/A</v>
      </c>
      <c r="I90" s="410" t="e">
        <f>IF(A90="NÃO","NÃO",VLOOKUP(C90,C109:$M$111,3,FALSE))</f>
        <v>#N/A</v>
      </c>
      <c r="J90" s="407" t="e">
        <f>IF(A90="NÃO","NÃO",VLOOKUP(C90,C109:$M$111,6,FALSE))</f>
        <v>#N/A</v>
      </c>
      <c r="K90" s="150"/>
      <c r="L90" s="150"/>
      <c r="M90" s="234"/>
      <c r="N90" s="578"/>
      <c r="O90" s="3"/>
      <c r="P90" s="1226" t="s">
        <v>465</v>
      </c>
      <c r="Q90" s="1213">
        <f>$Q$146</f>
        <v>12775</v>
      </c>
      <c r="R90" s="1214">
        <f>IF($O$13&gt;=(5*365),0,(5*365)-$O$13)</f>
        <v>1825</v>
      </c>
      <c r="S90" s="1215">
        <f>IF($O$14&gt;=(10*365),0,(10*365)-$O$13)</f>
        <v>3650</v>
      </c>
      <c r="T90" s="1215">
        <f>IF($O$15&gt;=(20*365),0,(20*365)-$O$15)</f>
        <v>7300</v>
      </c>
      <c r="U90" s="1216" t="str">
        <f>IF($E$2=$B$115,IF($D$10="X",IF($O$9&gt;=(60*365+15),0,(60*365+15)-$O$9),IF($G$10="X",IF($O$9&gt;=(55*365+14),0,(55*365+14)-$O$9),"MARQUE O SEXO")),IF($E$2=$B$116,IF($D$10="X",IF($O$9&gt;=(55*365+14),0,(55*365+14)-$O$9),IF($G$10="X",IF($O$9&gt;=(50*365+14),0,(50*365+14)-$O$9),"MARQUE O SEXO")),"REVER FUNDAMENTAÇÃO E/OU MODALIDADE"))</f>
        <v>REVER FUNDAMENTAÇÃO E/OU MODALIDADE</v>
      </c>
      <c r="V90" s="1217">
        <f>ROUNDDOWN($Q$90/365,0)</f>
        <v>35</v>
      </c>
      <c r="W90" s="1214">
        <f>IF($R$90="NÃO CABE",0,ROUNDDOWN($R$90/365,0))</f>
        <v>5</v>
      </c>
      <c r="X90" s="1215">
        <f>IF($S$90="NÃO CABE",0,ROUNDDOWN($S$90/365,0))</f>
        <v>10</v>
      </c>
      <c r="Y90" s="1215">
        <f>IF($T$90="NÃO CABE",0,ROUNDDOWN($T$90/365,0))</f>
        <v>20</v>
      </c>
      <c r="Z90" s="922">
        <f>IF(OR($U$90="NÃO CABE",$U$90="MARQUE O SEXO",$U$90="REVER FUNDAMENTAÇÃO E/OU MODALIDADE"),0,ROUNDDOWN($U$90/365,0))</f>
        <v>0</v>
      </c>
      <c r="AA90" s="1228">
        <f>(($Q$90/365)-$V$90)*365</f>
        <v>0</v>
      </c>
      <c r="AB90" s="1214">
        <f>IF($R$90="NÃO CABE",0,(($R$90/365)-$W$90)*365)</f>
        <v>0</v>
      </c>
      <c r="AC90" s="931">
        <f>IF($S$90="NÃO CABE",0,(($S$90/365)-$X$90)*365)</f>
        <v>0</v>
      </c>
      <c r="AD90" s="1219">
        <f>IF($T$90="NÃO CABE",0,(($T$90/365)-$Y$90)*365)</f>
        <v>0</v>
      </c>
      <c r="AE90" s="1218">
        <f>IF(OR($U$90="NÃO CABE",$U$90="MARQUE O SEXO",$U$90="REVER FUNDAMENTAÇÃO E/OU MODALIDADE"),0,(($U$90/365)-$Z$90)*365)</f>
        <v>0</v>
      </c>
      <c r="AF90" s="1221" t="e">
        <f>MAX($X$97:$X$101)</f>
        <v>#VALUE!</v>
      </c>
      <c r="AX90" s="11"/>
      <c r="AY90" s="11"/>
      <c r="AZ90" s="11"/>
      <c r="BA90" s="85"/>
    </row>
    <row r="91" spans="1:53" ht="15" thickBot="1" x14ac:dyDescent="0.2">
      <c r="A91" s="295" t="str">
        <f t="shared" si="8"/>
        <v/>
      </c>
      <c r="B91" s="408">
        <f t="shared" si="5"/>
        <v>0</v>
      </c>
      <c r="C91" s="1813">
        <f t="shared" si="6"/>
        <v>0</v>
      </c>
      <c r="D91" s="1814"/>
      <c r="E91" s="1815"/>
      <c r="F91" s="1833">
        <f t="shared" si="7"/>
        <v>0</v>
      </c>
      <c r="G91" s="1834"/>
      <c r="H91" s="409" t="e">
        <f>IF(A91="NÃO",0,VLOOKUP(C91,C110:$M$111,4,FALSE))</f>
        <v>#N/A</v>
      </c>
      <c r="I91" s="410" t="e">
        <f>IF(A91="NÃO","NÃO",VLOOKUP(C91,C110:$M$111,3,FALSE))</f>
        <v>#N/A</v>
      </c>
      <c r="J91" s="407" t="e">
        <f>IF(A91="NÃO","NÃO",VLOOKUP(C91,C110:$M$111,6,FALSE))</f>
        <v>#N/A</v>
      </c>
      <c r="K91" s="150"/>
      <c r="L91" s="150"/>
      <c r="M91" s="234"/>
      <c r="N91" s="578"/>
      <c r="O91" s="3"/>
      <c r="P91" s="1227" t="s">
        <v>466</v>
      </c>
      <c r="Q91" s="921">
        <f>$Q$93</f>
        <v>0</v>
      </c>
      <c r="R91" s="909">
        <f>$R$93</f>
        <v>1825</v>
      </c>
      <c r="S91" s="909">
        <f>$S$93</f>
        <v>5475</v>
      </c>
      <c r="T91" s="909">
        <f>$T$93</f>
        <v>9125</v>
      </c>
      <c r="U91" s="922" t="e">
        <f>($Z$93/2)*365+$AE$91</f>
        <v>#VALUE!</v>
      </c>
      <c r="V91" s="921">
        <f>$V$93</f>
        <v>0</v>
      </c>
      <c r="W91" s="909">
        <f>$W$93</f>
        <v>5</v>
      </c>
      <c r="X91" s="909">
        <f>$X$93</f>
        <v>15</v>
      </c>
      <c r="Y91" s="909">
        <f>$Y$93</f>
        <v>25</v>
      </c>
      <c r="Z91" s="922" t="e">
        <f>IF(OR($U$91="NÃO CABE",$U$91="MARQUE O SEXO E/OU OBSERVE TEMPO DE CONTRIBUIÇÃO",$U$91="REVER FUNDAMENTAÇÃO E/OU MODALIDADE",$U$91="NADA A CUMPRIR"),0,ROUNDDOWN($U$91/365,0))</f>
        <v>#VALUE!</v>
      </c>
      <c r="AA91" s="1229">
        <f>$AA$93</f>
        <v>0</v>
      </c>
      <c r="AB91" s="909">
        <f>$AB$93</f>
        <v>0</v>
      </c>
      <c r="AC91" s="909">
        <f>$AC$93</f>
        <v>0</v>
      </c>
      <c r="AD91" s="909">
        <f>$AD$93</f>
        <v>0</v>
      </c>
      <c r="AE91" s="922" t="e">
        <f>$AE$93</f>
        <v>#VALUE!</v>
      </c>
      <c r="AF91" s="1221" t="e">
        <f>MAX($Q$91:$U$91)</f>
        <v>#VALUE!</v>
      </c>
      <c r="AX91" s="11"/>
      <c r="AY91" s="11"/>
      <c r="AZ91" s="11"/>
      <c r="BA91" s="85"/>
    </row>
    <row r="92" spans="1:53" x14ac:dyDescent="0.15">
      <c r="A92" s="295" t="str">
        <f t="shared" si="8"/>
        <v/>
      </c>
      <c r="B92" s="408">
        <f t="shared" si="5"/>
        <v>0</v>
      </c>
      <c r="C92" s="1813">
        <f t="shared" si="6"/>
        <v>0</v>
      </c>
      <c r="D92" s="1814"/>
      <c r="E92" s="1815"/>
      <c r="F92" s="1833">
        <f t="shared" si="7"/>
        <v>0</v>
      </c>
      <c r="G92" s="1834"/>
      <c r="H92" s="409" t="e">
        <f>IF(A92="NÃO",0,VLOOKUP(C92,C111:$M$111,4,FALSE))</f>
        <v>#N/A</v>
      </c>
      <c r="I92" s="410" t="e">
        <f>IF(A92="NÃO","NÃO",VLOOKUP(C92,C111:$M$111,3,FALSE))</f>
        <v>#N/A</v>
      </c>
      <c r="J92" s="407" t="e">
        <f>IF(A92="NÃO","NÃO",VLOOKUP(C92,C111:$M$111,6,FALSE))</f>
        <v>#N/A</v>
      </c>
      <c r="K92" s="150"/>
      <c r="L92" s="150"/>
      <c r="M92" s="234"/>
      <c r="N92" s="578"/>
      <c r="O92" s="3"/>
      <c r="P92" s="1383" t="s">
        <v>3</v>
      </c>
      <c r="Q92" s="921">
        <f>$Q$93</f>
        <v>0</v>
      </c>
      <c r="R92" s="909">
        <f>$R$93</f>
        <v>1825</v>
      </c>
      <c r="S92" s="909">
        <f>$S$93</f>
        <v>5475</v>
      </c>
      <c r="T92" s="909">
        <f>$T$93</f>
        <v>9125</v>
      </c>
      <c r="U92" s="922" t="e">
        <f>($Z$93/2)*365+$AE$92</f>
        <v>#VALUE!</v>
      </c>
      <c r="V92" s="921">
        <f>$V$93</f>
        <v>0</v>
      </c>
      <c r="W92" s="909">
        <f>$W$93</f>
        <v>5</v>
      </c>
      <c r="X92" s="909">
        <f>$X$93</f>
        <v>15</v>
      </c>
      <c r="Y92" s="909">
        <f>$Y$93</f>
        <v>25</v>
      </c>
      <c r="Z92" s="922" t="e">
        <f>IF(OR($U$92="NÃO CABE",$U$92="MARQUE O SEXO E/OU OBSERVE TEMPO DE CONTRIBUIÇÃO",$U$92="REVER FUNDAMENTAÇÃO E/OU MODALIDADE",$U$92="NADA A CUMPRIR"),0,ROUNDDOWN($U$92/365,0))</f>
        <v>#VALUE!</v>
      </c>
      <c r="AA92" s="1229">
        <f>$AA$93</f>
        <v>0</v>
      </c>
      <c r="AB92" s="909">
        <f>$AB$93</f>
        <v>0</v>
      </c>
      <c r="AC92" s="909">
        <f>$AC$93</f>
        <v>0</v>
      </c>
      <c r="AD92" s="909">
        <f>$AD$93</f>
        <v>0</v>
      </c>
      <c r="AE92" s="922" t="e">
        <f>$AE$93</f>
        <v>#VALUE!</v>
      </c>
      <c r="AF92" s="1221" t="e">
        <f>MAX($Q$91:$U$91)</f>
        <v>#VALUE!</v>
      </c>
      <c r="AX92" s="11"/>
      <c r="AY92" s="11"/>
      <c r="AZ92" s="11"/>
      <c r="BA92" s="85"/>
    </row>
    <row r="93" spans="1:53" ht="15" thickBot="1" x14ac:dyDescent="0.2">
      <c r="A93" s="295"/>
      <c r="B93" s="237" t="s">
        <v>452</v>
      </c>
      <c r="C93" s="238"/>
      <c r="D93" s="239">
        <f>IF(OR(E6=B225,E6=B237,E6=B248),IF(L237&gt;=25,"FAZ JUS A 1/6 DA REMUNERAÇÃO",IF(L248&gt;=25,"FAZ JUS A 1/6 DA REMUNERAÇÃO",IF(L225&gt;=25,"FAZ JUS A 1/6 DA REMUNERAÇÃO",0))),0)</f>
        <v>0</v>
      </c>
      <c r="E93" s="238"/>
      <c r="F93" s="238"/>
      <c r="G93" s="238"/>
      <c r="H93" s="238"/>
      <c r="I93" s="238"/>
      <c r="J93" s="411"/>
      <c r="K93" s="238"/>
      <c r="L93" s="238"/>
      <c r="M93" s="241"/>
      <c r="N93" s="242"/>
      <c r="O93" s="3"/>
      <c r="P93" s="1234" t="s">
        <v>466</v>
      </c>
      <c r="Q93" s="1235">
        <f>IF($D$10="X",$AC$6,IF($G$10="X",$AC$7,0))</f>
        <v>0</v>
      </c>
      <c r="R93" s="1236">
        <f>IF($O$13&gt;=(5*365),0,(5*365)-$O$13)</f>
        <v>1825</v>
      </c>
      <c r="S93" s="1237">
        <f>IF($O$14&gt;=(15*365),0,(15*365)-$O$13)</f>
        <v>5475</v>
      </c>
      <c r="T93" s="1237">
        <f>IF($O$15&gt;=(25*365),0,(25*365)-$O$15)</f>
        <v>9125</v>
      </c>
      <c r="U93" s="1238" t="str">
        <f>IF($D$10="X",IF(OR($AD$21&gt;0,$AC$6&gt;0),IF($AD$21&gt;$AC$6,$AD$21,$AC$6),0),IF($G$10="X",IF(OR($AD$21&gt;0,$AC$7&gt;0),IF($AD$21&gt;$AC$7,$AD$21,$AC$7),0),"MARQUE O SEXO E/OU OBSERVE TEMPO DE CONTRIBUIÇÃO"))</f>
        <v>MARQUE O SEXO E/OU OBSERVE TEMPO DE CONTRIBUIÇÃO</v>
      </c>
      <c r="V93" s="1235">
        <f>ROUNDDOWN($Q$93/365,0)</f>
        <v>0</v>
      </c>
      <c r="W93" s="1236">
        <f>IF($R$93="NÃO CABE",0,ROUNDDOWN($R$93/365,0))</f>
        <v>5</v>
      </c>
      <c r="X93" s="1237">
        <f>IF($S$93="NÃO CABE",0,ROUNDDOWN($S$93/365,0))</f>
        <v>15</v>
      </c>
      <c r="Y93" s="1237">
        <f>IF($T$93="NÃO CABE",0,ROUNDDOWN($T$93/365,0))</f>
        <v>25</v>
      </c>
      <c r="Z93" s="1238">
        <f>IF(OR($U$93="NÃO CABE",$U$93="MARQUE O SEXO E/OU OBSERVE TEMPO DE CONTRIBUIÇÃO",$U$93="REVER FUNDAMENTAÇÃO E/OU MODALIDADE",$U$93="NADA A CUMPRIR"),0,ROUNDDOWN($U$93/365,0))</f>
        <v>0</v>
      </c>
      <c r="AA93" s="1239">
        <f>(($Q$93/365)-$V$93)*365</f>
        <v>0</v>
      </c>
      <c r="AB93" s="1236">
        <f>IF($R$93="NÃO CABE",0,(($R$93/365)-$W$93)*365)</f>
        <v>0</v>
      </c>
      <c r="AC93" s="1240">
        <f>IF($S$93="NÃO CABE",0,(($S$93/365)-$X$93)*365)</f>
        <v>0</v>
      </c>
      <c r="AD93" s="1237">
        <f>IF($T$93="NÃO CABE",0,(($T$93/365)-$Y$93)*365)</f>
        <v>0</v>
      </c>
      <c r="AE93" s="1238" t="e">
        <f>IF(OR($U$93="NÃO CABE",$U$93="MARQUE O SEXO",$U$93="REVER FUNDAMENTAÇÃO E/OU MODALIDADE",$U$93="NADA A CUMPRIR"),0,(($U$93/365)-$Z$93)*365)</f>
        <v>#VALUE!</v>
      </c>
      <c r="AF93" s="1241" t="str">
        <f>IF($AD$21&gt;$Q$93,$AD$21,$Q$93)</f>
        <v>REVER TEMPO E/OU IDADE</v>
      </c>
      <c r="AG93" s="69"/>
      <c r="AX93" s="11"/>
      <c r="AY93" s="11"/>
      <c r="AZ93" s="11"/>
      <c r="BA93" s="85"/>
    </row>
    <row r="94" spans="1:53" x14ac:dyDescent="0.15">
      <c r="A94" s="295"/>
      <c r="B94" s="394"/>
      <c r="C94" s="150"/>
      <c r="D94" s="395"/>
      <c r="E94" s="150"/>
      <c r="F94" s="150"/>
      <c r="G94" s="150"/>
      <c r="H94" s="150"/>
      <c r="I94" s="150"/>
      <c r="J94" s="5"/>
      <c r="K94" s="150"/>
      <c r="L94" s="150"/>
      <c r="M94" s="234"/>
      <c r="N94" s="260"/>
      <c r="O94" s="255"/>
      <c r="Q94" s="8"/>
      <c r="R94" s="5"/>
      <c r="S94" s="27"/>
      <c r="T94" s="27" t="s">
        <v>575</v>
      </c>
      <c r="V94" s="28"/>
      <c r="W94" s="27"/>
      <c r="X94" s="114"/>
      <c r="Y94" s="100"/>
      <c r="Z94" s="115"/>
      <c r="AA94" s="114"/>
      <c r="AB94" s="114"/>
      <c r="AC94" s="7"/>
      <c r="AD94" s="70"/>
      <c r="AE94" s="70"/>
      <c r="AF94" s="21"/>
      <c r="AG94" s="69"/>
      <c r="AX94" s="11"/>
      <c r="AY94" s="11"/>
      <c r="AZ94" s="11"/>
      <c r="BA94" s="85"/>
    </row>
    <row r="95" spans="1:53" ht="20.100000000000001" hidden="1" customHeight="1" thickBot="1" x14ac:dyDescent="0.2">
      <c r="A95" s="579" t="s">
        <v>758</v>
      </c>
      <c r="B95" s="35" t="s">
        <v>506</v>
      </c>
      <c r="C95" s="516" t="s">
        <v>747</v>
      </c>
      <c r="D95" s="516"/>
      <c r="E95" s="35" t="s">
        <v>501</v>
      </c>
      <c r="F95" s="413" t="s">
        <v>657</v>
      </c>
      <c r="G95" s="516" t="s">
        <v>748</v>
      </c>
      <c r="H95" s="35" t="s">
        <v>749</v>
      </c>
      <c r="I95" s="580" t="s">
        <v>529</v>
      </c>
      <c r="J95" s="581" t="s">
        <v>530</v>
      </c>
      <c r="K95" s="582" t="s">
        <v>750</v>
      </c>
      <c r="L95" s="413" t="s">
        <v>751</v>
      </c>
      <c r="M95" s="583" t="s">
        <v>759</v>
      </c>
      <c r="N95" s="393" t="s">
        <v>599</v>
      </c>
      <c r="T95" s="28" t="s">
        <v>576</v>
      </c>
      <c r="U95" s="1792" t="s">
        <v>245</v>
      </c>
      <c r="V95" s="1793"/>
      <c r="W95" s="1793"/>
      <c r="X95" s="1793"/>
      <c r="Y95" s="1793"/>
      <c r="Z95" s="1794"/>
      <c r="AA95" s="114" t="s">
        <v>577</v>
      </c>
      <c r="AB95" s="114" t="s">
        <v>577</v>
      </c>
      <c r="AC95" s="7"/>
      <c r="AD95" s="70"/>
      <c r="AE95" s="70"/>
      <c r="AF95" s="70"/>
      <c r="AG95" s="69"/>
      <c r="AX95" s="11"/>
      <c r="AY95" s="11"/>
      <c r="AZ95" s="11"/>
      <c r="BA95" s="85"/>
    </row>
    <row r="96" spans="1:53" ht="20.100000000000001" hidden="1" customHeight="1" thickBot="1" x14ac:dyDescent="0.2">
      <c r="A96" s="585" t="str">
        <f>IF(AND(L96="SIM",M96="SIM"),"SIM","NÃO")</f>
        <v>NÃO</v>
      </c>
      <c r="B96" s="586" t="s">
        <v>450</v>
      </c>
      <c r="C96" s="586" t="s">
        <v>466</v>
      </c>
      <c r="D96" s="587"/>
      <c r="E96" s="588" t="str">
        <f>VI_TRANS_EC47!$C$81</f>
        <v>NÃO</v>
      </c>
      <c r="F96" s="589">
        <f>VI_TRANS_EC47!F81</f>
        <v>0</v>
      </c>
      <c r="G96" s="588" t="str">
        <f>VI_TRANS_EC47!H81</f>
        <v>NÃO</v>
      </c>
      <c r="H96" s="588" t="str">
        <f>VI_TRANS_EC47!I81</f>
        <v>NÃO</v>
      </c>
      <c r="I96" s="588" t="str">
        <f>VI_TRANS_EC47!J81</f>
        <v>NÃO</v>
      </c>
      <c r="J96" s="588" t="str">
        <f>VI_TRANS_EC47!K81</f>
        <v>NÃO</v>
      </c>
      <c r="K96" s="588" t="str">
        <f>VI_TRANS_EC47!M81</f>
        <v>NÃO</v>
      </c>
      <c r="L96" s="588" t="str">
        <f>VI_TRANS_EC47!N81</f>
        <v>NÃO</v>
      </c>
      <c r="M96" s="590" t="str">
        <f t="shared" ref="M96:M102" si="9">IF(L96="SIM",IF($F$96&gt;=$F$97,"SIM",IF($F$97&gt;=$F$98,"SIM",IF($F$98&gt;=$F$99,"SIM",IF($F$99&gt;=$F$100,"SIM",IF($F$100&gt;=$F$101,"SIM",IF($F$101&gt;=$F$102,"SIM",IF($F$102&gt;=$F$103,"SIM","NÃO"))))))),"NÃO")</f>
        <v>NÃO</v>
      </c>
      <c r="N96" s="67">
        <v>1</v>
      </c>
      <c r="P96" s="558" t="s">
        <v>466</v>
      </c>
      <c r="T96" s="28"/>
      <c r="U96" s="1795" t="s">
        <v>815</v>
      </c>
      <c r="V96" s="1796"/>
      <c r="W96" s="1796"/>
      <c r="X96" s="1796"/>
      <c r="Y96" s="1208" t="s">
        <v>9</v>
      </c>
      <c r="Z96" s="1209" t="s">
        <v>333</v>
      </c>
      <c r="AA96" s="114" t="s">
        <v>578</v>
      </c>
      <c r="AB96" s="114" t="s">
        <v>579</v>
      </c>
      <c r="AC96" s="7"/>
      <c r="AD96" s="70"/>
      <c r="AE96" s="70"/>
      <c r="AF96" s="70"/>
      <c r="AG96" s="69"/>
      <c r="AX96" s="11"/>
      <c r="AY96" s="11"/>
      <c r="AZ96" s="11"/>
      <c r="BA96" s="85"/>
    </row>
    <row r="97" spans="1:53" ht="20.100000000000001" hidden="1" customHeight="1" x14ac:dyDescent="0.15">
      <c r="A97" s="585" t="str">
        <f t="shared" ref="A97:A111" si="10">IF(AND(L97="SIM",M97="SIM"),"SIM","NÃO")</f>
        <v>NÃO</v>
      </c>
      <c r="B97" s="586" t="s">
        <v>450</v>
      </c>
      <c r="C97" s="586" t="s">
        <v>465</v>
      </c>
      <c r="D97" s="587"/>
      <c r="E97" s="588" t="str">
        <f>'VI_ART. 6º'!C80</f>
        <v>NÃO</v>
      </c>
      <c r="F97" s="589">
        <f>'VI_ART. 6º'!F80</f>
        <v>0</v>
      </c>
      <c r="G97" s="588" t="str">
        <f>'VI_ART. 6º'!H80</f>
        <v>NÃO</v>
      </c>
      <c r="H97" s="588" t="str">
        <f>'VI_ART. 6º'!I80</f>
        <v>NÃO</v>
      </c>
      <c r="I97" s="588" t="str">
        <f>'VI_ART. 6º'!J80</f>
        <v>NÃO</v>
      </c>
      <c r="J97" s="588" t="str">
        <f>'VI_ART. 6º'!K80</f>
        <v>NÃO</v>
      </c>
      <c r="K97" s="588" t="str">
        <f>'VI_ART. 6º'!M80</f>
        <v>NÃO</v>
      </c>
      <c r="L97" s="588" t="str">
        <f>'VI_ART. 6º'!N80</f>
        <v>NÃO</v>
      </c>
      <c r="M97" s="590" t="str">
        <f t="shared" si="9"/>
        <v>NÃO</v>
      </c>
      <c r="N97" s="67">
        <v>2</v>
      </c>
      <c r="P97" s="558" t="s">
        <v>465</v>
      </c>
      <c r="U97" s="1194" t="str">
        <f>VLOOKUP('FICHA FUNCIONAL'!$E$6,$P$86:$U$93,1,FALSE)</f>
        <v>PREENCHA A REGRA DESEJADA</v>
      </c>
      <c r="V97" s="1195" t="s">
        <v>7</v>
      </c>
      <c r="W97" s="1196">
        <f>VLOOKUP($K$2,$P$86:$AF$93,2,FALSE)</f>
        <v>0</v>
      </c>
      <c r="X97" s="1197">
        <f>IF(AND($W$97&lt;&gt;"NÃO CABE",$W$97&lt;&gt;"NADA A CUMPRIR",$W$97&lt;&gt;"MARQUE O SEXO",$W$97&lt;&gt;"REVER FUNDAMENTAÇÃO E/OU MODALIDADE"),$W$97,0)</f>
        <v>0</v>
      </c>
      <c r="Y97" s="1198">
        <f>VLOOKUP($K$2,$P$86:$AF$93,7,FALSE)</f>
        <v>0</v>
      </c>
      <c r="Z97" s="1199">
        <f>VLOOKUP($K$2,$P$86:$AF$93,12,FALSE)</f>
        <v>0</v>
      </c>
      <c r="AA97" s="1242">
        <f>'FICHA FUNCIONAL'!$E$23</f>
        <v>0</v>
      </c>
      <c r="AB97" s="1242" t="e">
        <f>$AA$97+$W$102</f>
        <v>#VALUE!</v>
      </c>
      <c r="AC97" s="7"/>
      <c r="AD97" s="70"/>
      <c r="AE97" s="70"/>
      <c r="AF97" s="70"/>
      <c r="AG97" s="69"/>
      <c r="AX97" s="11"/>
      <c r="AY97" s="11"/>
      <c r="AZ97" s="11"/>
      <c r="BA97" s="85"/>
    </row>
    <row r="98" spans="1:53" ht="20.100000000000001" hidden="1" customHeight="1" x14ac:dyDescent="0.15">
      <c r="A98" s="585" t="str">
        <f t="shared" si="10"/>
        <v>NÃO</v>
      </c>
      <c r="B98" s="586" t="s">
        <v>450</v>
      </c>
      <c r="C98" s="586" t="s">
        <v>476</v>
      </c>
      <c r="D98" s="587"/>
      <c r="E98" s="588" t="str">
        <f>VI_TRANS_EC20!C82</f>
        <v>NÃO</v>
      </c>
      <c r="F98" s="589">
        <f>VI_TRANS_EC20!F82</f>
        <v>0</v>
      </c>
      <c r="G98" s="588" t="str">
        <f>VI_TRANS_EC20!H82</f>
        <v>NÃO</v>
      </c>
      <c r="H98" s="588" t="str">
        <f>VI_TRANS_EC20!I82</f>
        <v>NÃO</v>
      </c>
      <c r="I98" s="588" t="str">
        <f>VI_TRANS_EC20!J82</f>
        <v>NÃO</v>
      </c>
      <c r="J98" s="588" t="str">
        <f>VI_TRANS_EC20!K82</f>
        <v>SIM</v>
      </c>
      <c r="K98" s="588" t="str">
        <f>VI_TRANS_EC20!M82</f>
        <v>NÃO</v>
      </c>
      <c r="L98" s="588" t="str">
        <f>VI_TRANS_EC20!N82</f>
        <v>NÃO</v>
      </c>
      <c r="M98" s="590" t="str">
        <f t="shared" si="9"/>
        <v>NÃO</v>
      </c>
      <c r="N98" s="67">
        <v>3</v>
      </c>
      <c r="P98" s="558" t="s">
        <v>476</v>
      </c>
      <c r="U98" s="1200" t="str">
        <f>VLOOKUP('FICHA FUNCIONAL'!$E$6,$P$86:$U$93,1,FALSE)</f>
        <v>PREENCHA A REGRA DESEJADA</v>
      </c>
      <c r="V98" s="909" t="s">
        <v>529</v>
      </c>
      <c r="W98" s="1033">
        <f>VLOOKUP('FICHA FUNCIONAL'!$E$6,$P$86:$U$93,3,FALSE)</f>
        <v>1825</v>
      </c>
      <c r="X98" s="1189">
        <f>IF(AND($W$98&lt;&gt;"NÃO CABE",$W$98&lt;&gt;"NADA A CUMPRIR",$W$98&lt;&gt;"MARQUE O SEXO",$W$98&lt;&gt;"REVER FUNDAMENTAÇÃO E/OU MODALIDADE"),$W$98,0)</f>
        <v>1825</v>
      </c>
      <c r="Y98" s="1193">
        <f>VLOOKUP($K$2,$P$86:$AF$93,8,FALSE)</f>
        <v>5</v>
      </c>
      <c r="Z98" s="1201">
        <f>VLOOKUP($K$2,$P$86:$AF$93,13,FALSE)</f>
        <v>0</v>
      </c>
      <c r="AA98" s="1242">
        <f>'FICHA FUNCIONAL'!$E$23</f>
        <v>0</v>
      </c>
      <c r="AB98" s="1242" t="e">
        <f>$AA$97+$W$102</f>
        <v>#VALUE!</v>
      </c>
      <c r="AC98" s="7"/>
      <c r="AD98" s="70"/>
      <c r="AE98" s="70"/>
      <c r="AF98" s="70"/>
      <c r="AG98" s="69"/>
      <c r="AX98" s="11"/>
      <c r="AY98" s="11"/>
      <c r="AZ98" s="11"/>
      <c r="BA98" s="85"/>
    </row>
    <row r="99" spans="1:53" ht="20.100000000000001" hidden="1" customHeight="1" x14ac:dyDescent="0.15">
      <c r="A99" s="585" t="str">
        <f t="shared" si="10"/>
        <v>NÃO</v>
      </c>
      <c r="B99" s="586" t="s">
        <v>450</v>
      </c>
      <c r="C99" s="586" t="s">
        <v>485</v>
      </c>
      <c r="D99" s="587"/>
      <c r="E99" s="588" t="str">
        <f>VI_RP_EC20!C79</f>
        <v>NÃO</v>
      </c>
      <c r="F99" s="589">
        <f>VI_RP_EC20!F79</f>
        <v>0</v>
      </c>
      <c r="G99" s="588" t="str">
        <f>VI_RP_EC20!H79</f>
        <v>NÃO</v>
      </c>
      <c r="H99" s="588" t="str">
        <f>VI_RP_EC20!I79</f>
        <v>NÃO</v>
      </c>
      <c r="I99" s="588" t="str">
        <f>VI_RP_EC20!J79</f>
        <v>NÃO</v>
      </c>
      <c r="J99" s="588" t="str">
        <f>VI_RP_EC20!K79</f>
        <v>SIM</v>
      </c>
      <c r="K99" s="588" t="str">
        <f>VI_RP_EC20!M79</f>
        <v>NÃO</v>
      </c>
      <c r="L99" s="588" t="str">
        <f>VI_RP_EC20!N79</f>
        <v>NÃO</v>
      </c>
      <c r="M99" s="590" t="str">
        <f t="shared" si="9"/>
        <v>NÃO</v>
      </c>
      <c r="N99" s="67">
        <v>4</v>
      </c>
      <c r="P99" s="74" t="s">
        <v>760</v>
      </c>
      <c r="U99" s="1200" t="str">
        <f>VLOOKUP('FICHA FUNCIONAL'!$E$6,$P$86:$U$93,1,FALSE)</f>
        <v>PREENCHA A REGRA DESEJADA</v>
      </c>
      <c r="V99" s="1034" t="s">
        <v>530</v>
      </c>
      <c r="W99" s="1033">
        <f>VLOOKUP('FICHA FUNCIONAL'!$E$6,$P$86:$U$93,4,FALSE)</f>
        <v>5475</v>
      </c>
      <c r="X99" s="1189">
        <f>IF(AND($W$99&lt;&gt;"NÃO CABE",$W$99&lt;&gt;"NADA A CUMPRIR",$W$99&lt;&gt;"MARQUE O SEXO",$W$99&lt;&gt;"REVER FUNDAMENTAÇÃO E/OU MODALIDADE"),$W$99,0)</f>
        <v>5475</v>
      </c>
      <c r="Y99" s="1193">
        <f>VLOOKUP($K$2,$P$86:$AF$93,9,FALSE)</f>
        <v>15</v>
      </c>
      <c r="Z99" s="1201">
        <f>VLOOKUP($K$2,$P$86:$AF$93,14,FALSE)</f>
        <v>0</v>
      </c>
      <c r="AA99" s="1242">
        <f>'FICHA FUNCIONAL'!$E$23</f>
        <v>0</v>
      </c>
      <c r="AB99" s="1242" t="e">
        <f>$AA$97+$W$102</f>
        <v>#VALUE!</v>
      </c>
      <c r="AC99" s="7"/>
      <c r="AD99" s="70"/>
      <c r="AE99" s="70"/>
      <c r="AF99" s="70"/>
      <c r="AG99" s="69"/>
      <c r="AX99" s="11"/>
      <c r="AY99" s="11"/>
      <c r="AZ99" s="11"/>
      <c r="BA99" s="85"/>
    </row>
    <row r="100" spans="1:53" ht="20.100000000000001" hidden="1" customHeight="1" x14ac:dyDescent="0.15">
      <c r="A100" s="585" t="str">
        <f t="shared" si="10"/>
        <v>NÃO</v>
      </c>
      <c r="B100" s="586" t="s">
        <v>450</v>
      </c>
      <c r="C100" s="586" t="s">
        <v>463</v>
      </c>
      <c r="D100" s="587"/>
      <c r="E100" s="588" t="str">
        <f>VI_REAEC20!C78</f>
        <v>SIM</v>
      </c>
      <c r="F100" s="589">
        <f>VI_REAEC20!F78</f>
        <v>0</v>
      </c>
      <c r="G100" s="588" t="str">
        <f>VI_REAEC20!H78</f>
        <v>NÃO</v>
      </c>
      <c r="H100" s="588" t="str">
        <f>VI_REAEC20!I78</f>
        <v>NÃO</v>
      </c>
      <c r="I100" s="588" t="str">
        <f>VI_REAEC20!J78</f>
        <v>SIM</v>
      </c>
      <c r="J100" s="588" t="str">
        <f>VI_REAEC20!K78</f>
        <v>SIM</v>
      </c>
      <c r="K100" s="588" t="str">
        <f>VI_REAEC20!M78</f>
        <v>NÃO</v>
      </c>
      <c r="L100" s="588" t="str">
        <f>VI_REAEC20!N78</f>
        <v>NÃO</v>
      </c>
      <c r="M100" s="590" t="str">
        <f t="shared" si="9"/>
        <v>NÃO</v>
      </c>
      <c r="N100" s="67">
        <v>5</v>
      </c>
      <c r="P100" s="558" t="s">
        <v>463</v>
      </c>
      <c r="Q100" s="26"/>
      <c r="R100" s="26"/>
      <c r="S100" s="26"/>
      <c r="U100" s="1200" t="str">
        <f>VLOOKUP('FICHA FUNCIONAL'!$E$6,$P$86:$U$93,1,FALSE)</f>
        <v>PREENCHA A REGRA DESEJADA</v>
      </c>
      <c r="V100" s="1034" t="s">
        <v>243</v>
      </c>
      <c r="W100" s="1033">
        <f>VLOOKUP('FICHA FUNCIONAL'!$E$6,$P$86:$U$93,5,FALSE)</f>
        <v>9125</v>
      </c>
      <c r="X100" s="1189">
        <f>IF(AND($W$100&lt;&gt;"NÃO CABE",$W$100&lt;&gt;"NADA A CUMPRIR",$W$100&lt;&gt;"MARQUE O SEXO",$W$100&lt;&gt;"REVER FUNDAMENTAÇÃO E/OU MODALIDADE",$W$100&lt;&gt;"REVER"),$W$100,0)</f>
        <v>9125</v>
      </c>
      <c r="Y100" s="1193">
        <f>VLOOKUP($K$2,$P$86:$AF$93,10,FALSE)</f>
        <v>25</v>
      </c>
      <c r="Z100" s="1201">
        <f>VLOOKUP($K$2,$P$86:$AF$93,15,FALSE)</f>
        <v>0</v>
      </c>
      <c r="AA100" s="1242">
        <f>'FICHA FUNCIONAL'!$E$23</f>
        <v>0</v>
      </c>
      <c r="AB100" s="1242" t="e">
        <f>$AA$97+$W$102</f>
        <v>#VALUE!</v>
      </c>
      <c r="AC100" s="7"/>
      <c r="AD100" s="70"/>
      <c r="AE100" s="70"/>
      <c r="AF100" s="70"/>
      <c r="AG100" s="69"/>
      <c r="AX100" s="11"/>
      <c r="AY100" s="11"/>
      <c r="AZ100" s="11"/>
      <c r="BA100" s="85"/>
    </row>
    <row r="101" spans="1:53" ht="20.100000000000001" hidden="1" customHeight="1" thickBot="1" x14ac:dyDescent="0.2">
      <c r="A101" s="647" t="str">
        <f t="shared" si="10"/>
        <v>NÃO</v>
      </c>
      <c r="B101" s="617" t="s">
        <v>455</v>
      </c>
      <c r="C101" s="648" t="s">
        <v>463</v>
      </c>
      <c r="D101" s="642"/>
      <c r="E101" s="641" t="str">
        <f>VE_RAEC20!C88</f>
        <v>SIM</v>
      </c>
      <c r="F101" s="643">
        <f>VE_RAEC20!F88</f>
        <v>0</v>
      </c>
      <c r="G101" s="641" t="str">
        <f>VE_RAEC20!H88</f>
        <v>NÃO</v>
      </c>
      <c r="H101" s="641" t="str">
        <f>VE_RAEC20!I88</f>
        <v>NÃO</v>
      </c>
      <c r="I101" s="641" t="str">
        <f>VE_RAEC20!J88</f>
        <v>SIM</v>
      </c>
      <c r="J101" s="641" t="str">
        <f>VE_RAEC20!K88</f>
        <v>SIM</v>
      </c>
      <c r="K101" s="641" t="str">
        <f>VE_RAEC20!M88</f>
        <v>NÃO</v>
      </c>
      <c r="L101" s="641" t="str">
        <f>VE_RAEC20!N88</f>
        <v>NÃO</v>
      </c>
      <c r="M101" s="646" t="str">
        <f t="shared" si="9"/>
        <v>NÃO</v>
      </c>
      <c r="N101" s="67">
        <v>6</v>
      </c>
      <c r="P101" s="558" t="s">
        <v>463</v>
      </c>
      <c r="Q101" s="26"/>
      <c r="R101" s="26"/>
      <c r="S101" s="26"/>
      <c r="T101" s="28"/>
      <c r="U101" s="1202" t="str">
        <f>VLOOKUP('FICHA FUNCIONAL'!$E$6,$P$86:$U$93,1,FALSE)</f>
        <v>PREENCHA A REGRA DESEJADA</v>
      </c>
      <c r="V101" s="1203" t="s">
        <v>501</v>
      </c>
      <c r="W101" s="1204" t="e">
        <f>VLOOKUP('FICHA FUNCIONAL'!$E$6,$P$86:$U$93,6,FALSE)</f>
        <v>#VALUE!</v>
      </c>
      <c r="X101" s="1205" t="e">
        <f>IF(AND($W$101&lt;&gt;"NÃO CABE",$W$101&lt;&gt;"NADA A CUMPRIR",$W$101&lt;&gt;"MARQUE O SEXO",$W$101&lt;&gt;"REVER FUNDAMENTAÇÃO E/OU MODALIDADE"),$W$101,0)</f>
        <v>#VALUE!</v>
      </c>
      <c r="Y101" s="1206" t="e">
        <f>VLOOKUP($K$2,$P$86:$AF$93,11,FALSE)</f>
        <v>#VALUE!</v>
      </c>
      <c r="Z101" s="1207" t="e">
        <f>VLOOKUP($K$2,$P$86:$AF$93,16,FALSE)</f>
        <v>#VALUE!</v>
      </c>
      <c r="AA101" s="1242">
        <f>'FICHA FUNCIONAL'!$E$23</f>
        <v>0</v>
      </c>
      <c r="AB101" s="1242" t="e">
        <f>$AA$97+$W$102</f>
        <v>#VALUE!</v>
      </c>
      <c r="AC101" s="7"/>
      <c r="AD101" s="70"/>
      <c r="AE101" s="70"/>
      <c r="AF101" s="70"/>
      <c r="AG101" s="69"/>
      <c r="AX101" s="11"/>
      <c r="AY101" s="11"/>
      <c r="AZ101" s="11"/>
      <c r="BA101" s="85"/>
    </row>
    <row r="102" spans="1:53" ht="20.100000000000001" hidden="1" customHeight="1" x14ac:dyDescent="0.15">
      <c r="A102" s="647" t="str">
        <f t="shared" si="10"/>
        <v>NÃO</v>
      </c>
      <c r="B102" s="617" t="s">
        <v>455</v>
      </c>
      <c r="C102" s="648" t="s">
        <v>465</v>
      </c>
      <c r="D102" s="642"/>
      <c r="E102" s="641" t="str">
        <f>VE_ART_6º!C89</f>
        <v>NÃO</v>
      </c>
      <c r="F102" s="643">
        <f>VE_ART_6º!F89</f>
        <v>0</v>
      </c>
      <c r="G102" s="641" t="str">
        <f>VE_ART_6º!H89</f>
        <v>NÃO</v>
      </c>
      <c r="H102" s="641" t="str">
        <f>VE_ART_6º!I89</f>
        <v>NÃO</v>
      </c>
      <c r="I102" s="641" t="str">
        <f>VE_ART_6º!J89</f>
        <v>NÃO</v>
      </c>
      <c r="J102" s="641" t="str">
        <f>VE_ART_6º!K89</f>
        <v>NÃO</v>
      </c>
      <c r="K102" s="641" t="str">
        <f>VE_ART_6º!M89</f>
        <v>NÃO</v>
      </c>
      <c r="L102" s="641" t="str">
        <f>VE_ART_6º!N89</f>
        <v>NÃO</v>
      </c>
      <c r="M102" s="646" t="str">
        <f t="shared" si="9"/>
        <v>NÃO</v>
      </c>
      <c r="N102" s="67">
        <v>7</v>
      </c>
      <c r="P102" s="558" t="s">
        <v>465</v>
      </c>
      <c r="Q102" s="26"/>
      <c r="R102" s="26"/>
      <c r="S102" s="26"/>
      <c r="T102" s="28"/>
      <c r="U102" s="38"/>
      <c r="V102" s="38"/>
      <c r="W102" s="38" t="e">
        <f>MAX($W$97:$W$101)</f>
        <v>#VALUE!</v>
      </c>
      <c r="X102" s="1188"/>
      <c r="Y102" s="100"/>
      <c r="Z102" s="115"/>
      <c r="AA102" s="114"/>
      <c r="AB102" s="114"/>
      <c r="AC102" s="7"/>
      <c r="AD102" s="70"/>
      <c r="AE102" s="70"/>
      <c r="AF102" s="70"/>
      <c r="AG102" s="69"/>
      <c r="AX102" s="11"/>
      <c r="AY102" s="11"/>
      <c r="AZ102" s="11"/>
      <c r="BA102" s="85"/>
    </row>
    <row r="103" spans="1:53" ht="20.100000000000001" hidden="1" customHeight="1" x14ac:dyDescent="0.15">
      <c r="A103" s="647" t="str">
        <f t="shared" si="10"/>
        <v>NÃO</v>
      </c>
      <c r="B103" s="617" t="s">
        <v>455</v>
      </c>
      <c r="C103" s="648" t="s">
        <v>476</v>
      </c>
      <c r="D103" s="642"/>
      <c r="E103" s="641" t="str">
        <f>VE_TRANS_EC20!C90</f>
        <v>NÃO</v>
      </c>
      <c r="F103" s="643">
        <f>VE_TRANS_EC20!F90</f>
        <v>0</v>
      </c>
      <c r="G103" s="641" t="str">
        <f>VE_TRANS_EC20!H90</f>
        <v>NÃO</v>
      </c>
      <c r="H103" s="641" t="str">
        <f>VE_TRANS_EC20!I90</f>
        <v>NÃO</v>
      </c>
      <c r="I103" s="641" t="str">
        <f>VE_TRANS_EC20!J90</f>
        <v>NÃO</v>
      </c>
      <c r="J103" s="641" t="str">
        <f>VE_TRANS_EC20!K90</f>
        <v>SIM</v>
      </c>
      <c r="K103" s="641" t="str">
        <f>VE_TRANS_EC20!M90</f>
        <v>NÃO</v>
      </c>
      <c r="L103" s="641" t="str">
        <f>VE_TRANS_EC20!N90</f>
        <v>NÃO</v>
      </c>
      <c r="M103" s="646" t="str">
        <f>IF(L103="SIM",IF($F$103&gt;=$F$104,"SIM",IF($F$104&gt;=$F$105,"SIM",IF($F$105&gt;=$F$106,"SIM",IF($F$106&gt;=$F$107,"SIM",IF($F$107&gt;=$F$108,"SIM",IF($F$108&gt;=$F$109,"SIM",IF($F$109&gt;=$F$110,"SIM","NÃO"))))))),"NÃO")</f>
        <v>NÃO</v>
      </c>
      <c r="N103" s="67">
        <v>8</v>
      </c>
      <c r="P103" s="558" t="s">
        <v>476</v>
      </c>
      <c r="Q103" s="26"/>
      <c r="R103" s="26"/>
      <c r="S103" s="26"/>
      <c r="T103" s="28"/>
      <c r="U103" s="27"/>
      <c r="V103" s="28"/>
      <c r="W103" s="27"/>
      <c r="X103" s="114"/>
      <c r="Y103" s="100"/>
      <c r="Z103" s="115"/>
      <c r="AA103" s="114"/>
      <c r="AB103" s="114"/>
      <c r="AC103" s="7"/>
      <c r="AD103" s="70"/>
      <c r="AE103" s="70"/>
      <c r="AF103" s="70"/>
      <c r="AG103" s="69"/>
      <c r="AX103" s="11"/>
      <c r="AY103" s="11"/>
      <c r="AZ103" s="11"/>
      <c r="BA103" s="85"/>
    </row>
    <row r="104" spans="1:53" ht="20.100000000000001" hidden="1" customHeight="1" x14ac:dyDescent="0.15">
      <c r="A104" s="647" t="str">
        <f t="shared" si="10"/>
        <v>NÃO</v>
      </c>
      <c r="B104" s="617" t="s">
        <v>455</v>
      </c>
      <c r="C104" s="648" t="s">
        <v>485</v>
      </c>
      <c r="D104" s="735"/>
      <c r="E104" s="641" t="str">
        <f>VE_RP_EC20!$C$91</f>
        <v>NÃO</v>
      </c>
      <c r="F104" s="643">
        <f>VE_RP_EC20!$F$91</f>
        <v>0</v>
      </c>
      <c r="G104" s="641" t="str">
        <f>VE_RP_EC20!$H$91</f>
        <v>NÃO</v>
      </c>
      <c r="H104" s="641" t="str">
        <f>VE_RP_EC20!$I$91</f>
        <v>NÃO</v>
      </c>
      <c r="I104" s="641" t="str">
        <f>VE_RP_EC20!$J$91</f>
        <v>NÃO</v>
      </c>
      <c r="J104" s="641" t="str">
        <f>VE_RP_EC20!$K$91</f>
        <v>SIM</v>
      </c>
      <c r="K104" s="641" t="str">
        <f>VE_RP_EC20!$M$91</f>
        <v>NÃO</v>
      </c>
      <c r="L104" s="641" t="str">
        <f>VE_RP_EC20!$N$91</f>
        <v>NÃO</v>
      </c>
      <c r="M104" s="646" t="str">
        <f>IF(L104="SIM",IF($F$103&gt;=$F$104,"SIM",IF($F$104&gt;=$F$105,"SIM",IF($F$105&gt;=$F$106,"SIM",IF($F$106&gt;=$F$107,"SIM",IF($F$107&gt;=$F$108,"SIM",IF($F$108&gt;=$F$109,"SIM",IF($F$109&gt;=$F$110,"SIM","NÃO"))))))),"NÃO")</f>
        <v>NÃO</v>
      </c>
      <c r="N104" s="67">
        <v>9</v>
      </c>
      <c r="P104" s="74" t="s">
        <v>761</v>
      </c>
      <c r="Q104" s="26"/>
      <c r="R104" s="26"/>
      <c r="S104" s="26"/>
      <c r="T104" s="28"/>
      <c r="U104" s="27"/>
      <c r="V104" s="28"/>
      <c r="W104" s="27"/>
      <c r="X104" s="114"/>
      <c r="Y104" s="100"/>
      <c r="Z104" s="115"/>
      <c r="AA104" s="114"/>
      <c r="AB104" s="114"/>
      <c r="AC104" s="7"/>
      <c r="AD104" s="70"/>
      <c r="AE104" s="70"/>
      <c r="AF104" s="70"/>
      <c r="AG104" s="69"/>
      <c r="AX104" s="11"/>
      <c r="AY104" s="11"/>
      <c r="AZ104" s="11"/>
      <c r="BA104" s="85"/>
    </row>
    <row r="105" spans="1:53" ht="20.100000000000001" hidden="1" customHeight="1" x14ac:dyDescent="0.15">
      <c r="A105" s="647" t="str">
        <f t="shared" si="10"/>
        <v>NÃO</v>
      </c>
      <c r="B105" s="617" t="s">
        <v>455</v>
      </c>
      <c r="C105" s="648" t="s">
        <v>485</v>
      </c>
      <c r="D105" s="735"/>
      <c r="E105" s="641" t="str">
        <f>VE_RP_EC41!$C$91</f>
        <v>NÃO</v>
      </c>
      <c r="F105" s="643">
        <f>VE_RP_EC41!$F$91</f>
        <v>0</v>
      </c>
      <c r="G105" s="641" t="str">
        <f>VE_RP_EC41!$H$91</f>
        <v>NÃO</v>
      </c>
      <c r="H105" s="641" t="str">
        <f>VE_RP_EC41!$I$91</f>
        <v>NÃO</v>
      </c>
      <c r="I105" s="641" t="str">
        <f>VE_RP_EC41!$J$91</f>
        <v>NÃO</v>
      </c>
      <c r="J105" s="641" t="str">
        <f>VE_RP_EC41!$K$91</f>
        <v>SIM</v>
      </c>
      <c r="K105" s="641" t="str">
        <f>VE_RP_EC41!$M$91</f>
        <v>NÃO</v>
      </c>
      <c r="L105" s="641" t="str">
        <f>VE_RP_EC41!$N$91</f>
        <v>NÃO</v>
      </c>
      <c r="M105" s="646" t="str">
        <f>IF(L105="SIM",IF($F$103&gt;=$F$104,"SIM",IF($F$104&gt;=$F$105,"SIM",IF($F$105&gt;=$F$106,"SIM",IF($F$106&gt;=$F$107,"SIM",IF($F$107&gt;=$F$108,"SIM",IF($F$108&gt;=$F$109,"SIM",IF($F$109&gt;=$F$110,"SIM","NÃO"))))))),"NÃO")</f>
        <v>NÃO</v>
      </c>
      <c r="N105" s="67">
        <v>10</v>
      </c>
      <c r="P105" s="74" t="s">
        <v>762</v>
      </c>
      <c r="Q105" s="26"/>
      <c r="R105" s="26"/>
      <c r="S105" s="26"/>
      <c r="T105" s="28"/>
      <c r="U105" s="27"/>
      <c r="V105" s="28"/>
      <c r="W105" s="27"/>
      <c r="X105" s="114"/>
      <c r="Y105" s="100"/>
      <c r="Z105" s="115"/>
      <c r="AA105" s="114"/>
      <c r="AB105" s="114"/>
      <c r="AC105" s="7"/>
      <c r="AD105" s="70"/>
      <c r="AE105" s="70"/>
      <c r="AF105" s="70"/>
      <c r="AG105" s="69"/>
      <c r="AX105" s="11"/>
      <c r="AY105" s="11"/>
      <c r="AZ105" s="11"/>
      <c r="BA105" s="85"/>
    </row>
    <row r="106" spans="1:53" ht="20.100000000000001" hidden="1" customHeight="1" x14ac:dyDescent="0.15">
      <c r="A106" s="585" t="str">
        <f t="shared" si="10"/>
        <v>NÃO</v>
      </c>
      <c r="B106" s="586" t="s">
        <v>450</v>
      </c>
      <c r="C106" s="586" t="s">
        <v>485</v>
      </c>
      <c r="D106" s="587"/>
      <c r="E106" s="588" t="str">
        <f>VI_RP_EC41!C79</f>
        <v>NÃO</v>
      </c>
      <c r="F106" s="589">
        <f>VI_RP_EC41!F79</f>
        <v>0</v>
      </c>
      <c r="G106" s="589" t="str">
        <f>VI_RP_EC41!H79</f>
        <v>NÃO</v>
      </c>
      <c r="H106" s="588" t="str">
        <f>VI_RP_EC41!I79</f>
        <v>NÃO</v>
      </c>
      <c r="I106" s="588" t="str">
        <f>VI_RP_EC41!J79</f>
        <v>NÃO</v>
      </c>
      <c r="J106" s="588" t="str">
        <f>VI_RP_EC41!K79</f>
        <v>SIM</v>
      </c>
      <c r="K106" s="588" t="str">
        <f>VI_RP_EC41!M79</f>
        <v>NÃO</v>
      </c>
      <c r="L106" s="588" t="str">
        <f>VI_RP_EC41!N79</f>
        <v>NÃO</v>
      </c>
      <c r="M106" s="590" t="str">
        <f t="shared" ref="M106:M111" si="11">IF(L106="SIM",IF($F$103&gt;=$F$104,"SIM",IF($F$104&gt;=$F$105,"SIM",IF($F$105&gt;=$F$106,"SIM",IF($F$106&gt;=$F$107,"SIM",IF($F$107&gt;=$F$108,"SIM",IF($F$108&gt;=$F$109,"SIM",IF($F$109&gt;=$F$110,"SIM","NÃO"))))))),"NÃO")</f>
        <v>NÃO</v>
      </c>
      <c r="N106" s="67">
        <v>11</v>
      </c>
      <c r="P106" s="74" t="s">
        <v>763</v>
      </c>
      <c r="Q106" s="26"/>
      <c r="R106" s="26"/>
      <c r="S106" s="26"/>
      <c r="T106" s="28"/>
      <c r="U106" s="27"/>
      <c r="V106" s="28"/>
      <c r="W106" s="27"/>
      <c r="X106" s="114"/>
      <c r="Y106" s="100"/>
      <c r="Z106" s="115"/>
      <c r="AA106" s="114"/>
      <c r="AB106" s="114"/>
      <c r="AC106" s="7"/>
      <c r="AD106" s="70"/>
      <c r="AE106" s="70"/>
      <c r="AF106" s="70"/>
      <c r="AG106" s="69"/>
      <c r="AX106" s="11"/>
      <c r="AY106" s="11"/>
      <c r="AZ106" s="11"/>
      <c r="BA106" s="85"/>
    </row>
    <row r="107" spans="1:53" ht="20.100000000000001" hidden="1" customHeight="1" x14ac:dyDescent="0.15">
      <c r="A107" s="628" t="str">
        <f t="shared" si="10"/>
        <v>NÃO</v>
      </c>
      <c r="B107" s="625" t="s">
        <v>487</v>
      </c>
      <c r="C107" s="626" t="s">
        <v>463</v>
      </c>
      <c r="D107" s="620"/>
      <c r="E107" s="619" t="str">
        <f>VPTS_RAEC20!C83</f>
        <v>SIM</v>
      </c>
      <c r="F107" s="622">
        <f>VPTS_RAEC20!F83</f>
        <v>0</v>
      </c>
      <c r="G107" s="619" t="str">
        <f>VPTS_RAEC20!H83</f>
        <v>NÃO</v>
      </c>
      <c r="H107" s="619" t="str">
        <f>VPTS_RAEC20!I83</f>
        <v>NÃO</v>
      </c>
      <c r="I107" s="619" t="str">
        <f>VPTS_RAEC20!J83</f>
        <v>SIM</v>
      </c>
      <c r="J107" s="619" t="str">
        <f>VPTS_RAEC20!K83</f>
        <v>SIM</v>
      </c>
      <c r="K107" s="619" t="str">
        <f>VPTS_RAEC20!M83</f>
        <v>NÃO</v>
      </c>
      <c r="L107" s="619" t="str">
        <f>VPTS_RAEC20!N83</f>
        <v>NÃO</v>
      </c>
      <c r="M107" s="629" t="str">
        <f t="shared" si="11"/>
        <v>NÃO</v>
      </c>
      <c r="N107" s="67">
        <v>12</v>
      </c>
      <c r="P107" s="558" t="s">
        <v>463</v>
      </c>
      <c r="Q107" s="26"/>
      <c r="R107" s="26"/>
      <c r="S107" s="26"/>
      <c r="T107" s="28"/>
      <c r="U107" s="27"/>
      <c r="V107" s="28"/>
      <c r="W107" s="27"/>
      <c r="X107" s="114"/>
      <c r="Y107" s="100"/>
      <c r="Z107" s="115"/>
      <c r="AA107" s="114"/>
      <c r="AB107" s="114"/>
      <c r="AC107" s="7"/>
      <c r="AD107" s="70"/>
      <c r="AE107" s="70"/>
      <c r="AF107" s="70"/>
      <c r="AG107" s="69"/>
      <c r="AX107" s="11"/>
      <c r="AY107" s="11"/>
      <c r="AZ107" s="11"/>
      <c r="BA107" s="85"/>
    </row>
    <row r="108" spans="1:53" ht="20.100000000000001" hidden="1" customHeight="1" x14ac:dyDescent="0.15">
      <c r="A108" s="628" t="str">
        <f t="shared" si="10"/>
        <v>NÃO</v>
      </c>
      <c r="B108" s="625" t="s">
        <v>487</v>
      </c>
      <c r="C108" s="626" t="s">
        <v>476</v>
      </c>
      <c r="D108" s="620"/>
      <c r="E108" s="619" t="str">
        <f>VPTC_TRANS_EC20!C84</f>
        <v>NÃO</v>
      </c>
      <c r="F108" s="622">
        <f>VPTC_TRANS_EC20!F84</f>
        <v>0</v>
      </c>
      <c r="G108" s="619" t="str">
        <f>VPTC_TRANS_EC20!H84</f>
        <v>NÃO</v>
      </c>
      <c r="H108" s="619" t="str">
        <f>VPTC_TRANS_EC20!I84</f>
        <v>NÃO</v>
      </c>
      <c r="I108" s="619" t="str">
        <f>VPTC_TRANS_EC20!J84</f>
        <v>NÃO</v>
      </c>
      <c r="J108" s="619" t="str">
        <f>VPTC_TRANS_EC20!K84</f>
        <v>SIM</v>
      </c>
      <c r="K108" s="619" t="str">
        <f>VPTC_TRANS_EC20!M84</f>
        <v>NÃO</v>
      </c>
      <c r="L108" s="619" t="str">
        <f>VPTC_TRANS_EC20!N84</f>
        <v>NÃO</v>
      </c>
      <c r="M108" s="629" t="str">
        <f t="shared" si="11"/>
        <v>NÃO</v>
      </c>
      <c r="N108" s="67">
        <v>13</v>
      </c>
      <c r="P108" s="558" t="s">
        <v>754</v>
      </c>
      <c r="Q108" s="26"/>
      <c r="R108" s="26"/>
      <c r="S108" s="26"/>
      <c r="T108" s="28"/>
      <c r="U108" s="27"/>
      <c r="V108" s="28"/>
      <c r="W108" s="27"/>
      <c r="X108" s="114"/>
      <c r="Y108" s="100"/>
      <c r="Z108" s="115"/>
      <c r="AA108" s="114"/>
      <c r="AB108" s="114"/>
      <c r="AC108" s="7"/>
      <c r="AD108" s="70"/>
      <c r="AE108" s="70"/>
      <c r="AF108" s="70"/>
      <c r="AG108" s="69"/>
      <c r="AX108" s="11"/>
      <c r="AY108" s="11"/>
      <c r="AZ108" s="11"/>
      <c r="BA108" s="85"/>
    </row>
    <row r="109" spans="1:53" ht="20.100000000000001" hidden="1" customHeight="1" x14ac:dyDescent="0.15">
      <c r="A109" s="628" t="str">
        <f t="shared" si="10"/>
        <v>NÃO</v>
      </c>
      <c r="B109" s="626" t="s">
        <v>467</v>
      </c>
      <c r="C109" s="626" t="s">
        <v>463</v>
      </c>
      <c r="D109" s="620"/>
      <c r="E109" s="619" t="str">
        <f>VPI_RAEC20!C85</f>
        <v>NÃO</v>
      </c>
      <c r="F109" s="622">
        <f>VPI_RAEC20!F85</f>
        <v>0</v>
      </c>
      <c r="G109" s="619" t="str">
        <f>VPI_RAEC20!H85</f>
        <v>SIM</v>
      </c>
      <c r="H109" s="619" t="str">
        <f>VPI_RAEC20!I85</f>
        <v>NÃO</v>
      </c>
      <c r="I109" s="619" t="str">
        <f>VPI_RAEC20!J85</f>
        <v>SIM</v>
      </c>
      <c r="J109" s="619" t="str">
        <f>VPI_RAEC20!K85</f>
        <v>SIM</v>
      </c>
      <c r="K109" s="619" t="str">
        <f>VPI_RAEC20!M85</f>
        <v>SIM</v>
      </c>
      <c r="L109" s="619" t="str">
        <f>VPI_RAEC20!N85</f>
        <v>NÃO</v>
      </c>
      <c r="M109" s="629" t="str">
        <f t="shared" si="11"/>
        <v>NÃO</v>
      </c>
      <c r="N109" s="67">
        <v>14</v>
      </c>
      <c r="P109" s="558" t="s">
        <v>463</v>
      </c>
      <c r="Q109" s="26"/>
      <c r="R109" s="26"/>
      <c r="S109" s="26"/>
      <c r="T109" s="28"/>
      <c r="U109" s="27"/>
      <c r="V109" s="28"/>
      <c r="W109" s="27"/>
      <c r="X109" s="114"/>
      <c r="Y109" s="100"/>
      <c r="Z109" s="115"/>
      <c r="AA109" s="114"/>
      <c r="AB109" s="114"/>
      <c r="AC109" s="7"/>
      <c r="AD109" s="70"/>
      <c r="AE109" s="70"/>
      <c r="AF109" s="70"/>
      <c r="AG109" s="69"/>
      <c r="AX109" s="11"/>
      <c r="AY109" s="11"/>
      <c r="AZ109" s="11"/>
      <c r="BA109" s="85"/>
    </row>
    <row r="110" spans="1:53" ht="20.100000000000001" hidden="1" customHeight="1" x14ac:dyDescent="0.15">
      <c r="A110" s="628" t="str">
        <f t="shared" si="10"/>
        <v>NÃO</v>
      </c>
      <c r="B110" s="626" t="s">
        <v>467</v>
      </c>
      <c r="C110" s="626" t="s">
        <v>485</v>
      </c>
      <c r="D110" s="620"/>
      <c r="E110" s="619" t="str">
        <f>VPI_RP_EC41!C86</f>
        <v>NÃO</v>
      </c>
      <c r="F110" s="622">
        <f>VPI_RP_EC41!F86</f>
        <v>0</v>
      </c>
      <c r="G110" s="619" t="str">
        <f>VPI_RP_EC41!H86</f>
        <v>SIM</v>
      </c>
      <c r="H110" s="619" t="str">
        <f>VPI_RP_EC41!I86</f>
        <v>NÃO</v>
      </c>
      <c r="I110" s="619" t="str">
        <f>VPI_RP_EC41!J86</f>
        <v>NÃO</v>
      </c>
      <c r="J110" s="619" t="str">
        <f>VPI_RP_EC41!K86</f>
        <v>SIM</v>
      </c>
      <c r="K110" s="619" t="str">
        <f>VPI_RP_EC41!M86</f>
        <v>NÃO</v>
      </c>
      <c r="L110" s="619" t="str">
        <f>VPI_RP_EC41!N86</f>
        <v>NÃO</v>
      </c>
      <c r="M110" s="629" t="str">
        <f t="shared" si="11"/>
        <v>NÃO</v>
      </c>
      <c r="N110" s="67">
        <v>15</v>
      </c>
      <c r="P110" s="558" t="s">
        <v>485</v>
      </c>
      <c r="T110" s="28"/>
      <c r="U110" s="27"/>
      <c r="V110" s="28"/>
      <c r="W110" s="27"/>
      <c r="X110" s="114"/>
      <c r="Y110" s="100"/>
      <c r="Z110" s="115"/>
      <c r="AA110" s="114"/>
      <c r="AB110" s="114"/>
      <c r="AC110" s="7"/>
      <c r="AD110" s="70"/>
      <c r="AE110" s="70"/>
      <c r="AF110" s="70"/>
      <c r="AG110" s="69"/>
      <c r="AX110" s="11"/>
      <c r="AY110" s="11"/>
      <c r="AZ110" s="11"/>
      <c r="BA110" s="85"/>
    </row>
    <row r="111" spans="1:53" ht="20.100000000000001" hidden="1" customHeight="1" x14ac:dyDescent="0.15">
      <c r="A111" s="628" t="str">
        <f t="shared" si="10"/>
        <v>NÃO</v>
      </c>
      <c r="B111" s="627" t="s">
        <v>484</v>
      </c>
      <c r="C111" s="640" t="s">
        <v>464</v>
      </c>
      <c r="D111" s="620"/>
      <c r="E111" s="619" t="str">
        <f>'VR_ART_ 2º'!C87</f>
        <v>NÃO</v>
      </c>
      <c r="F111" s="622">
        <f>'VR_ART_ 2º'!F87</f>
        <v>0</v>
      </c>
      <c r="G111" s="619" t="str">
        <f>'VR_ART_ 2º'!H87</f>
        <v>NÃO</v>
      </c>
      <c r="H111" s="619" t="str">
        <f>'VR_ART_ 2º'!I87</f>
        <v>NÃO</v>
      </c>
      <c r="I111" s="619" t="str">
        <f>'VR_ART_ 2º'!J87</f>
        <v>NÃO</v>
      </c>
      <c r="J111" s="619" t="str">
        <f>'VR_ART_ 2º'!K87</f>
        <v>SIM</v>
      </c>
      <c r="K111" s="619" t="str">
        <f>'VR_ART_ 2º'!M87</f>
        <v>NÃO</v>
      </c>
      <c r="L111" s="619" t="str">
        <f>'VR_ART_ 2º'!N87</f>
        <v>NÃO</v>
      </c>
      <c r="M111" s="629" t="str">
        <f t="shared" si="11"/>
        <v>NÃO</v>
      </c>
      <c r="N111" s="67">
        <v>16</v>
      </c>
      <c r="O111" s="391"/>
      <c r="P111" s="584" t="s">
        <v>464</v>
      </c>
      <c r="T111" s="28"/>
      <c r="U111" s="27"/>
      <c r="V111" s="28"/>
      <c r="W111" s="27"/>
      <c r="X111" s="114"/>
      <c r="Y111" s="100"/>
      <c r="Z111" s="115"/>
      <c r="AA111" s="114"/>
      <c r="AB111" s="114"/>
      <c r="AC111" s="7"/>
      <c r="AD111" s="70"/>
      <c r="AE111" s="70"/>
      <c r="AF111" s="70"/>
      <c r="AG111" s="69"/>
      <c r="AX111" s="11"/>
      <c r="AY111" s="11"/>
      <c r="AZ111" s="11"/>
      <c r="BA111" s="85"/>
    </row>
    <row r="112" spans="1:53" hidden="1" x14ac:dyDescent="0.15">
      <c r="A112" s="295"/>
      <c r="B112" s="394"/>
      <c r="C112" s="150"/>
      <c r="D112" s="395"/>
      <c r="E112" s="150"/>
      <c r="F112" s="150"/>
      <c r="G112" s="150"/>
      <c r="H112" s="150"/>
      <c r="I112" s="150"/>
      <c r="J112" s="5"/>
      <c r="K112" s="150"/>
      <c r="L112" s="150"/>
      <c r="M112" s="234"/>
      <c r="N112" s="260"/>
      <c r="O112" s="255"/>
      <c r="P112" s="28"/>
      <c r="Q112" s="8"/>
      <c r="R112" s="5"/>
      <c r="S112" s="27"/>
      <c r="T112" s="28"/>
      <c r="U112" s="27"/>
      <c r="V112" s="28"/>
      <c r="W112" s="27"/>
      <c r="X112" s="114"/>
      <c r="Y112" s="100"/>
      <c r="Z112" s="115"/>
      <c r="AA112" s="114"/>
      <c r="AB112" s="114"/>
      <c r="AC112" s="7"/>
      <c r="AD112" s="70"/>
      <c r="AE112" s="70"/>
      <c r="AF112" s="70"/>
      <c r="AG112" s="69"/>
      <c r="AX112" s="11"/>
      <c r="AY112" s="11"/>
      <c r="AZ112" s="11"/>
      <c r="BA112" s="85"/>
    </row>
    <row r="113" spans="2:64" ht="15.95" hidden="1" customHeight="1" thickBot="1" x14ac:dyDescent="0.2">
      <c r="C113" s="21"/>
      <c r="D113" s="21"/>
      <c r="G113" s="5"/>
      <c r="H113" s="5"/>
      <c r="I113" s="5"/>
      <c r="J113" s="5"/>
      <c r="K113" s="5"/>
      <c r="L113" s="5"/>
      <c r="M113" s="2"/>
      <c r="N113" s="5"/>
      <c r="AC113" s="69"/>
      <c r="AD113" s="70"/>
      <c r="AE113" s="70"/>
      <c r="AF113" s="70"/>
      <c r="AG113" s="69"/>
      <c r="AZ113" s="11"/>
      <c r="BA113" s="85"/>
      <c r="BB113" s="692" t="s">
        <v>364</v>
      </c>
      <c r="BC113" s="693">
        <v>5</v>
      </c>
      <c r="BD113" s="693">
        <v>10</v>
      </c>
      <c r="BE113" s="693">
        <v>15</v>
      </c>
      <c r="BF113" s="693">
        <v>20</v>
      </c>
      <c r="BG113" s="694">
        <v>25</v>
      </c>
      <c r="BH113" s="694" t="s">
        <v>365</v>
      </c>
      <c r="BI113" s="695" t="s">
        <v>366</v>
      </c>
      <c r="BJ113" s="696" t="s">
        <v>367</v>
      </c>
      <c r="BK113" s="697">
        <v>34820</v>
      </c>
      <c r="BL113" s="698">
        <v>34851</v>
      </c>
    </row>
    <row r="114" spans="2:64" ht="15.95" hidden="1" customHeight="1" thickBot="1" x14ac:dyDescent="0.2">
      <c r="B114" s="88" t="s">
        <v>449</v>
      </c>
      <c r="C114" s="89"/>
      <c r="D114" s="97" t="s">
        <v>546</v>
      </c>
      <c r="E114" s="98"/>
      <c r="F114" s="99"/>
      <c r="G114" s="5"/>
      <c r="H114" s="5"/>
      <c r="I114" s="5"/>
      <c r="J114" s="5"/>
      <c r="K114" s="5"/>
      <c r="L114" s="5"/>
      <c r="M114" s="2"/>
      <c r="N114" s="5"/>
      <c r="AG114" s="69"/>
      <c r="AZ114" s="11"/>
      <c r="BA114" s="85"/>
      <c r="BB114" s="692"/>
      <c r="BC114" s="693"/>
      <c r="BD114" s="693"/>
      <c r="BE114" s="693"/>
      <c r="BF114" s="693"/>
      <c r="BG114" s="694"/>
      <c r="BH114" s="694"/>
      <c r="BI114" s="695"/>
      <c r="BJ114" s="696"/>
      <c r="BK114" s="697"/>
      <c r="BL114" s="698"/>
    </row>
    <row r="115" spans="2:64" ht="15.95" hidden="1" customHeight="1" thickBot="1" x14ac:dyDescent="0.2">
      <c r="B115" s="91" t="s">
        <v>450</v>
      </c>
      <c r="C115" s="90"/>
      <c r="D115" s="90"/>
      <c r="E115" s="90"/>
      <c r="F115" s="92"/>
      <c r="G115" s="5"/>
      <c r="H115" s="5"/>
      <c r="I115" s="5"/>
      <c r="J115" s="5"/>
      <c r="K115" s="5"/>
      <c r="L115" s="5"/>
      <c r="M115" s="2"/>
      <c r="N115" s="5"/>
      <c r="AZ115" s="11"/>
      <c r="BA115" s="85"/>
      <c r="BB115" s="699"/>
      <c r="BC115" s="700" t="e">
        <f>(#REF!+G46+F59)/365</f>
        <v>#REF!</v>
      </c>
      <c r="BD115" s="701"/>
      <c r="BE115" s="701"/>
      <c r="BF115" s="701"/>
      <c r="BG115" s="701"/>
      <c r="BH115" s="701"/>
      <c r="BI115" s="702">
        <v>0.45</v>
      </c>
      <c r="BJ115" s="703"/>
      <c r="BK115" s="704"/>
      <c r="BL115" s="705" t="s">
        <v>368</v>
      </c>
    </row>
    <row r="116" spans="2:64" ht="15.95" hidden="1" customHeight="1" x14ac:dyDescent="0.15">
      <c r="B116" s="91" t="s">
        <v>455</v>
      </c>
      <c r="C116" s="90"/>
      <c r="D116" s="90"/>
      <c r="E116" s="90"/>
      <c r="F116" s="92"/>
      <c r="G116" s="5"/>
      <c r="H116" s="5"/>
      <c r="I116" s="5"/>
      <c r="J116" s="5"/>
      <c r="K116" s="5"/>
      <c r="L116" s="5"/>
      <c r="M116" s="2"/>
      <c r="N116" s="5"/>
      <c r="O116" s="255"/>
      <c r="AG116" s="69"/>
      <c r="AZ116" s="11"/>
      <c r="BA116" s="85"/>
      <c r="BB116" s="706" t="s">
        <v>369</v>
      </c>
      <c r="BC116" s="707" t="s">
        <v>370</v>
      </c>
      <c r="BD116" s="708" t="s">
        <v>371</v>
      </c>
      <c r="BE116" s="708" t="s">
        <v>372</v>
      </c>
      <c r="BF116" s="708" t="s">
        <v>373</v>
      </c>
      <c r="BG116" s="708" t="s">
        <v>374</v>
      </c>
      <c r="BH116" s="709" t="s">
        <v>375</v>
      </c>
      <c r="BI116" s="710" t="e">
        <f>#REF!*1.45</f>
        <v>#REF!</v>
      </c>
      <c r="BJ116" s="711">
        <v>80.64</v>
      </c>
      <c r="BK116" s="712">
        <v>100</v>
      </c>
      <c r="BL116" s="713">
        <v>112</v>
      </c>
    </row>
    <row r="117" spans="2:64" ht="15.95" hidden="1" customHeight="1" x14ac:dyDescent="0.15">
      <c r="B117" s="91" t="s">
        <v>467</v>
      </c>
      <c r="C117" s="90"/>
      <c r="D117" s="90"/>
      <c r="E117" s="90"/>
      <c r="F117" s="92"/>
      <c r="G117" s="5"/>
      <c r="H117" s="5"/>
      <c r="I117" s="5"/>
      <c r="J117" s="5"/>
      <c r="K117" s="5"/>
      <c r="L117" s="5"/>
      <c r="M117" s="2"/>
      <c r="N117" s="5"/>
      <c r="O117" s="255"/>
      <c r="AG117" s="69"/>
      <c r="AZ117" s="11"/>
      <c r="BA117" s="85"/>
      <c r="BB117" s="714" t="s">
        <v>376</v>
      </c>
      <c r="BC117" s="715" t="s">
        <v>370</v>
      </c>
      <c r="BD117" s="716" t="s">
        <v>371</v>
      </c>
      <c r="BE117" s="716" t="s">
        <v>372</v>
      </c>
      <c r="BF117" s="716" t="s">
        <v>373</v>
      </c>
      <c r="BG117" s="716" t="s">
        <v>374</v>
      </c>
      <c r="BH117" s="717" t="s">
        <v>375</v>
      </c>
      <c r="BI117" s="718" t="e">
        <f>#REF!*1.45</f>
        <v>#REF!</v>
      </c>
      <c r="BJ117" s="719">
        <v>90.32</v>
      </c>
      <c r="BK117" s="720">
        <v>100</v>
      </c>
      <c r="BL117" s="721">
        <v>125.44</v>
      </c>
    </row>
    <row r="118" spans="2:64" ht="15.95" hidden="1" customHeight="1" x14ac:dyDescent="0.15">
      <c r="B118" s="91" t="s">
        <v>468</v>
      </c>
      <c r="C118" s="90"/>
      <c r="D118" s="90"/>
      <c r="E118" s="90"/>
      <c r="F118" s="92"/>
      <c r="G118" s="5"/>
      <c r="H118" s="5"/>
      <c r="I118" s="5"/>
      <c r="J118" s="5"/>
      <c r="K118" s="5"/>
      <c r="L118" s="5"/>
      <c r="M118" s="2"/>
      <c r="N118" s="5"/>
      <c r="O118" s="255"/>
      <c r="AG118" s="69"/>
      <c r="AZ118" s="11"/>
      <c r="BA118" s="85"/>
      <c r="BB118" s="714" t="s">
        <v>377</v>
      </c>
      <c r="BC118" s="715" t="s">
        <v>371</v>
      </c>
      <c r="BD118" s="716" t="s">
        <v>372</v>
      </c>
      <c r="BE118" s="716" t="s">
        <v>373</v>
      </c>
      <c r="BF118" s="716" t="s">
        <v>374</v>
      </c>
      <c r="BG118" s="716" t="s">
        <v>375</v>
      </c>
      <c r="BH118" s="717" t="s">
        <v>378</v>
      </c>
      <c r="BI118" s="718" t="e">
        <f>#REF!*1.45</f>
        <v>#REF!</v>
      </c>
      <c r="BJ118" s="719">
        <v>101.15</v>
      </c>
      <c r="BK118" s="720">
        <v>101.15</v>
      </c>
      <c r="BL118" s="721">
        <v>140.4</v>
      </c>
    </row>
    <row r="119" spans="2:64" ht="15.95" hidden="1" customHeight="1" x14ac:dyDescent="0.15">
      <c r="B119" s="91" t="s">
        <v>470</v>
      </c>
      <c r="C119" s="90"/>
      <c r="D119" s="90"/>
      <c r="E119" s="90"/>
      <c r="F119" s="92"/>
      <c r="G119" s="5"/>
      <c r="H119" s="5"/>
      <c r="I119" s="5"/>
      <c r="J119" s="5"/>
      <c r="K119" s="5"/>
      <c r="L119" s="5"/>
      <c r="M119" s="2"/>
      <c r="N119" s="5"/>
      <c r="O119" s="255"/>
      <c r="AG119" s="69"/>
      <c r="AZ119" s="11"/>
      <c r="BA119" s="85"/>
      <c r="BB119" s="714" t="s">
        <v>379</v>
      </c>
      <c r="BC119" s="715" t="s">
        <v>371</v>
      </c>
      <c r="BD119" s="716" t="s">
        <v>372</v>
      </c>
      <c r="BE119" s="716" t="s">
        <v>373</v>
      </c>
      <c r="BF119" s="716" t="s">
        <v>374</v>
      </c>
      <c r="BG119" s="716" t="s">
        <v>375</v>
      </c>
      <c r="BH119" s="717" t="s">
        <v>378</v>
      </c>
      <c r="BI119" s="718" t="e">
        <f>#REF!*1.45</f>
        <v>#REF!</v>
      </c>
      <c r="BJ119" s="719">
        <v>113.29</v>
      </c>
      <c r="BK119" s="720">
        <v>113.29</v>
      </c>
      <c r="BL119" s="721">
        <v>157.35</v>
      </c>
    </row>
    <row r="120" spans="2:64" ht="15.95" hidden="1" customHeight="1" x14ac:dyDescent="0.15">
      <c r="B120" s="91" t="s">
        <v>471</v>
      </c>
      <c r="C120" s="90"/>
      <c r="D120" s="90"/>
      <c r="E120" s="90"/>
      <c r="F120" s="92"/>
      <c r="G120" s="5"/>
      <c r="H120" s="5"/>
      <c r="I120" s="5"/>
      <c r="J120" s="5"/>
      <c r="K120" s="5"/>
      <c r="L120" s="5"/>
      <c r="M120" s="2"/>
      <c r="N120" s="5"/>
      <c r="O120" s="255"/>
      <c r="AG120" s="69"/>
      <c r="AZ120" s="11"/>
      <c r="BA120" s="85"/>
      <c r="BB120" s="714" t="s">
        <v>380</v>
      </c>
      <c r="BC120" s="715" t="s">
        <v>372</v>
      </c>
      <c r="BD120" s="716" t="s">
        <v>373</v>
      </c>
      <c r="BE120" s="716" t="s">
        <v>374</v>
      </c>
      <c r="BF120" s="716" t="s">
        <v>375</v>
      </c>
      <c r="BG120" s="716" t="s">
        <v>378</v>
      </c>
      <c r="BH120" s="717" t="s">
        <v>381</v>
      </c>
      <c r="BI120" s="718" t="e">
        <f>#REF!*1.45</f>
        <v>#REF!</v>
      </c>
      <c r="BJ120" s="719">
        <v>126.89</v>
      </c>
      <c r="BK120" s="720">
        <v>129.88999999999999</v>
      </c>
      <c r="BL120" s="721">
        <v>176.23</v>
      </c>
    </row>
    <row r="121" spans="2:64" ht="15.95" hidden="1" customHeight="1" x14ac:dyDescent="0.15">
      <c r="B121" s="93" t="s">
        <v>472</v>
      </c>
      <c r="C121" s="90"/>
      <c r="D121" s="90"/>
      <c r="E121" s="90"/>
      <c r="F121" s="92"/>
      <c r="G121" s="5"/>
      <c r="H121" s="5"/>
      <c r="I121" s="5"/>
      <c r="J121" s="5"/>
      <c r="K121" s="5"/>
      <c r="L121" s="5"/>
      <c r="M121" s="2"/>
      <c r="N121" s="5"/>
      <c r="O121" s="255"/>
      <c r="AG121" s="69"/>
      <c r="AZ121" s="11"/>
      <c r="BA121" s="85"/>
      <c r="BB121" s="714" t="s">
        <v>328</v>
      </c>
      <c r="BC121" s="715" t="s">
        <v>372</v>
      </c>
      <c r="BD121" s="716" t="s">
        <v>373</v>
      </c>
      <c r="BE121" s="716" t="s">
        <v>374</v>
      </c>
      <c r="BF121" s="716" t="s">
        <v>375</v>
      </c>
      <c r="BG121" s="716" t="s">
        <v>378</v>
      </c>
      <c r="BH121" s="717" t="s">
        <v>381</v>
      </c>
      <c r="BI121" s="718">
        <f>A154*1.45</f>
        <v>0</v>
      </c>
      <c r="BJ121" s="719">
        <v>80.64</v>
      </c>
      <c r="BK121" s="720">
        <v>100</v>
      </c>
      <c r="BL121" s="721">
        <v>112</v>
      </c>
    </row>
    <row r="122" spans="2:64" ht="15.95" hidden="1" customHeight="1" x14ac:dyDescent="0.15">
      <c r="B122" s="93" t="s">
        <v>487</v>
      </c>
      <c r="C122" s="90"/>
      <c r="D122" s="90"/>
      <c r="E122" s="90"/>
      <c r="F122" s="92"/>
      <c r="G122" s="5"/>
      <c r="H122" s="5"/>
      <c r="I122" s="5"/>
      <c r="J122" s="5"/>
      <c r="K122" s="5"/>
      <c r="L122" s="5"/>
      <c r="M122" s="2"/>
      <c r="N122" s="5"/>
      <c r="O122" s="255"/>
      <c r="AG122" s="69"/>
      <c r="AZ122" s="11"/>
      <c r="BA122" s="85"/>
      <c r="BB122" s="714" t="s">
        <v>382</v>
      </c>
      <c r="BC122" s="715" t="s">
        <v>372</v>
      </c>
      <c r="BD122" s="716" t="s">
        <v>373</v>
      </c>
      <c r="BE122" s="716" t="s">
        <v>374</v>
      </c>
      <c r="BF122" s="716" t="s">
        <v>375</v>
      </c>
      <c r="BG122" s="716" t="s">
        <v>378</v>
      </c>
      <c r="BH122" s="717" t="s">
        <v>381</v>
      </c>
      <c r="BI122" s="718">
        <f>A155*1.45</f>
        <v>0</v>
      </c>
      <c r="BJ122" s="719">
        <v>90.32</v>
      </c>
      <c r="BK122" s="720">
        <v>100</v>
      </c>
      <c r="BL122" s="721">
        <v>125.44</v>
      </c>
    </row>
    <row r="123" spans="2:64" ht="15.95" hidden="1" customHeight="1" thickBot="1" x14ac:dyDescent="0.2">
      <c r="B123" s="94" t="s">
        <v>484</v>
      </c>
      <c r="C123" s="95"/>
      <c r="D123" s="95"/>
      <c r="E123" s="95"/>
      <c r="F123" s="96"/>
      <c r="G123" s="5"/>
      <c r="H123" s="5"/>
      <c r="I123" s="5"/>
      <c r="J123" s="5"/>
      <c r="K123" s="5"/>
      <c r="L123" s="5"/>
      <c r="M123" s="2"/>
      <c r="N123" s="5"/>
      <c r="O123" s="255"/>
      <c r="AD123" s="70"/>
      <c r="AE123" s="70"/>
      <c r="AF123" s="70"/>
      <c r="AG123" s="69"/>
      <c r="AZ123" s="11"/>
      <c r="BA123" s="85"/>
      <c r="BB123" s="714" t="s">
        <v>383</v>
      </c>
      <c r="BC123" s="715" t="s">
        <v>372</v>
      </c>
      <c r="BD123" s="716" t="s">
        <v>373</v>
      </c>
      <c r="BE123" s="716" t="s">
        <v>374</v>
      </c>
      <c r="BF123" s="716" t="s">
        <v>375</v>
      </c>
      <c r="BG123" s="716" t="s">
        <v>378</v>
      </c>
      <c r="BH123" s="717" t="s">
        <v>381</v>
      </c>
      <c r="BI123" s="718">
        <f>A156*1.45</f>
        <v>0</v>
      </c>
      <c r="BJ123" s="719">
        <v>101.15</v>
      </c>
      <c r="BK123" s="720">
        <v>101.15</v>
      </c>
      <c r="BL123" s="721">
        <v>140.4</v>
      </c>
    </row>
    <row r="124" spans="2:64" ht="15.95" hidden="1" customHeight="1" x14ac:dyDescent="0.15">
      <c r="B124" s="3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2"/>
      <c r="N124" s="5"/>
      <c r="O124" s="255"/>
      <c r="AD124" s="70"/>
      <c r="AE124" s="70"/>
      <c r="AF124" s="70"/>
      <c r="AG124" s="69"/>
      <c r="AZ124" s="11"/>
      <c r="BA124" s="85"/>
      <c r="BB124" s="714" t="s">
        <v>384</v>
      </c>
      <c r="BC124" s="715" t="s">
        <v>372</v>
      </c>
      <c r="BD124" s="716" t="s">
        <v>373</v>
      </c>
      <c r="BE124" s="716" t="s">
        <v>374</v>
      </c>
      <c r="BF124" s="716" t="s">
        <v>375</v>
      </c>
      <c r="BG124" s="716" t="s">
        <v>378</v>
      </c>
      <c r="BH124" s="717" t="s">
        <v>381</v>
      </c>
      <c r="BI124" s="718">
        <f>A157*1.45</f>
        <v>1.45</v>
      </c>
      <c r="BJ124" s="719">
        <v>113.29</v>
      </c>
      <c r="BK124" s="720">
        <v>113.29</v>
      </c>
      <c r="BL124" s="721">
        <v>157.35</v>
      </c>
    </row>
    <row r="125" spans="2:64" ht="13.5" hidden="1" x14ac:dyDescent="0.15">
      <c r="B125" s="30"/>
      <c r="C125" s="5"/>
      <c r="D125" s="5"/>
      <c r="E125" s="5"/>
      <c r="F125" s="5"/>
      <c r="G125" s="5"/>
      <c r="H125" s="5"/>
      <c r="I125" s="5"/>
      <c r="J125" s="74"/>
      <c r="K125" s="5"/>
      <c r="L125" s="5"/>
      <c r="M125" s="2"/>
      <c r="N125" s="5"/>
      <c r="O125" s="255"/>
      <c r="AD125" s="70"/>
      <c r="AE125" s="70"/>
      <c r="AF125" s="70"/>
      <c r="AG125" s="69"/>
      <c r="AZ125" s="11"/>
      <c r="BA125" s="85"/>
      <c r="BB125" s="714" t="s">
        <v>385</v>
      </c>
      <c r="BC125" s="715" t="s">
        <v>372</v>
      </c>
      <c r="BD125" s="716" t="s">
        <v>373</v>
      </c>
      <c r="BE125" s="716" t="s">
        <v>374</v>
      </c>
      <c r="BF125" s="716" t="s">
        <v>375</v>
      </c>
      <c r="BG125" s="716" t="s">
        <v>378</v>
      </c>
      <c r="BH125" s="717" t="s">
        <v>381</v>
      </c>
      <c r="BI125" s="718">
        <f>A157*1.45</f>
        <v>1.45</v>
      </c>
      <c r="BJ125" s="719">
        <v>126.89</v>
      </c>
      <c r="BK125" s="720">
        <v>126.89</v>
      </c>
      <c r="BL125" s="721">
        <v>176.23</v>
      </c>
    </row>
    <row r="126" spans="2:64" ht="13.5" hidden="1" x14ac:dyDescent="0.15">
      <c r="B126" s="1849" t="s">
        <v>508</v>
      </c>
      <c r="C126" s="1849"/>
      <c r="D126" s="1849"/>
      <c r="E126" s="1849"/>
      <c r="H126" s="5"/>
      <c r="I126" s="37"/>
      <c r="J126" s="5"/>
      <c r="K126" s="27"/>
      <c r="L126" s="6"/>
      <c r="M126" s="27"/>
      <c r="N126" s="60"/>
      <c r="O126" s="255"/>
      <c r="AD126" s="70"/>
      <c r="AE126" s="70"/>
      <c r="AF126" s="70"/>
      <c r="AG126" s="69"/>
      <c r="AZ126" s="11"/>
      <c r="BA126" s="85"/>
      <c r="BB126" s="714" t="s">
        <v>386</v>
      </c>
      <c r="BC126" s="715" t="s">
        <v>372</v>
      </c>
      <c r="BD126" s="716" t="s">
        <v>373</v>
      </c>
      <c r="BE126" s="716" t="s">
        <v>374</v>
      </c>
      <c r="BF126" s="716" t="s">
        <v>375</v>
      </c>
      <c r="BG126" s="716" t="s">
        <v>378</v>
      </c>
      <c r="BH126" s="717" t="s">
        <v>381</v>
      </c>
      <c r="BI126" s="718">
        <f>A158*1.45</f>
        <v>2.9</v>
      </c>
      <c r="BJ126" s="719">
        <v>126.89</v>
      </c>
      <c r="BK126" s="720">
        <v>126.89</v>
      </c>
      <c r="BL126" s="721">
        <v>176.23</v>
      </c>
    </row>
    <row r="127" spans="2:64" hidden="1" thickBot="1" x14ac:dyDescent="0.2">
      <c r="B127" s="34" t="s">
        <v>463</v>
      </c>
      <c r="C127" s="17"/>
      <c r="D127" s="21"/>
      <c r="E127" s="36"/>
      <c r="F127" s="5"/>
      <c r="G127" s="28"/>
      <c r="H127" s="5"/>
      <c r="I127" s="17" t="s">
        <v>463</v>
      </c>
      <c r="J127" s="5" t="str">
        <f>IF(E2=B117,H128,IF(E2=B119,H128,IF(E2=B121,H128,IF(E2=B122,H128,"NÃO CABE"))))</f>
        <v>NÃO CABE</v>
      </c>
      <c r="K127" s="27"/>
      <c r="L127" s="6" t="s">
        <v>510</v>
      </c>
      <c r="M127" s="27"/>
      <c r="N127" s="60"/>
      <c r="O127" s="255"/>
      <c r="X127" s="11"/>
      <c r="Y127" s="11"/>
      <c r="Z127" s="11"/>
      <c r="AA127" s="11"/>
      <c r="AB127" s="11"/>
      <c r="AC127" s="69"/>
      <c r="AD127" s="70"/>
      <c r="AE127" s="70"/>
      <c r="AF127" s="70"/>
      <c r="AG127" s="69"/>
      <c r="AZ127" s="11"/>
      <c r="BA127" s="85"/>
      <c r="BB127" s="714" t="s">
        <v>387</v>
      </c>
      <c r="BC127" s="715" t="s">
        <v>373</v>
      </c>
      <c r="BD127" s="716" t="s">
        <v>374</v>
      </c>
      <c r="BE127" s="716" t="s">
        <v>375</v>
      </c>
      <c r="BF127" s="716" t="s">
        <v>378</v>
      </c>
      <c r="BG127" s="716" t="s">
        <v>381</v>
      </c>
      <c r="BH127" s="717" t="s">
        <v>388</v>
      </c>
      <c r="BI127" s="718" t="e">
        <f>A159*1.45</f>
        <v>#VALUE!</v>
      </c>
      <c r="BJ127" s="719">
        <v>142.12</v>
      </c>
      <c r="BK127" s="720">
        <v>142.12</v>
      </c>
      <c r="BL127" s="721">
        <v>197.38</v>
      </c>
    </row>
    <row r="128" spans="2:64" hidden="1" thickBot="1" x14ac:dyDescent="0.2">
      <c r="B128" s="34" t="s">
        <v>485</v>
      </c>
      <c r="C128" s="17"/>
      <c r="D128" s="16"/>
      <c r="E128" s="57">
        <f>IF($F$128="NÃO CABE","NÃO CABE",IF($G$10="X",$F$128/30,$F$128/35))</f>
        <v>0</v>
      </c>
      <c r="F128" s="10">
        <f>IF(E2="VOLUNTÁRIA ESPECIAL","NÃO CABE",IF(E2="VOLUNTÁRIA INTEGRAL","NÃO CABE",IF(E2="COMPULSÓRIA INTEGRAL","NÃO CABE",IF(E2="INVALIDEZ INTEGRAL","NÃO CABE",ROUNDDOWN(F61/365,0)))))</f>
        <v>0</v>
      </c>
      <c r="G128" s="28"/>
      <c r="H128" s="14">
        <f>IF(E128&gt;1,1,E128)</f>
        <v>0</v>
      </c>
      <c r="I128" s="17" t="s">
        <v>485</v>
      </c>
      <c r="J128" s="5" t="str">
        <f>IF($E$2=$B$117,H128,IF($E$2=$B$119,H128,IF($E$2=$B$121,H128,"NÃO CABE")))</f>
        <v>NÃO CABE</v>
      </c>
      <c r="K128" s="27"/>
      <c r="L128" s="57">
        <f>IF($F$128="NÃO CABE","NÃO CABE",IF($G$10="X",$F$61/10950,$F$61/12775))</f>
        <v>0</v>
      </c>
      <c r="M128" s="14">
        <f>IF(L128&gt;1,1,L128)</f>
        <v>0</v>
      </c>
      <c r="N128" s="5" t="str">
        <f>IF($E$2=$B$117,M128,IF($E$2=$B$119,M128,IF($E$2=$B$121,M128,"NÃO CABE")))</f>
        <v>NÃO CABE</v>
      </c>
      <c r="O128" s="255"/>
      <c r="X128" s="11"/>
      <c r="Y128" s="11"/>
      <c r="Z128" s="11"/>
      <c r="AA128" s="11"/>
      <c r="AB128" s="11"/>
      <c r="AC128" s="69"/>
      <c r="AD128" s="70"/>
      <c r="AE128" s="70"/>
      <c r="AF128" s="70"/>
      <c r="AG128" s="69"/>
      <c r="AZ128" s="11"/>
      <c r="BA128" s="85"/>
      <c r="BB128" s="714" t="s">
        <v>389</v>
      </c>
      <c r="BC128" s="715" t="s">
        <v>373</v>
      </c>
      <c r="BD128" s="716" t="s">
        <v>374</v>
      </c>
      <c r="BE128" s="716" t="s">
        <v>375</v>
      </c>
      <c r="BF128" s="716" t="s">
        <v>378</v>
      </c>
      <c r="BG128" s="716" t="s">
        <v>381</v>
      </c>
      <c r="BH128" s="717" t="s">
        <v>388</v>
      </c>
      <c r="BI128" s="718">
        <f>A161*1.45</f>
        <v>5.8</v>
      </c>
      <c r="BJ128" s="719">
        <v>90.32</v>
      </c>
      <c r="BK128" s="720">
        <v>100</v>
      </c>
      <c r="BL128" s="721">
        <v>125.44</v>
      </c>
    </row>
    <row r="129" spans="2:64" hidden="1" thickBot="1" x14ac:dyDescent="0.2">
      <c r="B129" s="34" t="s">
        <v>476</v>
      </c>
      <c r="C129" s="17"/>
      <c r="D129" s="16"/>
      <c r="E129" s="58" t="str">
        <f>IF(E2=B122,IF(C65&gt;0,"TEMPO A CUMPRIR",IF(F129=1,75%,IF(F129=2,80%,IF(F129=3,85%,IF(F129=4,90%,IF(F129=5,95%,IF(F129&gt;=6,100%,70%))))))),"NÃO CABE")</f>
        <v>NÃO CABE</v>
      </c>
      <c r="F129" s="10">
        <f>IF(G10="X",ROUNDDOWN((F61-(25*365+E43))/365,0),ROUNDDOWN((F61-(30*365+E43))/365,0))</f>
        <v>-30</v>
      </c>
      <c r="G129" s="28"/>
      <c r="I129" s="17" t="s">
        <v>476</v>
      </c>
      <c r="J129" s="5" t="str">
        <f>IF(E2=B122,E129,"NÃO CABE")</f>
        <v>NÃO CABE</v>
      </c>
      <c r="K129" s="27"/>
      <c r="L129" s="65"/>
      <c r="M129" s="66">
        <f>O10</f>
        <v>0</v>
      </c>
      <c r="N129" s="60">
        <v>38037</v>
      </c>
      <c r="O129" s="255"/>
      <c r="X129" s="11"/>
      <c r="Y129" s="11"/>
      <c r="Z129" s="11"/>
      <c r="AA129" s="11"/>
      <c r="AB129" s="11"/>
      <c r="AC129" s="69"/>
      <c r="AD129" s="70"/>
      <c r="AE129" s="70"/>
      <c r="AF129" s="70"/>
      <c r="AG129" s="69"/>
      <c r="AZ129" s="11"/>
      <c r="BA129" s="85"/>
      <c r="BB129" s="714" t="s">
        <v>390</v>
      </c>
      <c r="BC129" s="715" t="s">
        <v>373</v>
      </c>
      <c r="BD129" s="716" t="s">
        <v>374</v>
      </c>
      <c r="BE129" s="716" t="s">
        <v>375</v>
      </c>
      <c r="BF129" s="716" t="s">
        <v>378</v>
      </c>
      <c r="BG129" s="716" t="s">
        <v>381</v>
      </c>
      <c r="BH129" s="717" t="s">
        <v>388</v>
      </c>
      <c r="BI129" s="718"/>
      <c r="BJ129" s="719"/>
      <c r="BK129" s="720"/>
      <c r="BL129" s="721"/>
    </row>
    <row r="130" spans="2:64" hidden="1" thickBot="1" x14ac:dyDescent="0.2">
      <c r="B130" s="35" t="s">
        <v>464</v>
      </c>
      <c r="C130" s="33"/>
      <c r="D130" s="16"/>
      <c r="E130" s="36" t="s">
        <v>457</v>
      </c>
      <c r="F130" s="5">
        <f>IF($D$12="X",50-$N$11,55-$N$11)</f>
        <v>55</v>
      </c>
      <c r="G130" s="28"/>
      <c r="H130" s="59" t="str">
        <f>IF($G$10="X",IF($O$9&gt;=17532,IF($O$10&gt;=38718,1-($F$130*0.05),1-($F$130*0.035)),"NÃO CABE"),IF($O$9&gt;=19359,IF($O$10&gt;=38718,1-($F$131*0.05),1-($F$131*0.035)),"NÃO CABE"))</f>
        <v>NÃO CABE</v>
      </c>
      <c r="I130" s="33" t="s">
        <v>464</v>
      </c>
      <c r="J130" s="61" t="str">
        <f>IF(E2=B123,H131,"NÃO CABE")</f>
        <v>NÃO CABE</v>
      </c>
      <c r="K130" s="27"/>
      <c r="L130" s="6"/>
      <c r="M130" s="27"/>
      <c r="N130" s="60"/>
      <c r="O130" s="255"/>
      <c r="X130" s="11"/>
      <c r="Y130" s="11"/>
      <c r="Z130" s="11"/>
      <c r="AA130" s="11"/>
      <c r="AB130" s="11"/>
      <c r="AC130" s="69"/>
      <c r="AD130" s="70"/>
      <c r="AE130" s="70"/>
      <c r="AF130" s="70"/>
      <c r="AG130" s="69"/>
      <c r="AX130" s="11"/>
      <c r="AY130" s="11"/>
      <c r="AZ130" s="11"/>
      <c r="BA130" s="85"/>
      <c r="BB130" s="714" t="s">
        <v>391</v>
      </c>
      <c r="BC130" s="715" t="s">
        <v>373</v>
      </c>
      <c r="BD130" s="716" t="s">
        <v>374</v>
      </c>
      <c r="BE130" s="716" t="s">
        <v>375</v>
      </c>
      <c r="BF130" s="716" t="s">
        <v>378</v>
      </c>
      <c r="BG130" s="716" t="s">
        <v>381</v>
      </c>
      <c r="BH130" s="717" t="s">
        <v>388</v>
      </c>
      <c r="BI130" s="718" t="e">
        <f>A163*1.45</f>
        <v>#VALUE!</v>
      </c>
      <c r="BJ130" s="719">
        <v>101.15</v>
      </c>
      <c r="BK130" s="720">
        <v>101.15</v>
      </c>
      <c r="BL130" s="721">
        <v>140.4</v>
      </c>
    </row>
    <row r="131" spans="2:64" ht="13.5" hidden="1" x14ac:dyDescent="0.15">
      <c r="B131" s="39">
        <v>38717</v>
      </c>
      <c r="C131" s="11">
        <v>38717</v>
      </c>
      <c r="D131" s="16"/>
      <c r="E131" s="36" t="s">
        <v>456</v>
      </c>
      <c r="F131" s="5">
        <f>IF($D$12="X",55-$N$11,60-$N$11)</f>
        <v>60</v>
      </c>
      <c r="G131" s="28"/>
      <c r="H131" s="14">
        <f>IF(H130="NÃO CABE",0,IF(H130&gt;1,1,H130))</f>
        <v>0</v>
      </c>
      <c r="I131" s="18"/>
      <c r="J131" s="5"/>
      <c r="K131" s="27"/>
      <c r="L131" s="6"/>
      <c r="M131" s="27"/>
      <c r="N131" s="60"/>
      <c r="O131" s="255"/>
      <c r="X131" s="11"/>
      <c r="Y131" s="11"/>
      <c r="Z131" s="11"/>
      <c r="AA131" s="11"/>
      <c r="AB131" s="11"/>
      <c r="AC131" s="69"/>
      <c r="AD131" s="70"/>
      <c r="AE131" s="70"/>
      <c r="AF131" s="70"/>
      <c r="AG131" s="69"/>
      <c r="AS131" s="69"/>
      <c r="AX131" s="11"/>
      <c r="AY131" s="11"/>
      <c r="AZ131" s="11"/>
      <c r="BA131" s="85"/>
      <c r="BB131" s="714" t="s">
        <v>392</v>
      </c>
      <c r="BC131" s="715" t="s">
        <v>373</v>
      </c>
      <c r="BD131" s="716" t="s">
        <v>374</v>
      </c>
      <c r="BE131" s="716" t="s">
        <v>375</v>
      </c>
      <c r="BF131" s="716" t="s">
        <v>378</v>
      </c>
      <c r="BG131" s="716" t="s">
        <v>381</v>
      </c>
      <c r="BH131" s="717" t="s">
        <v>388</v>
      </c>
      <c r="BI131" s="718"/>
      <c r="BJ131" s="719"/>
      <c r="BK131" s="720"/>
      <c r="BL131" s="721"/>
    </row>
    <row r="132" spans="2:64" ht="13.5" hidden="1" x14ac:dyDescent="0.15">
      <c r="B132" s="39">
        <v>38718</v>
      </c>
      <c r="C132" s="11">
        <v>38718</v>
      </c>
      <c r="D132" s="8"/>
      <c r="E132" s="63"/>
      <c r="F132" s="6"/>
      <c r="G132" s="6"/>
      <c r="H132" s="6"/>
      <c r="I132" s="18"/>
      <c r="J132" s="9"/>
      <c r="K132" s="5"/>
      <c r="L132" s="6"/>
      <c r="M132" s="10"/>
      <c r="N132" s="11"/>
      <c r="O132" s="255"/>
      <c r="X132" s="11"/>
      <c r="Y132" s="11"/>
      <c r="Z132" s="11"/>
      <c r="AA132" s="11"/>
      <c r="AB132" s="11"/>
      <c r="AC132" s="69"/>
      <c r="AD132" s="70"/>
      <c r="AE132" s="70"/>
      <c r="AF132" s="70"/>
      <c r="AG132" s="69"/>
      <c r="AX132" s="11"/>
      <c r="AY132" s="11"/>
      <c r="AZ132" s="11"/>
      <c r="BA132" s="85"/>
      <c r="BB132" s="714" t="s">
        <v>393</v>
      </c>
      <c r="BC132" s="715" t="s">
        <v>373</v>
      </c>
      <c r="BD132" s="716" t="s">
        <v>374</v>
      </c>
      <c r="BE132" s="716" t="s">
        <v>375</v>
      </c>
      <c r="BF132" s="716" t="s">
        <v>378</v>
      </c>
      <c r="BG132" s="716" t="s">
        <v>381</v>
      </c>
      <c r="BH132" s="717" t="s">
        <v>388</v>
      </c>
      <c r="BI132" s="718">
        <f>A164*1.45</f>
        <v>8.6999999999999993</v>
      </c>
      <c r="BJ132" s="719">
        <v>113.29</v>
      </c>
      <c r="BK132" s="720">
        <v>113.29</v>
      </c>
      <c r="BL132" s="721">
        <v>157.35</v>
      </c>
    </row>
    <row r="133" spans="2:64" ht="13.5" hidden="1" x14ac:dyDescent="0.15">
      <c r="B133" s="62"/>
      <c r="C133" s="38">
        <v>38097</v>
      </c>
      <c r="D133" s="8"/>
      <c r="E133" s="5"/>
      <c r="F133" s="6"/>
      <c r="G133" s="6"/>
      <c r="H133" s="6"/>
      <c r="I133" s="6"/>
      <c r="J133" s="9"/>
      <c r="K133" s="5"/>
      <c r="L133" s="6"/>
      <c r="M133" s="10"/>
      <c r="N133" s="11"/>
      <c r="O133" s="255"/>
      <c r="X133" s="11"/>
      <c r="Y133" s="11"/>
      <c r="Z133" s="11"/>
      <c r="AA133" s="11"/>
      <c r="AB133" s="11"/>
      <c r="AC133" s="69"/>
      <c r="AD133" s="70"/>
      <c r="AE133" s="70"/>
      <c r="AF133" s="70"/>
      <c r="AG133" s="69"/>
      <c r="AX133" s="11"/>
      <c r="AY133" s="11"/>
      <c r="AZ133" s="11"/>
      <c r="BA133" s="85"/>
      <c r="BB133" s="714" t="s">
        <v>394</v>
      </c>
      <c r="BC133" s="715" t="s">
        <v>373</v>
      </c>
      <c r="BD133" s="716" t="s">
        <v>374</v>
      </c>
      <c r="BE133" s="716" t="s">
        <v>375</v>
      </c>
      <c r="BF133" s="716" t="s">
        <v>378</v>
      </c>
      <c r="BG133" s="716" t="s">
        <v>381</v>
      </c>
      <c r="BH133" s="717" t="s">
        <v>388</v>
      </c>
      <c r="BI133" s="718">
        <f>A165*1.45</f>
        <v>10.15</v>
      </c>
      <c r="BJ133" s="719">
        <v>113.29</v>
      </c>
      <c r="BK133" s="720">
        <v>113.29</v>
      </c>
      <c r="BL133" s="721">
        <v>157.35</v>
      </c>
    </row>
    <row r="134" spans="2:64" ht="13.5" hidden="1" x14ac:dyDescent="0.15">
      <c r="B134" s="6"/>
      <c r="C134" s="38"/>
      <c r="D134" s="8"/>
      <c r="E134" s="5"/>
      <c r="F134" s="6"/>
      <c r="G134" s="6"/>
      <c r="H134" s="6"/>
      <c r="I134" s="6"/>
      <c r="J134" s="9"/>
      <c r="K134" s="5"/>
      <c r="L134" s="6"/>
      <c r="M134" s="10"/>
      <c r="N134" s="11"/>
      <c r="O134" s="255"/>
      <c r="X134" s="11"/>
      <c r="Y134" s="11"/>
      <c r="Z134" s="11"/>
      <c r="AA134" s="11"/>
      <c r="AB134" s="11"/>
      <c r="AC134" s="69"/>
      <c r="AD134" s="70"/>
      <c r="AE134" s="70"/>
      <c r="AF134" s="70"/>
      <c r="AG134" s="69"/>
      <c r="AX134" s="11"/>
      <c r="AY134" s="11"/>
      <c r="AZ134" s="11"/>
      <c r="BA134" s="85"/>
      <c r="BB134" s="714" t="s">
        <v>395</v>
      </c>
      <c r="BC134" s="715" t="s">
        <v>396</v>
      </c>
      <c r="BD134" s="716" t="s">
        <v>397</v>
      </c>
      <c r="BE134" s="716" t="s">
        <v>397</v>
      </c>
      <c r="BF134" s="716" t="s">
        <v>398</v>
      </c>
      <c r="BG134" s="716" t="s">
        <v>398</v>
      </c>
      <c r="BH134" s="716" t="s">
        <v>398</v>
      </c>
      <c r="BI134" s="718"/>
      <c r="BJ134" s="719"/>
      <c r="BK134" s="720"/>
      <c r="BL134" s="721"/>
    </row>
    <row r="135" spans="2:64" ht="13.5" hidden="1" x14ac:dyDescent="0.15">
      <c r="B135" s="1849" t="s">
        <v>477</v>
      </c>
      <c r="C135" s="1849"/>
      <c r="D135" s="1849"/>
      <c r="E135" s="1849"/>
      <c r="F135" s="1849"/>
      <c r="G135" s="1849"/>
      <c r="H135" s="1849"/>
      <c r="I135" s="1849"/>
      <c r="J135" s="1849"/>
      <c r="K135" s="1849" t="s">
        <v>477</v>
      </c>
      <c r="L135" s="1849"/>
      <c r="M135" s="1849"/>
      <c r="N135" s="1849"/>
      <c r="O135" s="1849"/>
      <c r="P135" s="1849"/>
      <c r="Q135" s="1849"/>
      <c r="R135" s="1849"/>
      <c r="S135" s="1849"/>
      <c r="T135" s="11"/>
      <c r="U135" s="11"/>
      <c r="V135" s="11"/>
      <c r="W135" s="11"/>
      <c r="X135" s="11"/>
      <c r="Y135" s="11"/>
      <c r="Z135" s="11"/>
      <c r="AA135" s="11"/>
      <c r="AB135" s="11"/>
      <c r="AC135" s="69"/>
      <c r="AD135" s="70"/>
      <c r="AE135" s="70"/>
      <c r="AF135" s="70"/>
      <c r="AG135" s="69"/>
      <c r="AX135" s="11"/>
      <c r="AY135" s="11"/>
      <c r="AZ135" s="11"/>
      <c r="BA135" s="85"/>
      <c r="BB135" s="714" t="s">
        <v>399</v>
      </c>
      <c r="BC135" s="715" t="s">
        <v>396</v>
      </c>
      <c r="BD135" s="716" t="s">
        <v>397</v>
      </c>
      <c r="BE135" s="716" t="s">
        <v>397</v>
      </c>
      <c r="BF135" s="716" t="s">
        <v>398</v>
      </c>
      <c r="BG135" s="716" t="s">
        <v>398</v>
      </c>
      <c r="BH135" s="716" t="s">
        <v>398</v>
      </c>
      <c r="BI135" s="718">
        <f>A168*1.45</f>
        <v>13.049999999999999</v>
      </c>
      <c r="BJ135" s="719">
        <v>126.89</v>
      </c>
      <c r="BK135" s="720">
        <v>126.89</v>
      </c>
      <c r="BL135" s="721">
        <v>176.23</v>
      </c>
    </row>
    <row r="136" spans="2:64" ht="13.5" hidden="1" x14ac:dyDescent="0.15">
      <c r="B136" s="19" t="s">
        <v>480</v>
      </c>
      <c r="C136" s="8"/>
      <c r="D136" s="8"/>
      <c r="E136" s="5"/>
      <c r="F136" s="6" t="str">
        <f>IF(G10="X",IF(O9&gt;=20089,"ATENDE LIMITE MÍNIMO DE IDADE","NÃO ATENDE LIMITE MÍNIMO DE IDADE"),IF(O9&gt;=21915,"ATENDE LIMITE MÍNIMO DE IDADE","NÃO ATENDE LIMITE MÍNIMO DE IDADE"))</f>
        <v>NÃO ATENDE LIMITE MÍNIMO DE IDADE</v>
      </c>
      <c r="G136" s="6"/>
      <c r="H136" s="6"/>
      <c r="I136" s="6"/>
      <c r="J136" s="9"/>
      <c r="K136" s="5"/>
      <c r="L136" s="41" t="s">
        <v>450</v>
      </c>
      <c r="M136" s="10"/>
      <c r="N136" s="11"/>
      <c r="O136" s="255" t="b">
        <f>IF(E2=L136,IF(K2=O3,F136,IF(K2=O4,F138,IF(K2=O6,F136,IF(K2=O7,F137,IF(K2=O2,"NADA A CRITICAR","REANALISAR FUNDAMENTAÇÃO E/OU MODALIDADE"))))))</f>
        <v>0</v>
      </c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69"/>
      <c r="AD136" s="70"/>
      <c r="AE136" s="70"/>
      <c r="AF136" s="70"/>
      <c r="AG136" s="69"/>
      <c r="AX136" s="11"/>
      <c r="AY136" s="11"/>
      <c r="AZ136" s="11"/>
      <c r="BA136" s="85"/>
      <c r="BB136" s="714" t="s">
        <v>400</v>
      </c>
      <c r="BC136" s="715" t="s">
        <v>396</v>
      </c>
      <c r="BD136" s="716" t="s">
        <v>397</v>
      </c>
      <c r="BE136" s="716" t="s">
        <v>397</v>
      </c>
      <c r="BF136" s="716" t="s">
        <v>398</v>
      </c>
      <c r="BG136" s="716" t="s">
        <v>398</v>
      </c>
      <c r="BH136" s="716" t="s">
        <v>398</v>
      </c>
      <c r="BI136" s="718"/>
      <c r="BJ136" s="719"/>
      <c r="BK136" s="720"/>
      <c r="BL136" s="721"/>
    </row>
    <row r="137" spans="2:64" ht="13.5" hidden="1" x14ac:dyDescent="0.15">
      <c r="B137" s="6" t="s">
        <v>481</v>
      </c>
      <c r="D137" s="10"/>
      <c r="E137" s="11"/>
      <c r="F137" s="6" t="str">
        <f>IF(AND($D$10="X",$H$61&gt;=35),IF($AQ$21&gt;=$Z$6,"ATENDE LIMITE MÍNIMO DE IDADE","NÃO ATENDE LIMITE MÍNIMO DE IDADE"),IF(AND($G$10="X",$H$61&gt;=30),IF($AQ$21&gt;=$Z$7,"ATENDE LIMITE MÍNIMO DE IDADE","NÃO ATENDE LIMITE MÍNIMO DE IDADE"),"MARQUE O SEXO E/OU OBSERVE TEMPO DE CONTRIBUIÇÃO"))</f>
        <v>MARQUE O SEXO E/OU OBSERVE TEMPO DE CONTRIBUIÇÃO</v>
      </c>
      <c r="G137" s="6"/>
      <c r="H137" s="6"/>
      <c r="I137" s="6"/>
      <c r="J137" s="9"/>
      <c r="L137" s="41" t="s">
        <v>455</v>
      </c>
      <c r="O137" s="255" t="str">
        <f>IF(E2=L137,IF(K2=O3,F139,IF(K2=O4,F142,IF(K2=O6,F139,IF(K2=O2,"NADA A CRITICAR","REANALISAR FUNDAMENTAÇÃO E/OU MODALIDADE")))),"REANALISAR FUNDAMENTAÇÃO E/OU MODALIDADE")</f>
        <v>REANALISAR FUNDAMENTAÇÃO E/OU MODALIDADE</v>
      </c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69"/>
      <c r="AD137" s="70"/>
      <c r="AE137" s="70"/>
      <c r="AF137" s="70"/>
      <c r="AG137" s="69"/>
      <c r="AX137" s="11"/>
      <c r="AY137" s="11"/>
      <c r="AZ137" s="11"/>
      <c r="BA137" s="85"/>
      <c r="BB137" s="714" t="s">
        <v>401</v>
      </c>
      <c r="BC137" s="715" t="s">
        <v>396</v>
      </c>
      <c r="BD137" s="716" t="s">
        <v>397</v>
      </c>
      <c r="BE137" s="716" t="s">
        <v>397</v>
      </c>
      <c r="BF137" s="716" t="s">
        <v>398</v>
      </c>
      <c r="BG137" s="716" t="s">
        <v>398</v>
      </c>
      <c r="BH137" s="716" t="s">
        <v>398</v>
      </c>
      <c r="BI137" s="718">
        <f>A170*1.45</f>
        <v>15.95</v>
      </c>
      <c r="BJ137" s="719">
        <v>142.12</v>
      </c>
      <c r="BK137" s="720">
        <v>142.12</v>
      </c>
      <c r="BL137" s="721">
        <v>197.38</v>
      </c>
    </row>
    <row r="138" spans="2:64" ht="13.5" hidden="1" x14ac:dyDescent="0.15">
      <c r="B138" s="20" t="s">
        <v>482</v>
      </c>
      <c r="F138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38" s="5"/>
      <c r="L138" s="41" t="s">
        <v>467</v>
      </c>
      <c r="O138" s="254" t="str">
        <f>IF(E2=L138,IF(K2=O3,F140,IF(K2=O2,F140,"REANALISAR FUNDAMENTAÇÃO E/OU MODALIDADE")),"REANALISAR FUNDAMENTAÇÃO E/OU MODALIDADE")</f>
        <v>REANALISAR FUNDAMENTAÇÃO E/OU MODALIDADE</v>
      </c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69"/>
      <c r="AD138" s="70"/>
      <c r="AE138" s="70"/>
      <c r="AF138" s="70"/>
      <c r="AG138" s="69"/>
      <c r="AX138" s="11"/>
      <c r="AY138" s="11"/>
      <c r="AZ138" s="11"/>
      <c r="BA138" s="85"/>
      <c r="BB138" s="722" t="s">
        <v>402</v>
      </c>
      <c r="BC138" s="715" t="s">
        <v>396</v>
      </c>
      <c r="BD138" s="716" t="s">
        <v>397</v>
      </c>
      <c r="BE138" s="716" t="s">
        <v>397</v>
      </c>
      <c r="BF138" s="716" t="s">
        <v>398</v>
      </c>
      <c r="BG138" s="716" t="s">
        <v>398</v>
      </c>
      <c r="BH138" s="716" t="s">
        <v>398</v>
      </c>
      <c r="BI138" s="718"/>
      <c r="BJ138" s="719"/>
      <c r="BK138" s="720"/>
      <c r="BL138" s="721"/>
    </row>
    <row r="139" spans="2:64" ht="13.5" hidden="1" x14ac:dyDescent="0.15">
      <c r="B139" s="6" t="s">
        <v>478</v>
      </c>
      <c r="C139" s="8"/>
      <c r="D139" s="8"/>
      <c r="E139" s="5"/>
      <c r="F139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39" s="6"/>
      <c r="H139" s="6"/>
      <c r="I139" s="6"/>
      <c r="J139" s="9"/>
      <c r="K139" s="5"/>
      <c r="L139" s="11" t="s">
        <v>487</v>
      </c>
      <c r="M139" s="10"/>
      <c r="N139" s="11"/>
      <c r="O139" s="255" t="str">
        <f>IF(E2=L139,IF(K2=O4,F141,IF(K2=O2,"NADA A CRITICAR","REANALISAR FUNDAMENTAÇÃO E/OU MODALIDADE")),"REANALISAR FUNDAMENTAÇÃO E/OU MODALIDADE")</f>
        <v>REANALISAR FUNDAMENTAÇÃO E/OU MODALIDADE</v>
      </c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69"/>
      <c r="AD139" s="70"/>
      <c r="AE139" s="70"/>
      <c r="AF139" s="70"/>
      <c r="AG139" s="69"/>
      <c r="AX139" s="11"/>
      <c r="AY139" s="11"/>
      <c r="AZ139" s="11"/>
      <c r="BA139" s="85"/>
      <c r="BB139" s="714" t="s">
        <v>403</v>
      </c>
      <c r="BC139" s="715" t="s">
        <v>396</v>
      </c>
      <c r="BD139" s="716" t="s">
        <v>397</v>
      </c>
      <c r="BE139" s="716" t="s">
        <v>397</v>
      </c>
      <c r="BF139" s="716" t="s">
        <v>398</v>
      </c>
      <c r="BG139" s="716" t="s">
        <v>398</v>
      </c>
      <c r="BH139" s="716" t="s">
        <v>398</v>
      </c>
      <c r="BI139" s="718">
        <f>A172*1.45</f>
        <v>18.849999999999998</v>
      </c>
      <c r="BJ139" s="719">
        <v>159.16999999999999</v>
      </c>
      <c r="BK139" s="720">
        <v>159.16999999999999</v>
      </c>
      <c r="BL139" s="721">
        <v>221.06</v>
      </c>
    </row>
    <row r="140" spans="2:64" ht="13.5" hidden="1" x14ac:dyDescent="0.15">
      <c r="B140" s="6" t="s">
        <v>479</v>
      </c>
      <c r="C140" s="8"/>
      <c r="D140" s="8"/>
      <c r="E140" s="5"/>
      <c r="F140" s="6" t="str">
        <f>IF(G10="X",IF(O9&gt;=21915,"ATENDE LIMITE MÍNIMO DE IDADE","NÃO ATENDE LIMITE MÍNIMO DE IDADE"),IF(O9&gt;=23741,"ATENDE LIMITE MÍNIMO DE IDADE","NÃO ATENDE LIMITE MÍNIMO DE IDADE"))</f>
        <v>NÃO ATENDE LIMITE MÍNIMO DE IDADE</v>
      </c>
      <c r="G140" s="6"/>
      <c r="H140" s="6"/>
      <c r="I140" s="6"/>
      <c r="J140" s="9"/>
      <c r="K140" s="5"/>
      <c r="L140" s="42" t="s">
        <v>484</v>
      </c>
      <c r="M140" s="10"/>
      <c r="N140" s="11"/>
      <c r="O140" s="255" t="str">
        <f>IF(E2=L140,IF(K2=O5,F138,"REANALISAR FUNDAMENTAÇÃO E/OU MODALIDADE"),"REANALISAR FUNDAMENTAÇÃO E/OU MODALIDADE")</f>
        <v>REANALISAR FUNDAMENTAÇÃO E/OU MODALIDADE</v>
      </c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69"/>
      <c r="AD140" s="70"/>
      <c r="AE140" s="70"/>
      <c r="AF140" s="70"/>
      <c r="AG140" s="69"/>
      <c r="AX140" s="11"/>
      <c r="AY140" s="11"/>
      <c r="AZ140" s="11"/>
      <c r="BA140" s="85"/>
      <c r="BB140" s="714" t="s">
        <v>404</v>
      </c>
      <c r="BC140" s="715" t="s">
        <v>396</v>
      </c>
      <c r="BD140" s="716" t="s">
        <v>397</v>
      </c>
      <c r="BE140" s="716" t="s">
        <v>397</v>
      </c>
      <c r="BF140" s="716" t="s">
        <v>398</v>
      </c>
      <c r="BG140" s="716" t="s">
        <v>398</v>
      </c>
      <c r="BH140" s="716" t="s">
        <v>398</v>
      </c>
      <c r="BI140" s="718">
        <f>A173*1.45</f>
        <v>20.3</v>
      </c>
      <c r="BJ140" s="719">
        <v>101.15</v>
      </c>
      <c r="BK140" s="720">
        <v>101.15</v>
      </c>
      <c r="BL140" s="721">
        <v>140.4</v>
      </c>
    </row>
    <row r="141" spans="2:64" hidden="1" x14ac:dyDescent="0.15">
      <c r="B141" s="20" t="s">
        <v>483</v>
      </c>
      <c r="C141" s="43"/>
      <c r="D141" s="43"/>
      <c r="E141" s="44"/>
      <c r="F141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41" s="44"/>
      <c r="H141" s="44"/>
      <c r="I141" s="44"/>
      <c r="J141" s="44"/>
      <c r="K141" s="45"/>
      <c r="L141" s="46" t="s">
        <v>488</v>
      </c>
      <c r="M141" s="46"/>
      <c r="N141" s="47"/>
      <c r="O141" s="255" t="b">
        <f>IF($K$2=$O$2,IF($E$2=$B$118,$F$143,IF(E2=$B$119,$F$143,IF($E$2=$B$120,"EX OFFICIO",IF($E$2=$B$121,"EX OFFICIO","REANALISAR FUNDAMENTAÇÃO E/OU MODALIDADE")))),IF($K$2=$O$3,IF($E$2=$B$118,$F$143,IF($E$2=$B$119,$F$143,IF($E$2=$B$120,"EX OFFICIO",IF($E$2=$B$121,"EX OFFICIO","REANALISAR FUNDAMENTAÇÃO E/OU MODADALIDADE"))))))</f>
        <v>0</v>
      </c>
      <c r="P141" s="3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69"/>
      <c r="AD141" s="70"/>
      <c r="AE141" s="70"/>
      <c r="AF141" s="70"/>
      <c r="AG141" s="69"/>
      <c r="AX141" s="11"/>
      <c r="AY141" s="11"/>
      <c r="AZ141" s="11"/>
      <c r="BA141" s="85"/>
      <c r="BB141" s="714" t="s">
        <v>405</v>
      </c>
      <c r="BC141" s="715" t="s">
        <v>396</v>
      </c>
      <c r="BD141" s="716" t="s">
        <v>397</v>
      </c>
      <c r="BE141" s="716" t="s">
        <v>397</v>
      </c>
      <c r="BF141" s="716" t="s">
        <v>398</v>
      </c>
      <c r="BG141" s="716" t="s">
        <v>398</v>
      </c>
      <c r="BH141" s="716" t="s">
        <v>398</v>
      </c>
      <c r="BI141" s="718"/>
      <c r="BJ141" s="719"/>
      <c r="BK141" s="720"/>
      <c r="BL141" s="721"/>
    </row>
    <row r="142" spans="2:64" ht="13.5" hidden="1" x14ac:dyDescent="0.15">
      <c r="B142" s="20" t="s">
        <v>486</v>
      </c>
      <c r="C142" s="43"/>
      <c r="D142" s="43"/>
      <c r="E142" s="44"/>
      <c r="F142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42" s="44"/>
      <c r="H142" s="44"/>
      <c r="I142" s="44"/>
      <c r="J142" s="44"/>
      <c r="K142" s="46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69"/>
      <c r="AD142" s="70"/>
      <c r="AE142" s="70"/>
      <c r="AF142" s="70"/>
      <c r="AG142" s="69"/>
      <c r="AX142" s="11"/>
      <c r="AY142" s="11"/>
      <c r="AZ142" s="11"/>
      <c r="BA142" s="85"/>
      <c r="BB142" s="723" t="s">
        <v>406</v>
      </c>
      <c r="BC142" s="715" t="s">
        <v>396</v>
      </c>
      <c r="BD142" s="716" t="s">
        <v>397</v>
      </c>
      <c r="BE142" s="716" t="s">
        <v>397</v>
      </c>
      <c r="BF142" s="716" t="s">
        <v>398</v>
      </c>
      <c r="BG142" s="716" t="s">
        <v>398</v>
      </c>
      <c r="BH142" s="716" t="s">
        <v>398</v>
      </c>
      <c r="BI142" s="718"/>
      <c r="BJ142" s="719"/>
      <c r="BK142" s="720"/>
      <c r="BL142" s="721"/>
    </row>
    <row r="143" spans="2:64" ht="13.5" hidden="1" x14ac:dyDescent="0.15">
      <c r="B143" s="44" t="s">
        <v>503</v>
      </c>
      <c r="C143" s="43"/>
      <c r="D143" s="43"/>
      <c r="E143" s="44"/>
      <c r="F143" s="44" t="str">
        <f>IF($N$11&gt;=70,"ATENDE LIMITE MÍNIMO DE IDADE","NÃO ATENDE LIMITE MÍNIMO DE IDADE")</f>
        <v>NÃO ATENDE LIMITE MÍNIMO DE IDADE</v>
      </c>
      <c r="G143" s="44"/>
      <c r="H143" s="44"/>
      <c r="I143" s="44"/>
      <c r="J143" s="44"/>
      <c r="K143" s="46"/>
      <c r="L143" s="48"/>
      <c r="M143" s="48"/>
      <c r="N143" s="47"/>
      <c r="O143" s="255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69"/>
      <c r="AD143" s="70"/>
      <c r="AE143" s="70"/>
      <c r="AF143" s="70"/>
      <c r="AG143" s="69"/>
      <c r="AX143" s="11"/>
      <c r="AY143" s="11"/>
      <c r="AZ143" s="11"/>
      <c r="BA143" s="85"/>
      <c r="BB143" s="723" t="s">
        <v>407</v>
      </c>
      <c r="BC143" s="715" t="s">
        <v>396</v>
      </c>
      <c r="BD143" s="716" t="s">
        <v>397</v>
      </c>
      <c r="BE143" s="716" t="s">
        <v>397</v>
      </c>
      <c r="BF143" s="716" t="s">
        <v>398</v>
      </c>
      <c r="BG143" s="716" t="s">
        <v>398</v>
      </c>
      <c r="BH143" s="716" t="s">
        <v>398</v>
      </c>
      <c r="BI143" s="718"/>
      <c r="BJ143" s="719"/>
      <c r="BK143" s="720"/>
      <c r="BL143" s="721"/>
    </row>
    <row r="144" spans="2:64" ht="13.5" hidden="1" x14ac:dyDescent="0.15">
      <c r="B144" s="44"/>
      <c r="C144" s="43"/>
      <c r="D144" s="43"/>
      <c r="E144" s="44"/>
      <c r="F144" s="44"/>
      <c r="G144" s="44"/>
      <c r="H144" s="44"/>
      <c r="I144" s="44"/>
      <c r="J144" s="44"/>
      <c r="K144" s="46"/>
      <c r="L144" s="49" t="s">
        <v>498</v>
      </c>
      <c r="M144" s="11"/>
      <c r="N144" s="11"/>
      <c r="O144" s="255"/>
      <c r="P144" s="79"/>
      <c r="Q144" s="79"/>
      <c r="R144" s="79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69"/>
      <c r="AD144" s="70"/>
      <c r="AE144" s="70"/>
      <c r="AF144" s="70"/>
      <c r="AG144" s="69"/>
      <c r="AX144" s="11"/>
      <c r="AY144" s="11"/>
      <c r="AZ144" s="11"/>
      <c r="BA144" s="85"/>
      <c r="BB144" s="723" t="s">
        <v>408</v>
      </c>
      <c r="BC144" s="715" t="s">
        <v>396</v>
      </c>
      <c r="BD144" s="716" t="s">
        <v>397</v>
      </c>
      <c r="BE144" s="716" t="s">
        <v>397</v>
      </c>
      <c r="BF144" s="716" t="s">
        <v>398</v>
      </c>
      <c r="BG144" s="716" t="s">
        <v>398</v>
      </c>
      <c r="BH144" s="716" t="s">
        <v>398</v>
      </c>
      <c r="BI144" s="718"/>
      <c r="BJ144" s="719"/>
      <c r="BK144" s="720"/>
      <c r="BL144" s="721"/>
    </row>
    <row r="145" spans="1:64" ht="13.5" hidden="1" x14ac:dyDescent="0.15">
      <c r="B145" s="6"/>
      <c r="C145" s="8" t="s">
        <v>459</v>
      </c>
      <c r="D145" s="8"/>
      <c r="E145" s="8"/>
      <c r="F145" s="8" t="s">
        <v>460</v>
      </c>
      <c r="G145" s="8"/>
      <c r="H145" s="8"/>
      <c r="I145" s="8" t="s">
        <v>461</v>
      </c>
      <c r="J145" s="8"/>
      <c r="K145" s="51"/>
      <c r="L145" s="11" t="s">
        <v>499</v>
      </c>
      <c r="M145" s="11"/>
      <c r="N145" s="11"/>
      <c r="O145" s="255"/>
      <c r="P145" s="79"/>
      <c r="Q145" s="86" t="b">
        <f>IF($K$2=$O$4,IF($E$2=$B$115,$R$145,IF($E$2=$B$116,$R$145,IF(E2=$B$122,$R$145,IF($G$10="X",(30*365)-$F$61,(35*365)-$F$61)))),IF($K$2=$O$5,IF($E$2=$B$123,$R$145,IF($G$10="X",(30*365)-$F$61,(35*365)-$F$61))))</f>
        <v>0</v>
      </c>
      <c r="R145" s="86" t="b">
        <f>IF($K$2=$O$4,IF($F$61&gt;=($F$37+$E$44),0,($F$37+$E$44)-$F$61),IF($K$2=$O$5,IF($F$61&gt;=($F$37+$E$44),0,($F$37+$E$44)-$F$61)))</f>
        <v>0</v>
      </c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69"/>
      <c r="AD145" s="70"/>
      <c r="AE145" s="70"/>
      <c r="AF145" s="70"/>
      <c r="AG145" s="69"/>
      <c r="AX145" s="11"/>
      <c r="AY145" s="11"/>
      <c r="AZ145" s="11"/>
      <c r="BA145" s="85"/>
      <c r="BB145" s="723" t="s">
        <v>409</v>
      </c>
      <c r="BC145" s="715" t="s">
        <v>396</v>
      </c>
      <c r="BD145" s="716" t="s">
        <v>397</v>
      </c>
      <c r="BE145" s="716" t="s">
        <v>397</v>
      </c>
      <c r="BF145" s="716" t="s">
        <v>398</v>
      </c>
      <c r="BG145" s="716" t="s">
        <v>398</v>
      </c>
      <c r="BH145" s="716" t="s">
        <v>398</v>
      </c>
      <c r="BI145" s="718"/>
      <c r="BJ145" s="719"/>
      <c r="BK145" s="720"/>
      <c r="BL145" s="721"/>
    </row>
    <row r="146" spans="1:64" ht="13.5" hidden="1" x14ac:dyDescent="0.15">
      <c r="B146" s="40" t="s">
        <v>454</v>
      </c>
      <c r="C146" s="40" t="s">
        <v>457</v>
      </c>
      <c r="D146" s="8"/>
      <c r="E146" s="5" t="s">
        <v>456</v>
      </c>
      <c r="F146" s="6" t="s">
        <v>457</v>
      </c>
      <c r="G146" s="6"/>
      <c r="H146" s="6" t="s">
        <v>456</v>
      </c>
      <c r="I146" s="8" t="s">
        <v>457</v>
      </c>
      <c r="J146" s="8" t="s">
        <v>456</v>
      </c>
      <c r="K146" s="53"/>
      <c r="L146" s="42" t="s">
        <v>500</v>
      </c>
      <c r="M146" s="11"/>
      <c r="N146" s="11"/>
      <c r="O146" s="255"/>
      <c r="P146" s="79"/>
      <c r="Q146" s="86">
        <f>IF($E$2="VOLUNTÁRIA ESPECIAL",IF($D$12="X",IF($G$10="X",(25*365)-$F$61,(30*365)-$F$61)),IF($G$10="X",(30*365)-$F$61,(35*365)-$F$61))</f>
        <v>12775</v>
      </c>
      <c r="R146" s="79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69"/>
      <c r="AD146" s="70"/>
      <c r="AE146" s="70"/>
      <c r="AF146" s="70"/>
      <c r="AG146" s="69"/>
      <c r="AX146" s="11"/>
      <c r="AY146" s="11"/>
      <c r="AZ146" s="11"/>
      <c r="BA146" s="85"/>
      <c r="BB146" s="723" t="s">
        <v>410</v>
      </c>
      <c r="BC146" s="715" t="s">
        <v>396</v>
      </c>
      <c r="BD146" s="716" t="s">
        <v>397</v>
      </c>
      <c r="BE146" s="716" t="s">
        <v>397</v>
      </c>
      <c r="BF146" s="716" t="s">
        <v>398</v>
      </c>
      <c r="BG146" s="716" t="s">
        <v>398</v>
      </c>
      <c r="BH146" s="716" t="s">
        <v>398</v>
      </c>
      <c r="BI146" s="718"/>
      <c r="BJ146" s="719"/>
      <c r="BK146" s="720"/>
      <c r="BL146" s="721"/>
    </row>
    <row r="147" spans="1:64" ht="13.5" hidden="1" x14ac:dyDescent="0.15">
      <c r="B147" s="16" t="s">
        <v>450</v>
      </c>
      <c r="C147" s="55">
        <f>30*365</f>
        <v>10950</v>
      </c>
      <c r="D147" s="55"/>
      <c r="E147" s="55">
        <f>35*365</f>
        <v>12775</v>
      </c>
      <c r="F147" s="55">
        <v>20089</v>
      </c>
      <c r="G147" s="55"/>
      <c r="H147" s="55">
        <v>21915</v>
      </c>
      <c r="I147" s="55">
        <f>F147-C151</f>
        <v>31039</v>
      </c>
      <c r="J147" s="55">
        <f>H147-E151</f>
        <v>34690</v>
      </c>
      <c r="K147" s="51"/>
      <c r="L147" s="17" t="s">
        <v>463</v>
      </c>
      <c r="M147" s="11"/>
      <c r="N147" s="11"/>
      <c r="O147" s="255" t="s">
        <v>504</v>
      </c>
      <c r="P147" s="79"/>
      <c r="Q147" s="87"/>
      <c r="R147" s="86">
        <f>IF($E$2="VOLUNTÁRIA ESPECIAL",IF($D$12="X",IF($G$10="X",(25*365)-$F$37,(30*365)-$F$37)),IF($G$10="X",(30*365)-$F$37,(35*365)-$F$37))</f>
        <v>12775</v>
      </c>
      <c r="S147" s="11"/>
      <c r="T147" s="5"/>
      <c r="U147" s="5"/>
      <c r="V147" s="5"/>
      <c r="W147" s="5"/>
      <c r="X147" s="5"/>
      <c r="Y147" s="5"/>
      <c r="Z147" s="5"/>
      <c r="AA147" s="5"/>
      <c r="AB147" s="5"/>
      <c r="AC147" s="69"/>
      <c r="AD147" s="70"/>
      <c r="AE147" s="70"/>
      <c r="AF147" s="70"/>
      <c r="AG147" s="69"/>
      <c r="AX147" s="11"/>
      <c r="AY147" s="11"/>
      <c r="AZ147" s="5"/>
      <c r="BA147" s="724"/>
      <c r="BB147" s="723" t="s">
        <v>411</v>
      </c>
      <c r="BC147" s="715" t="s">
        <v>396</v>
      </c>
      <c r="BD147" s="716" t="s">
        <v>397</v>
      </c>
      <c r="BE147" s="716" t="s">
        <v>397</v>
      </c>
      <c r="BF147" s="716" t="s">
        <v>398</v>
      </c>
      <c r="BG147" s="716" t="s">
        <v>398</v>
      </c>
      <c r="BH147" s="716" t="s">
        <v>398</v>
      </c>
      <c r="BI147" s="718"/>
      <c r="BJ147" s="719"/>
      <c r="BK147" s="720"/>
      <c r="BL147" s="721"/>
    </row>
    <row r="148" spans="1:64" ht="13.5" hidden="1" customHeight="1" x14ac:dyDescent="0.15">
      <c r="B148" s="16" t="s">
        <v>455</v>
      </c>
      <c r="C148" s="47">
        <f>25*365</f>
        <v>9125</v>
      </c>
      <c r="D148" s="47"/>
      <c r="E148" s="47">
        <f>30*365</f>
        <v>10950</v>
      </c>
      <c r="F148" s="55">
        <v>18264</v>
      </c>
      <c r="G148" s="55"/>
      <c r="H148" s="55">
        <v>20089</v>
      </c>
      <c r="I148" s="55">
        <f>F148-C152</f>
        <v>27389</v>
      </c>
      <c r="J148" s="55">
        <f>H148-E152</f>
        <v>31039</v>
      </c>
      <c r="K148" s="51"/>
      <c r="L148" s="51"/>
      <c r="M148" s="54"/>
      <c r="N148" s="54"/>
      <c r="O148" s="255" t="s">
        <v>487</v>
      </c>
      <c r="P148" s="78"/>
      <c r="Q148" s="78"/>
      <c r="R148" s="86">
        <f>IF($E$2=$B$122,IF($G$10="X",(25*365)-$F$37,(30*365)-$F$37),IF($G$10="X",(30*365)-$F$37,(35*365)-$F$37))</f>
        <v>12775</v>
      </c>
      <c r="AX148" s="11"/>
      <c r="AY148" s="11"/>
      <c r="BB148" s="723" t="s">
        <v>412</v>
      </c>
      <c r="BC148" s="715" t="s">
        <v>396</v>
      </c>
      <c r="BD148" s="716" t="s">
        <v>397</v>
      </c>
      <c r="BE148" s="716" t="s">
        <v>397</v>
      </c>
      <c r="BF148" s="716" t="s">
        <v>398</v>
      </c>
      <c r="BG148" s="716" t="s">
        <v>398</v>
      </c>
      <c r="BH148" s="716" t="s">
        <v>398</v>
      </c>
      <c r="BI148" s="718"/>
      <c r="BJ148" s="719"/>
      <c r="BK148" s="720"/>
      <c r="BL148" s="721"/>
    </row>
    <row r="149" spans="1:64" ht="12.75" hidden="1" customHeight="1" x14ac:dyDescent="0.15">
      <c r="B149" s="815" t="s">
        <v>484</v>
      </c>
      <c r="F149" s="21">
        <f>55*365+14</f>
        <v>20089</v>
      </c>
      <c r="H149" s="21">
        <f>60*365+15</f>
        <v>21915</v>
      </c>
      <c r="I149" s="21">
        <f>65*365+16</f>
        <v>23741</v>
      </c>
      <c r="K149" s="51"/>
      <c r="L149" s="18" t="s">
        <v>466</v>
      </c>
      <c r="M149" s="54"/>
      <c r="N149" s="54"/>
      <c r="O149" s="255" t="s">
        <v>509</v>
      </c>
      <c r="P149" s="78"/>
      <c r="Q149" s="86" t="s">
        <v>8</v>
      </c>
      <c r="R149" s="78"/>
      <c r="AX149" s="11"/>
      <c r="AY149" s="11"/>
      <c r="BB149" s="723" t="s">
        <v>413</v>
      </c>
      <c r="BC149" s="715" t="s">
        <v>396</v>
      </c>
      <c r="BD149" s="716" t="s">
        <v>397</v>
      </c>
      <c r="BE149" s="716" t="s">
        <v>397</v>
      </c>
      <c r="BF149" s="716" t="s">
        <v>398</v>
      </c>
      <c r="BG149" s="716" t="s">
        <v>398</v>
      </c>
      <c r="BH149" s="716" t="s">
        <v>398</v>
      </c>
      <c r="BI149" s="718"/>
      <c r="BJ149" s="719"/>
      <c r="BK149" s="720"/>
      <c r="BL149" s="721"/>
    </row>
    <row r="150" spans="1:64" ht="13.5" hidden="1" customHeight="1" x14ac:dyDescent="0.15">
      <c r="F150" s="21">
        <f>50*365+14</f>
        <v>18264</v>
      </c>
      <c r="H150" s="21">
        <f>55*365+14</f>
        <v>20089</v>
      </c>
      <c r="K150" s="51"/>
      <c r="L150" s="51"/>
      <c r="M150" s="54"/>
      <c r="N150" s="54"/>
      <c r="P150" s="78"/>
      <c r="Q150" s="78"/>
      <c r="R150" s="78"/>
      <c r="AX150" s="11"/>
      <c r="AY150" s="11"/>
      <c r="BB150" s="723" t="s">
        <v>414</v>
      </c>
      <c r="BC150" s="715" t="s">
        <v>396</v>
      </c>
      <c r="BD150" s="716" t="s">
        <v>397</v>
      </c>
      <c r="BE150" s="716" t="s">
        <v>397</v>
      </c>
      <c r="BF150" s="716" t="s">
        <v>398</v>
      </c>
      <c r="BG150" s="716" t="s">
        <v>398</v>
      </c>
      <c r="BH150" s="716" t="s">
        <v>398</v>
      </c>
      <c r="BI150" s="718"/>
      <c r="BJ150" s="719"/>
      <c r="BK150" s="720"/>
      <c r="BL150" s="721"/>
    </row>
    <row r="151" spans="1:64" ht="12.75" hidden="1" customHeight="1" x14ac:dyDescent="0.15">
      <c r="B151" s="48" t="s">
        <v>458</v>
      </c>
      <c r="C151" s="56">
        <f>ROUNDDOWN(($F$61-C147),0)</f>
        <v>-10950</v>
      </c>
      <c r="D151" s="48"/>
      <c r="E151" s="56">
        <f>ROUNDDOWN(($F$61-E147),0)</f>
        <v>-12775</v>
      </c>
      <c r="F151" s="48">
        <f>ROUNDDOWN(F147/365,0)</f>
        <v>55</v>
      </c>
      <c r="G151" s="48"/>
      <c r="H151" s="48">
        <f>ROUNDDOWN(H147/365,0)</f>
        <v>60</v>
      </c>
      <c r="I151" s="47">
        <f>ROUNDDOWN(I147/365,0)</f>
        <v>85</v>
      </c>
      <c r="J151" s="47">
        <f>ROUNDDOWN(J147/365,0)</f>
        <v>95</v>
      </c>
      <c r="K151" s="51"/>
      <c r="L151" s="51" t="s">
        <v>158</v>
      </c>
      <c r="M151" s="54"/>
      <c r="N151" s="54"/>
      <c r="P151" s="78"/>
      <c r="Q151" s="78"/>
      <c r="R151" s="78"/>
      <c r="AX151" s="11"/>
      <c r="AY151" s="11"/>
      <c r="BB151" s="723" t="s">
        <v>415</v>
      </c>
      <c r="BC151" s="715" t="s">
        <v>396</v>
      </c>
      <c r="BD151" s="716" t="s">
        <v>397</v>
      </c>
      <c r="BE151" s="716" t="s">
        <v>397</v>
      </c>
      <c r="BF151" s="716" t="s">
        <v>398</v>
      </c>
      <c r="BG151" s="716" t="s">
        <v>398</v>
      </c>
      <c r="BH151" s="716" t="s">
        <v>398</v>
      </c>
      <c r="BI151" s="718"/>
      <c r="BJ151" s="719"/>
      <c r="BK151" s="720"/>
      <c r="BL151" s="721"/>
    </row>
    <row r="152" spans="1:64" ht="12.75" hidden="1" customHeight="1" x14ac:dyDescent="0.15">
      <c r="B152" s="21" t="s">
        <v>458</v>
      </c>
      <c r="C152" s="56">
        <f>ROUNDDOWN(($F$61-C148),0)</f>
        <v>-9125</v>
      </c>
      <c r="E152" s="56">
        <f>ROUNDDOWN(($F$61-E148),0)</f>
        <v>-10950</v>
      </c>
      <c r="F152" s="48">
        <f>ROUNDDOWN(F148/365,0)</f>
        <v>50</v>
      </c>
      <c r="G152" s="48"/>
      <c r="H152" s="48">
        <f>ROUNDDOWN(H148/365,0)</f>
        <v>55</v>
      </c>
      <c r="I152" s="48"/>
      <c r="J152" s="46"/>
      <c r="K152" s="51"/>
      <c r="L152" s="51" t="s">
        <v>457</v>
      </c>
      <c r="M152" s="813">
        <f>I147-O9</f>
        <v>31039</v>
      </c>
      <c r="N152" s="54"/>
      <c r="AX152" s="5"/>
      <c r="AY152" s="5"/>
      <c r="BB152" s="723" t="s">
        <v>416</v>
      </c>
      <c r="BC152" s="715" t="s">
        <v>396</v>
      </c>
      <c r="BD152" s="716" t="s">
        <v>397</v>
      </c>
      <c r="BE152" s="716" t="s">
        <v>397</v>
      </c>
      <c r="BF152" s="716" t="s">
        <v>398</v>
      </c>
      <c r="BG152" s="716" t="s">
        <v>398</v>
      </c>
      <c r="BH152" s="716" t="s">
        <v>398</v>
      </c>
      <c r="BI152" s="718"/>
      <c r="BJ152" s="719"/>
      <c r="BK152" s="720"/>
      <c r="BL152" s="721"/>
    </row>
    <row r="153" spans="1:64" ht="12.75" hidden="1" customHeight="1" x14ac:dyDescent="0.15">
      <c r="B153" s="51"/>
      <c r="C153" s="51">
        <f>ROUNDDOWN(C151/365,0)</f>
        <v>-30</v>
      </c>
      <c r="D153" s="51"/>
      <c r="E153" s="51">
        <f>ROUNDDOWN($E$151/365,0)</f>
        <v>-35</v>
      </c>
      <c r="I153" s="67">
        <f>IF($G$10="x",55-$C$153,0)</f>
        <v>0</v>
      </c>
      <c r="J153" s="67">
        <f>IF($D$10="x",60-$E$153,0)</f>
        <v>0</v>
      </c>
      <c r="K153" s="51"/>
      <c r="L153" s="51" t="s">
        <v>456</v>
      </c>
      <c r="M153" s="54"/>
      <c r="N153" s="54"/>
      <c r="BB153" s="723" t="s">
        <v>417</v>
      </c>
      <c r="BC153" s="715" t="s">
        <v>396</v>
      </c>
      <c r="BD153" s="716" t="s">
        <v>397</v>
      </c>
      <c r="BE153" s="716" t="s">
        <v>397</v>
      </c>
      <c r="BF153" s="716" t="s">
        <v>398</v>
      </c>
      <c r="BG153" s="716" t="s">
        <v>398</v>
      </c>
      <c r="BH153" s="716" t="s">
        <v>398</v>
      </c>
      <c r="BI153" s="718"/>
      <c r="BJ153" s="719"/>
      <c r="BK153" s="720"/>
      <c r="BL153" s="721"/>
    </row>
    <row r="154" spans="1:64" ht="12.75" hidden="1" customHeight="1" x14ac:dyDescent="0.15">
      <c r="L154" s="51"/>
      <c r="M154" s="54"/>
      <c r="N154" s="54"/>
      <c r="BB154" s="723" t="s">
        <v>418</v>
      </c>
      <c r="BC154" s="715" t="s">
        <v>396</v>
      </c>
      <c r="BD154" s="716" t="s">
        <v>397</v>
      </c>
      <c r="BE154" s="716" t="s">
        <v>397</v>
      </c>
      <c r="BF154" s="716" t="s">
        <v>398</v>
      </c>
      <c r="BG154" s="716" t="s">
        <v>398</v>
      </c>
      <c r="BH154" s="716" t="s">
        <v>398</v>
      </c>
      <c r="BI154" s="718"/>
      <c r="BJ154" s="719"/>
      <c r="BK154" s="720"/>
      <c r="BL154" s="721"/>
    </row>
    <row r="155" spans="1:64" ht="12.75" hidden="1" customHeight="1" thickBot="1" x14ac:dyDescent="0.2">
      <c r="B155" s="1848" t="s">
        <v>548</v>
      </c>
      <c r="C155" s="1848"/>
      <c r="D155" s="1848"/>
      <c r="E155" s="1848"/>
      <c r="F155" s="1848"/>
      <c r="G155" s="1848"/>
      <c r="H155" s="1848"/>
      <c r="I155" s="1848"/>
      <c r="J155" s="1848"/>
      <c r="K155" s="1848"/>
      <c r="L155" s="1848"/>
      <c r="M155" s="1848"/>
      <c r="N155" s="1848"/>
      <c r="BB155" s="312"/>
      <c r="BC155" s="313"/>
      <c r="BD155" s="314"/>
      <c r="BE155" s="314"/>
      <c r="BF155" s="315"/>
      <c r="BG155" s="315"/>
      <c r="BH155" s="316"/>
      <c r="BI155" s="317">
        <f>A175*1.45</f>
        <v>23.2</v>
      </c>
      <c r="BJ155" s="318">
        <v>113.29</v>
      </c>
      <c r="BK155" s="319">
        <v>113.29</v>
      </c>
      <c r="BL155" s="320">
        <v>157.35</v>
      </c>
    </row>
    <row r="156" spans="1:64" ht="12.75" hidden="1" customHeight="1" thickBot="1" x14ac:dyDescent="0.2">
      <c r="B156" s="51" t="s">
        <v>656</v>
      </c>
      <c r="C156" s="21" t="s">
        <v>657</v>
      </c>
      <c r="D156" s="101">
        <v>36145</v>
      </c>
      <c r="E156" s="101">
        <v>37986</v>
      </c>
      <c r="F156" s="102">
        <v>37986</v>
      </c>
      <c r="G156" s="246" t="s">
        <v>608</v>
      </c>
      <c r="H156" s="51" t="s">
        <v>609</v>
      </c>
      <c r="I156" s="51" t="s">
        <v>610</v>
      </c>
      <c r="J156" s="21" t="s">
        <v>612</v>
      </c>
      <c r="M156" s="40" t="s">
        <v>658</v>
      </c>
      <c r="P156" s="1792" t="s">
        <v>245</v>
      </c>
      <c r="Q156" s="1793"/>
      <c r="R156" s="1793"/>
      <c r="S156" s="1793"/>
      <c r="T156" s="1793"/>
      <c r="U156" s="1794"/>
      <c r="V156" s="1792" t="s">
        <v>246</v>
      </c>
      <c r="W156" s="1793"/>
      <c r="X156" s="1793"/>
      <c r="Y156" s="1793"/>
      <c r="Z156" s="1794"/>
      <c r="AA156" s="1792" t="s">
        <v>247</v>
      </c>
      <c r="AB156" s="1793"/>
      <c r="AC156" s="1793"/>
      <c r="AD156" s="1793"/>
      <c r="AE156" s="1793"/>
      <c r="AF156" s="1187" t="s">
        <v>748</v>
      </c>
      <c r="AG156" s="114" t="s">
        <v>577</v>
      </c>
      <c r="AH156" s="114" t="s">
        <v>577</v>
      </c>
      <c r="BB156" s="321"/>
      <c r="BC156" s="322"/>
      <c r="BD156" s="322"/>
      <c r="BE156" s="322"/>
      <c r="BF156" s="323"/>
      <c r="BG156" s="323"/>
      <c r="BH156" s="323"/>
      <c r="BI156" s="324"/>
      <c r="BJ156" s="325"/>
      <c r="BK156" s="326"/>
      <c r="BL156" s="327"/>
    </row>
    <row r="157" spans="1:64" ht="12.75" hidden="1" customHeight="1" thickBot="1" x14ac:dyDescent="0.2">
      <c r="A157" s="259">
        <v>1</v>
      </c>
      <c r="B157" s="107" t="s">
        <v>549</v>
      </c>
      <c r="C157" s="21" t="s">
        <v>613</v>
      </c>
      <c r="D157" s="104">
        <f>IF(ISERROR(HLOOKUP($N$34,$Q$39:$AA$40,2)),0,HLOOKUP($N$34,$Q$39:$AA$40,2))</f>
        <v>0</v>
      </c>
      <c r="E157" s="105">
        <f>IF(ISERROR(HLOOKUP($O$34,$Q$39:$AA$40,2)),0,HLOOKUP($O$34,$Q$39:$AA$40,2))</f>
        <v>0</v>
      </c>
      <c r="F157" s="106">
        <f>IF(ISERROR(HLOOKUP($O$60,$Q$39:$AA$40,2)),0,HLOOKUP($O$60,$Q$39:$AA$40,2))</f>
        <v>0</v>
      </c>
      <c r="G157" s="21" t="s">
        <v>611</v>
      </c>
      <c r="J157" s="21" t="s">
        <v>611</v>
      </c>
      <c r="M157" s="21" t="s">
        <v>659</v>
      </c>
      <c r="O157" s="254">
        <v>1</v>
      </c>
      <c r="P157" s="1222" t="s">
        <v>244</v>
      </c>
      <c r="Q157" s="1183" t="s">
        <v>44</v>
      </c>
      <c r="R157" s="927" t="s">
        <v>45</v>
      </c>
      <c r="S157" s="928" t="s">
        <v>46</v>
      </c>
      <c r="T157" s="919" t="s">
        <v>750</v>
      </c>
      <c r="U157" s="920" t="s">
        <v>501</v>
      </c>
      <c r="V157" s="1183" t="s">
        <v>6</v>
      </c>
      <c r="W157" s="927" t="s">
        <v>529</v>
      </c>
      <c r="X157" s="928" t="s">
        <v>530</v>
      </c>
      <c r="Y157" s="919" t="s">
        <v>243</v>
      </c>
      <c r="Z157" s="920" t="s">
        <v>501</v>
      </c>
      <c r="AA157" s="1183" t="s">
        <v>6</v>
      </c>
      <c r="AB157" s="929" t="s">
        <v>529</v>
      </c>
      <c r="AC157" s="928" t="s">
        <v>530</v>
      </c>
      <c r="AD157" s="919" t="s">
        <v>243</v>
      </c>
      <c r="AE157" s="920" t="s">
        <v>501</v>
      </c>
      <c r="AF157" s="1272" t="s">
        <v>5</v>
      </c>
      <c r="AG157" s="114" t="s">
        <v>578</v>
      </c>
      <c r="AH157" s="114" t="s">
        <v>579</v>
      </c>
      <c r="BB157" s="321"/>
      <c r="BC157" s="322"/>
      <c r="BD157" s="322"/>
      <c r="BE157" s="322"/>
      <c r="BF157" s="323"/>
      <c r="BG157" s="323"/>
      <c r="BH157" s="323"/>
      <c r="BI157" s="324"/>
      <c r="BJ157" s="325"/>
      <c r="BK157" s="326"/>
      <c r="BL157" s="327"/>
    </row>
    <row r="158" spans="1:64" ht="12.75" hidden="1" customHeight="1" x14ac:dyDescent="0.15">
      <c r="A158" s="259">
        <v>2</v>
      </c>
      <c r="B158" s="51" t="s">
        <v>550</v>
      </c>
      <c r="C158" s="21" t="s">
        <v>527</v>
      </c>
      <c r="D158" s="104">
        <f>IF(ISERROR(HLOOKUP($J$158,$Q$26:$AT$27,2)),0,HLOOKUP($J$158,$Q$26:$AT$27,2))</f>
        <v>0</v>
      </c>
      <c r="E158" s="105">
        <f>IF(ISERROR(HLOOKUP($K$158,$Q$26:$AT$27,2)),0,HLOOKUP($K$158,$Q$26:$AT$27,2))</f>
        <v>0</v>
      </c>
      <c r="F158" s="106">
        <f>IF(ISERROR(HLOOKUP($L$158,$Q$26:$AT$27,2)),0,HLOOKUP($L$158,$Q$26:$AT$27,2))</f>
        <v>0</v>
      </c>
      <c r="G158" s="67">
        <f>SUM($F$27:$F$32)</f>
        <v>0</v>
      </c>
      <c r="H158" s="67">
        <f>SUM($F$27:$F$32)+$J$51</f>
        <v>0</v>
      </c>
      <c r="I158" s="67">
        <f>SUM($F$27:$F$32)+$J$51+$J$60</f>
        <v>0</v>
      </c>
      <c r="J158" s="21">
        <f t="shared" ref="J158:J170" si="12">ROUNDDOWN(G158/365,0)</f>
        <v>0</v>
      </c>
      <c r="K158" s="21">
        <f t="shared" ref="K158:L160" si="13">ROUNDDOWN(H158/365,0)</f>
        <v>0</v>
      </c>
      <c r="L158" s="21">
        <f t="shared" si="13"/>
        <v>0</v>
      </c>
      <c r="M158" s="21" t="s">
        <v>660</v>
      </c>
      <c r="O158" s="254">
        <v>2</v>
      </c>
      <c r="P158" s="1273" t="s">
        <v>463</v>
      </c>
      <c r="Q158" s="1274">
        <f>IF($E$2=$B$122,$R$148,$R$147)</f>
        <v>12775</v>
      </c>
      <c r="R158" s="1232" t="s">
        <v>537</v>
      </c>
      <c r="S158" s="1232" t="s">
        <v>537</v>
      </c>
      <c r="T158" s="1232" t="str">
        <f>IF($D$10="x",IF(OR($E$2=$B$115,$E$2=$B$118),IF($F$61&lt;(35*365),(35*365)-$F$61,0),IF(OR($E$2=$B$116,$E$2=$B$122),IF($F$61&lt;(30*365),(30*365)-$F$61,0),"REVER")),IF($G$10="x",IF(OR($E$2=$B$115,$E$2=$B$118),IF($F$61&lt;(30*365),(30*365)-$F$61,0),IF(OR($E$2=$B$116,$E$2=$B$122),IF($F$61&lt;(25*365),(25*365)-$F$61,0),"NÃO CABE")),"REVER FUNDAMENTAÇÃO E/OU MODALIDADE"))</f>
        <v>REVER FUNDAMENTAÇÃO E/OU MODALIDADE</v>
      </c>
      <c r="U158" s="1233" t="str">
        <f>IF($E$2=$B$117,IF($D$10="X",IF($O$9&gt;=(65*365+15),0,(65*365+15)-$O$9),IF($G$10="X",IF($O$9&gt;=(60*365+14),0,(60*365+14)-$O$9),"MARQUE O SEXO")),IF(OR($E$2=$B$118,$E$2=$B$119),IF($O$9&gt;=(70*365+18),0,(70*365+18)-$O$9),"REVER FUNDAMENTAÇÃO E/OU MODALIDADE"))</f>
        <v>REVER FUNDAMENTAÇÃO E/OU MODALIDADE</v>
      </c>
      <c r="V158" s="1231">
        <f>ROUNDDOWN($Q$86/365,0)</f>
        <v>35</v>
      </c>
      <c r="W158" s="1232">
        <f>IF($R$86="NÃO CABE",0,ROUNDDOWN($R$86/365,0))</f>
        <v>0</v>
      </c>
      <c r="X158" s="1232">
        <f>IF($S$86="NÃO CABE",0,ROUNDDOWN($S$86/365,0))</f>
        <v>0</v>
      </c>
      <c r="Y158" s="1232">
        <f>IF(OR($T$86="NÃO CABE",$T$86="REVER FUNDAMENTAÇÃO E/OU MODALIDADE",$T$86="REVER"),0,ROUNDDOWN($T$86/365,0))</f>
        <v>0</v>
      </c>
      <c r="Z158" s="1233">
        <f>IF(OR($U$86="NÃO CABE",$U$86="MARQUE O SEXO",$U$86="REVER FUNDAMENTAÇÃO E/OU MODALIDADE"),0,ROUNDDOWN($U$86/365,0))</f>
        <v>0</v>
      </c>
      <c r="AA158" s="1231">
        <f>(($Q$86/365)-$V$86)*365</f>
        <v>0</v>
      </c>
      <c r="AB158" s="1232">
        <f>IF($R$86="NÃO CABE",0,(($R$86/365)-$W$86)*365)</f>
        <v>0</v>
      </c>
      <c r="AC158" s="1232">
        <f>IF($S$86="NÃO CABE",0,(($S$86/365)-$X$86)*365)</f>
        <v>0</v>
      </c>
      <c r="AD158" s="1232" t="e">
        <f>IF(OR($T$86="NÃO CABE",$T$86="REVER"),0,(($T$86/365)-$Y$86)*365)</f>
        <v>#VALUE!</v>
      </c>
      <c r="AE158" s="1233">
        <f>IF(OR($U$86="NÃO CABE",$U$86="MARQUE O SEXO",$U$86="REVER FUNDAMENTAÇÃO E/OU MODALIDADE"),0,(($U$86/365)-$Z$86)*365)</f>
        <v>0</v>
      </c>
      <c r="AF158" s="1185">
        <f>MAX(Q158:U158)</f>
        <v>12775</v>
      </c>
      <c r="AG158" s="1242">
        <f>'FICHA FUNCIONAL'!$E$23</f>
        <v>0</v>
      </c>
      <c r="AH158" s="1242">
        <f>AG158+AF158</f>
        <v>12775</v>
      </c>
      <c r="BB158" s="321"/>
      <c r="BC158" s="322"/>
      <c r="BD158" s="322"/>
      <c r="BE158" s="322"/>
      <c r="BF158" s="323"/>
      <c r="BG158" s="323"/>
      <c r="BH158" s="323"/>
      <c r="BI158" s="324"/>
      <c r="BJ158" s="325"/>
      <c r="BK158" s="326"/>
      <c r="BL158" s="327"/>
    </row>
    <row r="159" spans="1:64" ht="12.75" hidden="1" customHeight="1" x14ac:dyDescent="0.15">
      <c r="A159" s="347" t="s">
        <v>554</v>
      </c>
      <c r="B159" s="337" t="s">
        <v>615</v>
      </c>
      <c r="C159" s="21" t="s">
        <v>613</v>
      </c>
      <c r="D159" s="105">
        <f>IF(ISERROR(HLOOKUP($J$159,$Q$45:$AB$46,2)),0,HLOOKUP($J$159,$Q$45:$AB$46,2))</f>
        <v>0</v>
      </c>
      <c r="E159" s="105">
        <f>IF(ISERROR(HLOOKUP($K$159,$Q$45:$AB$46,2)),0,HLOOKUP($K$159,$Q$45:$AB$46,2))</f>
        <v>0</v>
      </c>
      <c r="F159" s="105">
        <f>IF(ISERROR(HLOOKUP($L$159,$Q$45:$AB$46,2)),0,HLOOKUP($L$159,$Q$45:$AB$46,2))</f>
        <v>0</v>
      </c>
      <c r="G159" s="67">
        <f>SUM($F$27:$F$32)</f>
        <v>0</v>
      </c>
      <c r="H159" s="67">
        <f>SUM($F$27:$F$32)+$J$51</f>
        <v>0</v>
      </c>
      <c r="I159" s="67">
        <f>SUM($F$27:$F$32)+$J$51+$J$60</f>
        <v>0</v>
      </c>
      <c r="J159" s="21">
        <f t="shared" si="12"/>
        <v>0</v>
      </c>
      <c r="K159" s="21">
        <f t="shared" si="13"/>
        <v>0</v>
      </c>
      <c r="L159" s="21">
        <f t="shared" si="13"/>
        <v>0</v>
      </c>
      <c r="M159" s="21" t="s">
        <v>660</v>
      </c>
      <c r="O159" s="21">
        <v>3</v>
      </c>
      <c r="P159" s="1349" t="s">
        <v>271</v>
      </c>
      <c r="Q159" s="1344" t="str">
        <f>IF(AND($N$8&lt;&gt;0,N8&gt;=$Q$12,D14&lt;&gt;"X"),"A PARTIR DE 20/02/2004 ESSA REGRA NÃO SE APLICA AO SERVIDOR",IF(D14="x",IF($G$10="X",(30*365)-VI_RP_EC20!F61,IF($D$10="X",(35*365)-VI_RP_EC20!F61,"PREENCHA CAMPO DESTINADO AO SEXO")),"REVER FUNDAMENTAÇÃO E/OU MODALIDADE"))</f>
        <v>REVER FUNDAMENTAÇÃO E/OU MODALIDADE</v>
      </c>
      <c r="R159" s="1345">
        <f t="shared" ref="R159:R173" si="14">IF($O$13&gt;=(5*365),0,(5*365)-$O$13)</f>
        <v>1825</v>
      </c>
      <c r="S159" s="1345" t="s">
        <v>537</v>
      </c>
      <c r="T159" s="1345">
        <f>IF(VI_RP_EC20!$O$15&gt;=(10*365),0,(10*365)-VI_RP_EC20!$O$15)</f>
        <v>3650</v>
      </c>
      <c r="U159" s="1344" t="str">
        <f>IF(AND($N$8&lt;&gt;0,N8&gt;$Q$12,$F$71&gt;=0),"A PARTIR DE 20/02/2004 ESSA REGRA NÃO SE APLICA AO SERVIDOR",IF($D$10="X",IF(VI_RP_EC20!$O$9&gt;=(60*365+15),0,(60*365+15)-VI_RP_EC20!$O$9),IF($G$10="X",IF(VI_RP_EC20!$O$9&gt;=(55*365+14),0,(55*365+14)-VI_RP_EC20!$O$9),"MARQUE O SEXO")))</f>
        <v>MARQUE O SEXO</v>
      </c>
      <c r="V159" s="1346">
        <f>IF(AND($Q$159&lt;&gt;"A PARTIR DE 20/02/2004 ESSA REGRA NÃO SE APLICA AO SERVIDOR",Q159&lt;&gt;"REVER FUNDAMENTAÇÃO E/OU MODALIDADE"),ROUNDDOWN($Q$159/365,0),0)</f>
        <v>0</v>
      </c>
      <c r="W159" s="1345">
        <f>IF(R159="NÃO CABE",0,ROUNDDOWN(R159/365,0))</f>
        <v>5</v>
      </c>
      <c r="X159" s="1345">
        <f>IF(S159="NÃO CABE",0,ROUNDDOWN(S159/365,0))</f>
        <v>0</v>
      </c>
      <c r="Y159" s="1345">
        <f>IF(T159="NÃO CABE",0,ROUNDDOWN(T159/365,0))</f>
        <v>10</v>
      </c>
      <c r="Z159" s="1347">
        <f>IF(OR(U159="A PARTIR DE 20/02/2004 ESSA REGRA NÃO SE APLICA AO SERVIDOR",U159="MARQUE O SEXO"),0,ROUNDDOWN(U159/365,0))</f>
        <v>0</v>
      </c>
      <c r="AA159" s="1346">
        <f>IF(AND(Q159&lt;&gt;"A PARTIR DE 20/02/2004 ESSA REGRA NÃO SE APLICA AO SERVIDOR",Q159&lt;&gt;"REVER FUNDAMENTAÇÃO E/OU MODALIDADE"),((Q159/365)-V159)*365,0)</f>
        <v>0</v>
      </c>
      <c r="AB159" s="1345">
        <f>IF(R159="NÃO CABE",0,((R159/365)-W159)*365)</f>
        <v>0</v>
      </c>
      <c r="AC159" s="1345">
        <f>IF(S159="NÃO CABE",0,((S159/365)-X159)*365)</f>
        <v>0</v>
      </c>
      <c r="AD159" s="1345">
        <f>IF(T159="NÃO CABE",0,((T159/365)-Y159)*365)</f>
        <v>0</v>
      </c>
      <c r="AE159" s="1347">
        <f>IF(OR(U159="NÃO CABE",U159="MARQUE O SEXO",U159="A PARTIR DE 20/02/2004 ESSA REGRA NÃO SE APLICA AO SERVIDOR"),0,((U159/365)-Z159)*365)</f>
        <v>0</v>
      </c>
      <c r="AF159" s="1348">
        <f>MAX(Q159:U159)</f>
        <v>3650</v>
      </c>
      <c r="AG159" s="1242">
        <f>'FICHA FUNCIONAL'!$E$23</f>
        <v>0</v>
      </c>
      <c r="AH159" s="1242">
        <f>IF(AF159&lt;=0,VI_RP_EC20!N10,AG159+AF159)</f>
        <v>3650</v>
      </c>
      <c r="BB159" s="321"/>
      <c r="BC159" s="322"/>
      <c r="BD159" s="322"/>
      <c r="BE159" s="322"/>
      <c r="BF159" s="323"/>
      <c r="BG159" s="323"/>
      <c r="BH159" s="323"/>
      <c r="BI159" s="324"/>
      <c r="BJ159" s="325"/>
      <c r="BK159" s="326"/>
      <c r="BL159" s="1340"/>
    </row>
    <row r="160" spans="1:64" ht="12.75" hidden="1" customHeight="1" x14ac:dyDescent="0.15">
      <c r="A160" s="347">
        <v>3</v>
      </c>
      <c r="B160" s="337" t="s">
        <v>551</v>
      </c>
      <c r="C160" s="21" t="s">
        <v>613</v>
      </c>
      <c r="D160" s="105">
        <f>IF(ISERROR(HLOOKUP($J$160,$Q$48:$AB$49,2)),0,HLOOKUP($J$160,$Q$48:$AB$49,2))</f>
        <v>0</v>
      </c>
      <c r="E160" s="105">
        <f>IF(ISERROR(HLOOKUP($K$160,$Q$48:$AB$49,2)),0,HLOOKUP($K$160,$Q$48:$AB$49,2))</f>
        <v>0</v>
      </c>
      <c r="F160" s="105">
        <f>IF(ISERROR(HLOOKUP($L$160,$Q$48:$AB$49,2)),0,HLOOKUP($L$160,$Q$48:$AB$49,2))</f>
        <v>0</v>
      </c>
      <c r="G160" s="67">
        <f>SUM($F$30:$F$32)</f>
        <v>0</v>
      </c>
      <c r="H160" s="67">
        <f>SUM($F$30:$F$32)+$J$51</f>
        <v>0</v>
      </c>
      <c r="I160" s="67">
        <f>SUM($F$30:$F$32)+$J$51+$J$60</f>
        <v>0</v>
      </c>
      <c r="J160" s="21">
        <f t="shared" si="12"/>
        <v>0</v>
      </c>
      <c r="K160" s="21">
        <f t="shared" si="13"/>
        <v>0</v>
      </c>
      <c r="L160" s="21">
        <f t="shared" si="13"/>
        <v>0</v>
      </c>
      <c r="M160" s="21" t="s">
        <v>660</v>
      </c>
      <c r="O160" s="21">
        <v>4</v>
      </c>
      <c r="P160" s="1349" t="s">
        <v>270</v>
      </c>
      <c r="Q160" s="1344" t="str">
        <f>IF(AND($N$8&lt;&gt;0,N8&gt;=$Q$12),"A PARTIR DE 20/02/2004 ESSA REGRA NÃO SE APLICA AO SERVIDOR",IF(AND($D$12="X",$D$14="X"),IF($G$10="X",(25*365)-VE_RP_EC20!$F$61,IF($D$10="X",(30*365)-VE_RP_EC20!$F$61,"PREENCHA CAMPO DESTINADO AO SEXO")),"CONFIRME MAGISTÉRIO OU REVEJA FUNDAMENTAÇÃO"))</f>
        <v>CONFIRME MAGISTÉRIO OU REVEJA FUNDAMENTAÇÃO</v>
      </c>
      <c r="R160" s="1345">
        <f t="shared" si="14"/>
        <v>1825</v>
      </c>
      <c r="S160" s="1345" t="s">
        <v>537</v>
      </c>
      <c r="T160" s="1345">
        <f>IF(VE_RP_EC20!$O$15&gt;=(10*365),0,(10*365)-VE_RP_EC20!$O$15)</f>
        <v>3650</v>
      </c>
      <c r="U160" s="1344" t="str">
        <f>IF(AND($N$8&lt;&gt;0,N8&gt;=$Q$12,$F$71&gt;=0),"A PARTIR DE 20/02/2004 ESSA REGRA NÃO SE APLICA AO SERVIDOR",IF($D$10="X",IF(VE_RP_EC20!$O$9&gt;=(55*365+14),0,(60*365+14)-VE_RP_EC20!$O$9),IF($G$10="X",IF(VE_RP_EC20!$O$9&gt;=(50*365+14),0,(50*365+14)-VE_RP_EC20!$O$9),"MARQUE O SEXO")))</f>
        <v>MARQUE O SEXO</v>
      </c>
      <c r="V160" s="1346">
        <f>IF(AND(Q160&lt;&gt;"A PARTIR DE 20/02/2004 ESSA REGRA NÃO SE APLICA AO SERVIDOR",Q160&lt;&gt;"CONFIRME MAGISTÉRIO OU REVEJA FUNDAMENTAÇÃO"),ROUNDDOWN(Q160/365,0),0)</f>
        <v>0</v>
      </c>
      <c r="W160" s="1345">
        <f t="shared" ref="W160:W172" si="15">IF(R160="NÃO CABE",0,ROUNDDOWN(R160/365,0))</f>
        <v>5</v>
      </c>
      <c r="X160" s="1345">
        <f t="shared" ref="X160:X173" si="16">IF(S160="NÃO CABE",0,ROUNDDOWN(S160/365,0))</f>
        <v>0</v>
      </c>
      <c r="Y160" s="1345">
        <f t="shared" ref="Y160:Y166" si="17">IF(T160="NÃO CABE",0,ROUNDDOWN(T160/365,0))</f>
        <v>10</v>
      </c>
      <c r="Z160" s="1347">
        <f>IF(OR(U160="A PARTIR DE 20/02/2004 ESSA REGRA NÃO SE APLICA AO SERVIDOR",U160="MARQUE O SEXO"),0,ROUNDDOWN(U160/365,0))</f>
        <v>0</v>
      </c>
      <c r="AA160" s="1346">
        <f>IF(AND(Q160&lt;&gt;"A PARTIR DE 20/02/2004 ESSA REGRA NÃO SE APLICA AO SERVIDOR",Q160&lt;&gt;"CONFIRME MAGISTÉRIO OU REVEJA FUNDAMENTAÇÃO"),((Q160/365)-V160)*365,0)</f>
        <v>0</v>
      </c>
      <c r="AB160" s="1345">
        <f t="shared" ref="AB160:AB173" si="18">IF(R160="NÃO CABE",0,((R160/365)-W160)*365)</f>
        <v>0</v>
      </c>
      <c r="AC160" s="1345">
        <f t="shared" ref="AC160:AC173" si="19">IF(S160="NÃO CABE",0,((S160/365)-X160)*365)</f>
        <v>0</v>
      </c>
      <c r="AD160" s="1345">
        <f t="shared" ref="AD160:AD166" si="20">IF(T160="NÃO CABE",0,((T160/365)-Y160)*365)</f>
        <v>0</v>
      </c>
      <c r="AE160" s="1347">
        <f>IF(OR(U160="NÃO CABE",U160="MARQUE O SEXO",U160="A PARTIR DE 20/02/2004 ESSA REGRA NÃO SE APLICA AO SERVIDOR"),0,((U160/365)-Z160)*365)</f>
        <v>0</v>
      </c>
      <c r="AF160" s="1348">
        <f t="shared" ref="AF160:AF172" si="21">MAX(Q160:U160)</f>
        <v>3650</v>
      </c>
      <c r="AG160" s="1242">
        <f>'FICHA FUNCIONAL'!$E$23</f>
        <v>0</v>
      </c>
      <c r="AH160" s="1242">
        <f>IF(AF160&lt;=0,VE_RP_EC20!N10,AG160+AF160)</f>
        <v>3650</v>
      </c>
      <c r="BB160" s="1341"/>
      <c r="BC160" s="1341"/>
      <c r="BD160" s="1341"/>
      <c r="BE160" s="1341"/>
      <c r="BF160" s="1341"/>
      <c r="BG160" s="1341"/>
      <c r="BH160" s="1341"/>
      <c r="BI160" s="1341"/>
      <c r="BJ160" s="1341"/>
      <c r="BK160" s="326"/>
      <c r="BL160" s="1340"/>
    </row>
    <row r="161" spans="1:64" ht="12.75" hidden="1" customHeight="1" x14ac:dyDescent="0.15">
      <c r="A161" s="347">
        <v>4</v>
      </c>
      <c r="B161" s="337" t="s">
        <v>552</v>
      </c>
      <c r="C161" s="21" t="s">
        <v>613</v>
      </c>
      <c r="D161" s="105">
        <f>IF(ISERROR(HLOOKUP($J$161,$Q$48:$Z$49,2)),0,HLOOKUP($J$161,$Q$48:$Z$49,2))</f>
        <v>0</v>
      </c>
      <c r="E161" s="105">
        <f>IF(ISERROR(HLOOKUP($K$161,$Q$48:$Z$49,2)),0,HLOOKUP($K$161,$Q$48:$Z$49,2))</f>
        <v>0</v>
      </c>
      <c r="F161" s="105">
        <f>IF(ISERROR(HLOOKUP($L$161,$Q$48:$Z$49,2)),0,HLOOKUP($L$161,$Q$48:$Z$49,2))</f>
        <v>0</v>
      </c>
      <c r="G161" s="67">
        <f>SUM($F$27:$F$32)</f>
        <v>0</v>
      </c>
      <c r="H161" s="67">
        <f>SUM($F$27:$F$32)+$J$51</f>
        <v>0</v>
      </c>
      <c r="I161" s="67">
        <f>SUM($F$27:$F$32)+$J$51+$J$60</f>
        <v>0</v>
      </c>
      <c r="J161" s="21">
        <f t="shared" si="12"/>
        <v>0</v>
      </c>
      <c r="K161" s="21">
        <f t="shared" ref="K161:K170" si="22">ROUNDDOWN(H161/365,0)</f>
        <v>0</v>
      </c>
      <c r="L161" s="21">
        <f t="shared" ref="L161:L170" si="23">ROUNDDOWN(I161/365,0)</f>
        <v>0</v>
      </c>
      <c r="M161" s="21" t="s">
        <v>660</v>
      </c>
      <c r="O161" s="21">
        <v>5</v>
      </c>
      <c r="P161" s="1349" t="s">
        <v>272</v>
      </c>
      <c r="Q161" s="1344" t="str">
        <f>IF(AND($N$8&lt;&gt;0,N8&gt;=$Q$12),"A PARTIR DE 20/02/2004 ESSA REGRA NÃO SE APLICA AO SERVIDOR",IF(D14="X",IF($G$10="X",(30*365)-$F$61,IF($D$10="X",(35*365)-$F$61,"PREENCHA CAMPO DESTINADO AO SEXO")),"REVER FUNDAMENTAÇÃO E/OU MODALIDADE"))</f>
        <v>REVER FUNDAMENTAÇÃO E/OU MODALIDADE</v>
      </c>
      <c r="R161" s="1345">
        <f t="shared" si="14"/>
        <v>1825</v>
      </c>
      <c r="S161" s="1345" t="s">
        <v>537</v>
      </c>
      <c r="T161" s="1345">
        <f t="shared" ref="T161:T166" si="24">IF($O$15&gt;=(10*365),0,(10*365)-$O$15)</f>
        <v>3650</v>
      </c>
      <c r="U161" s="1344" t="str">
        <f>IF($D$10="X",IF(VPI_RP_EC41!$O$9&gt;=(65*365+16),0,(65*365+16)-VPI_RP_EC41!$O$9),IF($G$10="X",IF(VPI_RP_EC41!$O$9&gt;=(60*365+15),0,(60*365+15)-VPI_RP_EC41!$O$9),"MARQUE O SEXO"))</f>
        <v>MARQUE O SEXO</v>
      </c>
      <c r="V161" s="1346">
        <f>IF(AND(Q161&lt;&gt;"A PARTIR DE 20/02/2004 ESSA REGRA NÃO SE APLICA AO SERVIDOR",Q161&lt;&gt;"REVER FUNDAMENTAÇÃO E/OU MODALIDADE"),ROUNDDOWN(Q161/365,0),0)</f>
        <v>0</v>
      </c>
      <c r="W161" s="1345">
        <f t="shared" si="15"/>
        <v>5</v>
      </c>
      <c r="X161" s="1345">
        <f t="shared" si="16"/>
        <v>0</v>
      </c>
      <c r="Y161" s="1345">
        <f t="shared" si="17"/>
        <v>10</v>
      </c>
      <c r="Z161" s="1347">
        <f>IF(OR(U161="A PARTIR DE 20/02/2004 ESSA REGRA NÃO SE APLICA AO SERVIDOR",U161="MARQUE O SEXO"),0,ROUNDDOWN(U161/365,0))</f>
        <v>0</v>
      </c>
      <c r="AA161" s="1346">
        <f>IF(AND(Q161&lt;&gt;"A PARTIR DE 20/02/2004 ESSA REGRA NÃO SE APLICA AO SERVIDOR",Q161&lt;&gt;"REVER FUNDAMENTAÇÃO E/OU MODALIDADE"),((Q161/365)-V161)*365,0)</f>
        <v>0</v>
      </c>
      <c r="AB161" s="1345">
        <f t="shared" si="18"/>
        <v>0</v>
      </c>
      <c r="AC161" s="1345">
        <f t="shared" si="19"/>
        <v>0</v>
      </c>
      <c r="AD161" s="1345">
        <f t="shared" si="20"/>
        <v>0</v>
      </c>
      <c r="AE161" s="1347">
        <f>IF(OR(U161="NÃO CABE",U161="MARQUE O SEXO",U161="A PARTIR DE 20/02/2004 ESSA REGRA NÃO SE APLICA AO SERVIDOR"),0,((U161/365)-Z161)*365)</f>
        <v>0</v>
      </c>
      <c r="AF161" s="1348" t="str">
        <f>U161</f>
        <v>MARQUE O SEXO</v>
      </c>
      <c r="AG161" s="1242">
        <f>'FICHA FUNCIONAL'!$E$23</f>
        <v>0</v>
      </c>
      <c r="AH161" s="1242" t="e">
        <f>IF(OR(VPI_RP_EC41!$N$10&lt;38037,AF161&lt;=0),VPI_RP_EC41!$N$10,AG161+AF161)</f>
        <v>#VALUE!</v>
      </c>
      <c r="BB161" s="1341"/>
      <c r="BC161" s="1341"/>
      <c r="BD161" s="1341" t="s">
        <v>349</v>
      </c>
      <c r="BE161" s="1342">
        <v>5</v>
      </c>
      <c r="BF161" s="1342">
        <v>10</v>
      </c>
      <c r="BG161" s="1342">
        <v>15</v>
      </c>
      <c r="BH161" s="1342">
        <v>20</v>
      </c>
      <c r="BI161" s="1342">
        <v>25</v>
      </c>
      <c r="BJ161" s="1343" t="s">
        <v>365</v>
      </c>
      <c r="BK161" s="326"/>
      <c r="BL161" s="1340"/>
    </row>
    <row r="162" spans="1:64" ht="12.75" hidden="1" customHeight="1" x14ac:dyDescent="0.15">
      <c r="A162" s="259">
        <v>5</v>
      </c>
      <c r="B162" s="51" t="s">
        <v>553</v>
      </c>
      <c r="C162" s="21" t="s">
        <v>613</v>
      </c>
      <c r="D162" s="104">
        <f>IF(ISERROR(HLOOKUP($J$162,$Q$48:$AB$49,2)),0,HLOOKUP($J$162,$Q$48:$AB$49,2))</f>
        <v>0</v>
      </c>
      <c r="E162" s="105">
        <f>IF(ISERROR(HLOOKUP($K$162,$Q$48:$AB$49,2)),0,HLOOKUP($K$162,$Q$48:$AB$49,2))</f>
        <v>0</v>
      </c>
      <c r="F162" s="106">
        <f>IF(ISERROR(HLOOKUP($L$162,$Q$48:$AB$49,2)),0,HLOOKUP($L$162,$Q$48:$AB$49,2))</f>
        <v>0</v>
      </c>
      <c r="G162" s="67">
        <f>SUM($F$30:$F$32)</f>
        <v>0</v>
      </c>
      <c r="H162" s="67">
        <f>SUM($F$30:$F$32)+$J$51</f>
        <v>0</v>
      </c>
      <c r="I162" s="67">
        <f>SUM($F$30:$F$32)+$J$51+$J$60</f>
        <v>0</v>
      </c>
      <c r="J162" s="21">
        <f t="shared" si="12"/>
        <v>0</v>
      </c>
      <c r="K162" s="21">
        <f t="shared" si="22"/>
        <v>0</v>
      </c>
      <c r="L162" s="21">
        <f t="shared" si="23"/>
        <v>0</v>
      </c>
      <c r="M162" s="21" t="s">
        <v>660</v>
      </c>
      <c r="O162" s="254">
        <v>6</v>
      </c>
      <c r="P162" s="1349" t="s">
        <v>281</v>
      </c>
      <c r="Q162" s="1350" t="str">
        <f>IF(AND($N$8&lt;&gt;0,N8&gt;=$Q$12),"A PARTIR DE 20/02/2004 ESSA REGRA NÃO SE APLICA AO SERVIDOR",IF(D14="X",IF($G$10="X",(30*365)-$F$61,IF($D$10="X",(35*365)-$F$61,"PREENCHA CAMPO DESTINADO AO SEXO")),"REVER FUNDAMENTAÇÃO E/OU MODALIDADE"))</f>
        <v>REVER FUNDAMENTAÇÃO E/OU MODALIDADE</v>
      </c>
      <c r="R162" s="1345">
        <f t="shared" si="14"/>
        <v>1825</v>
      </c>
      <c r="S162" s="1345" t="s">
        <v>537</v>
      </c>
      <c r="T162" s="1345">
        <f t="shared" si="24"/>
        <v>3650</v>
      </c>
      <c r="U162" s="1350">
        <f>IF(AND(N8&lt;&gt;0,$N$8&gt;=CRÍTICA_IGP1!$Q$12),"A PARTIR DE 20/02/2004 ESSA REGRA NÃO SE APLICA AO SERVIDOR",$Q$20)</f>
        <v>25568</v>
      </c>
      <c r="V162" s="1346">
        <f>IF(AND(Q162&lt;&gt;"A PARTIR DE 20/02/2004 ESSA REGRA NÃO SE APLICA AO SERVIDOR",Q162&lt;&gt;"REVER FUNDAMENTAÇÃO E/OU MODALIDADE"),ROUNDDOWN(Q162/365,0),0)</f>
        <v>0</v>
      </c>
      <c r="W162" s="1345">
        <f t="shared" si="15"/>
        <v>5</v>
      </c>
      <c r="X162" s="1345">
        <f t="shared" si="16"/>
        <v>0</v>
      </c>
      <c r="Y162" s="1345">
        <f t="shared" si="17"/>
        <v>10</v>
      </c>
      <c r="Z162" s="1347">
        <f>IF(OR(U162="A PARTIR DE 20/02/2004 ESSA REGRA NÃO SE APLICA AO SERVIDOR",U162="MARQUE O SEXO"),0,ROUNDDOWN(U162/365,0))</f>
        <v>70</v>
      </c>
      <c r="AA162" s="1346">
        <f>IF(AND(Q162&lt;&gt;"A PARTIR DE 20/02/2004 ESSA REGRA NÃO SE APLICA AO SERVIDOR",Q162&lt;&gt;"REVER FUNDAMENTAÇÃO E/OU MODALIDADE"),((Q162/365)-V162)*365,0)</f>
        <v>0</v>
      </c>
      <c r="AB162" s="1345">
        <f t="shared" si="18"/>
        <v>0</v>
      </c>
      <c r="AC162" s="1345">
        <f t="shared" si="19"/>
        <v>0</v>
      </c>
      <c r="AD162" s="1345">
        <f t="shared" si="20"/>
        <v>0</v>
      </c>
      <c r="AE162" s="1347">
        <f>IF(OR(U162="NÃO CABE",U162="MARQUE O SEXO",U162="A PARTIR DE 20/02/2004 ESSA REGRA NÃO SE APLICA AO SERVIDOR"),0,((U162/365)-Z162)*365)</f>
        <v>17.999999999997414</v>
      </c>
      <c r="AF162" s="1348">
        <f>IF(U162="O SERVIDOR NÃO FAZ JUS NESTA DATA",Q20,Q20)</f>
        <v>25568</v>
      </c>
      <c r="AG162" s="1242">
        <f>'FICHA FUNCIONAL'!$E$23</f>
        <v>0</v>
      </c>
      <c r="AH162" s="1242">
        <f>IF(OR(VPI_RP_EC41!$N$10&lt;38037,AF162&lt;=0),VPI_RP_EC41!$N$10,AG162+AF162)</f>
        <v>25568</v>
      </c>
      <c r="BB162" s="69"/>
      <c r="BC162" s="330" t="s">
        <v>419</v>
      </c>
      <c r="BD162" s="330" t="s">
        <v>420</v>
      </c>
      <c r="BE162" s="69" t="s">
        <v>421</v>
      </c>
      <c r="BF162" s="69" t="s">
        <v>422</v>
      </c>
      <c r="BG162" s="69" t="s">
        <v>423</v>
      </c>
      <c r="BH162" s="69" t="s">
        <v>424</v>
      </c>
      <c r="BI162" s="69" t="s">
        <v>425</v>
      </c>
      <c r="BJ162" s="69" t="s">
        <v>426</v>
      </c>
      <c r="BK162" s="326"/>
      <c r="BL162" s="327"/>
    </row>
    <row r="163" spans="1:64" ht="12.75" hidden="1" customHeight="1" x14ac:dyDescent="0.15">
      <c r="A163" s="259" t="s">
        <v>555</v>
      </c>
      <c r="B163" s="51" t="s">
        <v>616</v>
      </c>
      <c r="C163" s="21" t="s">
        <v>613</v>
      </c>
      <c r="D163" s="104">
        <f>IF(ISERROR(HLOOKUP($J$163,$Q$48:$V$49,2)),0,HLOOKUP($J$163,$Q$48:$V$49,2))</f>
        <v>0</v>
      </c>
      <c r="E163" s="105">
        <f>IF(ISERROR(HLOOKUP($K$163,$Q$48:$V$49,2)),0,HLOOKUP($K$163,$Q$48:$V$49,2))</f>
        <v>0</v>
      </c>
      <c r="F163" s="106">
        <f>IF(ISERROR(HLOOKUP($L$163,$Q$48:$V$49,2)),0,HLOOKUP($L$163,$Q$48:$V$49,2))</f>
        <v>0</v>
      </c>
      <c r="G163" s="67">
        <f>SUM($F$30:$F$32)</f>
        <v>0</v>
      </c>
      <c r="H163" s="67">
        <f>SUM($F$30:$F$32)+$J$51</f>
        <v>0</v>
      </c>
      <c r="I163" s="67">
        <f>SUM($F$30:$F$32)+$J$51+$J$60</f>
        <v>0</v>
      </c>
      <c r="J163" s="21">
        <f t="shared" si="12"/>
        <v>0</v>
      </c>
      <c r="K163" s="21">
        <f t="shared" si="22"/>
        <v>0</v>
      </c>
      <c r="L163" s="21">
        <f t="shared" si="23"/>
        <v>0</v>
      </c>
      <c r="M163" s="21" t="s">
        <v>660</v>
      </c>
      <c r="O163" s="254">
        <v>7</v>
      </c>
      <c r="P163" s="1351" t="s">
        <v>273</v>
      </c>
      <c r="Q163" s="1352" t="str">
        <f>IF($G$10="X",(30*365)-$F$61,IF($D$10="X",(35*365)-$F$61,"PREENCHA CAMPO DESTINADO AO SEXO"))</f>
        <v>PREENCHA CAMPO DESTINADO AO SEXO</v>
      </c>
      <c r="R163" s="1353">
        <f t="shared" si="14"/>
        <v>1825</v>
      </c>
      <c r="S163" s="1353" t="s">
        <v>537</v>
      </c>
      <c r="T163" s="1353">
        <f t="shared" si="24"/>
        <v>3650</v>
      </c>
      <c r="U163" s="1352" t="str">
        <f>IF($D$10="X",IF($O$9&gt;=(60*365+15),0,(60*365+15)-$O$9),IF($G$10="X",IF($O$9&gt;=(55*365+14),0,(55*365+14)-$O$9),"MARQUE O SEXO"))</f>
        <v>MARQUE O SEXO</v>
      </c>
      <c r="V163" s="1354" t="e">
        <f>IF(Q163&gt;0,ROUNDDOWN(Q163/365,0),0)</f>
        <v>#VALUE!</v>
      </c>
      <c r="W163" s="1353">
        <f t="shared" si="15"/>
        <v>5</v>
      </c>
      <c r="X163" s="1353">
        <f t="shared" si="16"/>
        <v>0</v>
      </c>
      <c r="Y163" s="1353">
        <f t="shared" si="17"/>
        <v>10</v>
      </c>
      <c r="Z163" s="1355">
        <f>IF(OR(U163&lt;=0,U163="MARQUE O SEXO"),0,ROUNDDOWN(U163/365,0))</f>
        <v>0</v>
      </c>
      <c r="AA163" s="1354" t="e">
        <f>IF(Q163&gt;0,((Q163/365)-V163)*365,0)</f>
        <v>#VALUE!</v>
      </c>
      <c r="AB163" s="1353">
        <f t="shared" si="18"/>
        <v>0</v>
      </c>
      <c r="AC163" s="1353">
        <f t="shared" si="19"/>
        <v>0</v>
      </c>
      <c r="AD163" s="1353">
        <f t="shared" si="20"/>
        <v>0</v>
      </c>
      <c r="AE163" s="1355">
        <f>IF(OR(U163="NÃO CABE",U163="MARQUE O SEXO",U163&lt;=0),0,((U163/365)-Z163)*365)</f>
        <v>0</v>
      </c>
      <c r="AF163" s="1356">
        <f t="shared" si="21"/>
        <v>3650</v>
      </c>
      <c r="AG163" s="1242">
        <f>'FICHA FUNCIONAL'!$E$23</f>
        <v>0</v>
      </c>
      <c r="AH163" s="1242">
        <f t="shared" ref="AH163:AH173" si="25">AG163+AF163</f>
        <v>3650</v>
      </c>
      <c r="BB163" s="69"/>
      <c r="BC163" s="330" t="s">
        <v>427</v>
      </c>
      <c r="BD163" s="330" t="s">
        <v>428</v>
      </c>
      <c r="BE163" s="69" t="s">
        <v>421</v>
      </c>
      <c r="BF163" s="69" t="s">
        <v>422</v>
      </c>
      <c r="BG163" s="69" t="s">
        <v>423</v>
      </c>
      <c r="BH163" s="69" t="s">
        <v>424</v>
      </c>
      <c r="BI163" s="69" t="s">
        <v>425</v>
      </c>
      <c r="BJ163" s="69" t="s">
        <v>426</v>
      </c>
      <c r="BK163" s="326"/>
      <c r="BL163" s="327"/>
    </row>
    <row r="164" spans="1:64" ht="12.75" hidden="1" customHeight="1" x14ac:dyDescent="0.15">
      <c r="A164" s="259">
        <v>6</v>
      </c>
      <c r="B164" s="51" t="s">
        <v>556</v>
      </c>
      <c r="C164" s="21" t="s">
        <v>613</v>
      </c>
      <c r="D164" s="104">
        <f>IF(ISERROR(HLOOKUP($J$164,$Q$48:$AA$49,2)),0,HLOOKUP($J$164,$Q$48:$AA$49,2))</f>
        <v>0</v>
      </c>
      <c r="E164" s="105">
        <f>IF(ISERROR(HLOOKUP(K164,$Q$48:$AA$49,2)),0,HLOOKUP(K164,$Q$48:$AA$49,2))</f>
        <v>0</v>
      </c>
      <c r="F164" s="106">
        <f>IF(ISERROR(HLOOKUP(L164,$Q$48:$AA$49,2)),0,HLOOKUP(L164,$Q$48:$AA$49,2))</f>
        <v>0</v>
      </c>
      <c r="G164" s="113">
        <f>SUM($F$27:$F$33)</f>
        <v>0</v>
      </c>
      <c r="H164" s="103">
        <f>SUM($F$27:$F$33)+$J$51</f>
        <v>0</v>
      </c>
      <c r="I164" s="103">
        <f>SUM($F$27:$F$33)+$J$51+$J$60</f>
        <v>0</v>
      </c>
      <c r="J164" s="21">
        <f t="shared" si="12"/>
        <v>0</v>
      </c>
      <c r="K164" s="21">
        <f t="shared" si="22"/>
        <v>0</v>
      </c>
      <c r="L164" s="21">
        <f t="shared" si="23"/>
        <v>0</v>
      </c>
      <c r="M164" s="21" t="s">
        <v>660</v>
      </c>
      <c r="O164" s="254">
        <v>8</v>
      </c>
      <c r="P164" s="1351" t="s">
        <v>274</v>
      </c>
      <c r="Q164" s="1352" t="str">
        <f>IF(D12="X",IF(G10="x",(25*365)-F61,IF(D10="X",(30*365)-F61,"PREENCHA CAMPO DESTINADO AO SEXO")),"CONFIRME EFETIVO MAGISTÉRIO")</f>
        <v>CONFIRME EFETIVO MAGISTÉRIO</v>
      </c>
      <c r="R164" s="1353">
        <f t="shared" si="14"/>
        <v>1825</v>
      </c>
      <c r="S164" s="1353" t="s">
        <v>537</v>
      </c>
      <c r="T164" s="1353">
        <f t="shared" si="24"/>
        <v>3650</v>
      </c>
      <c r="U164" s="1352" t="str">
        <f>IF($D$10="X",IF($O$9&gt;=(55*365+14),0,(55*365+14)-$O$9),IF($G$10="X",IF($O$9&gt;=(50*365+14),0,(50*365+14)-$O$9),"MARQUE O SEXO"))</f>
        <v>MARQUE O SEXO</v>
      </c>
      <c r="V164" s="1354">
        <f>IF(AND(Q164&lt;&gt;"PREENCHA CAMPO DESTINADO AO SEXO",Q164&lt;&gt;"CONFIRME EFETIVO MAGISTÉRIO"),ROUNDDOWN(Q164/365,0),0)</f>
        <v>0</v>
      </c>
      <c r="W164" s="1353">
        <f t="shared" si="15"/>
        <v>5</v>
      </c>
      <c r="X164" s="1353">
        <f t="shared" si="16"/>
        <v>0</v>
      </c>
      <c r="Y164" s="1353">
        <f t="shared" si="17"/>
        <v>10</v>
      </c>
      <c r="Z164" s="1355">
        <f>IF(OR(U164&lt;=0,U164="MARQUE O SEXO"),0,ROUNDDOWN(U164/365,0))</f>
        <v>0</v>
      </c>
      <c r="AA164" s="1354">
        <f>IF(AND(Q164&lt;&gt;"PREENCHA CAMPO DESTINADO AO SEXO",Q164&lt;&gt;"CONFIRME EFETIVO MAGISTÉRIO"),((Q164/365)-V164)*365,0)</f>
        <v>0</v>
      </c>
      <c r="AB164" s="1353">
        <f t="shared" si="18"/>
        <v>0</v>
      </c>
      <c r="AC164" s="1353">
        <f t="shared" si="19"/>
        <v>0</v>
      </c>
      <c r="AD164" s="1353">
        <f t="shared" si="20"/>
        <v>0</v>
      </c>
      <c r="AE164" s="1355">
        <f>IF(OR(U164="NÃO CABE",U164="MARQUE O SEXO",U164&lt;=0),0,((U164/365)-Z164)*365)</f>
        <v>0</v>
      </c>
      <c r="AF164" s="1356">
        <f t="shared" si="21"/>
        <v>3650</v>
      </c>
      <c r="AG164" s="1242">
        <f>'FICHA FUNCIONAL'!$E$23</f>
        <v>0</v>
      </c>
      <c r="AH164" s="1242">
        <f t="shared" si="25"/>
        <v>3650</v>
      </c>
      <c r="BB164" s="69"/>
      <c r="BC164" s="330" t="s">
        <v>429</v>
      </c>
      <c r="BD164" s="330" t="s">
        <v>430</v>
      </c>
      <c r="BE164" s="69" t="s">
        <v>421</v>
      </c>
      <c r="BF164" s="69" t="s">
        <v>422</v>
      </c>
      <c r="BG164" s="69" t="s">
        <v>423</v>
      </c>
      <c r="BH164" s="69" t="s">
        <v>424</v>
      </c>
      <c r="BI164" s="69" t="s">
        <v>425</v>
      </c>
      <c r="BJ164" s="69" t="s">
        <v>426</v>
      </c>
      <c r="BK164" s="7"/>
      <c r="BL164" s="7"/>
    </row>
    <row r="165" spans="1:64" ht="12.75" hidden="1" customHeight="1" x14ac:dyDescent="0.15">
      <c r="A165" s="259">
        <v>7</v>
      </c>
      <c r="B165" s="51" t="s">
        <v>557</v>
      </c>
      <c r="C165" s="21" t="s">
        <v>547</v>
      </c>
      <c r="D165" s="104">
        <f>IF(ISERROR(HLOOKUP($J$165,$Q$78:$W$79,2)),0,HLOOKUP($J$165,$Q$78:$W$79,2))</f>
        <v>0</v>
      </c>
      <c r="E165" s="105">
        <f>IF(ISERROR(HLOOKUP(K165,$Q$78:$W$79,2)),0,HLOOKUP(K165,$Q$78:$W$79,2))</f>
        <v>0</v>
      </c>
      <c r="F165" s="106">
        <f>IF(ISERROR(HLOOKUP(L165,$Q$78:$W$79,2)),0,HLOOKUP(L165,$Q$78:$W$79,2))</f>
        <v>0</v>
      </c>
      <c r="G165" s="113">
        <f t="shared" ref="G165:G171" si="26">SUM($F$30:$F$32)</f>
        <v>0</v>
      </c>
      <c r="H165" s="103">
        <f>SUM($F$30:$F$32)+$J$51</f>
        <v>0</v>
      </c>
      <c r="I165" s="103">
        <f>SUM($F$30:$F$32)+$J$51+$J$60</f>
        <v>0</v>
      </c>
      <c r="J165" s="21">
        <f t="shared" si="12"/>
        <v>0</v>
      </c>
      <c r="K165" s="21">
        <f t="shared" si="22"/>
        <v>0</v>
      </c>
      <c r="L165" s="21">
        <f t="shared" si="23"/>
        <v>0</v>
      </c>
      <c r="M165" s="21" t="s">
        <v>660</v>
      </c>
      <c r="O165" s="254">
        <v>9</v>
      </c>
      <c r="P165" s="1351" t="s">
        <v>275</v>
      </c>
      <c r="Q165" s="1352" t="str">
        <f>IF($G$10="X",(30*365)-$F$61,IF($D$10="X",(35*365)-$F$61,"PREENCHA CAMPO DESTINADO AO SEXO"))</f>
        <v>PREENCHA CAMPO DESTINADO AO SEXO</v>
      </c>
      <c r="R165" s="1353">
        <f t="shared" si="14"/>
        <v>1825</v>
      </c>
      <c r="S165" s="1353" t="s">
        <v>537</v>
      </c>
      <c r="T165" s="1353">
        <f t="shared" si="24"/>
        <v>3650</v>
      </c>
      <c r="U165" s="1352" t="str">
        <f>IF($D$10="X",IF($O$9&gt;=(65*365+16),0,(65*365+16)-$O$9),IF($G$10="X",IF($O$9&gt;=(60*365+15),0,(60*365+15)-$O$9),"MARQUE O SEXO"))</f>
        <v>MARQUE O SEXO</v>
      </c>
      <c r="V165" s="1354" t="e">
        <f>IF(Q165&gt;0,ROUNDDOWN(Q165/365,0),0)</f>
        <v>#VALUE!</v>
      </c>
      <c r="W165" s="1353">
        <f t="shared" si="15"/>
        <v>5</v>
      </c>
      <c r="X165" s="1353">
        <f t="shared" si="16"/>
        <v>0</v>
      </c>
      <c r="Y165" s="1353">
        <f t="shared" si="17"/>
        <v>10</v>
      </c>
      <c r="Z165" s="1355">
        <f>IF(OR(U165&lt;=0,U165="MARQUE O SEXO"),0,ROUNDDOWN(U165/365,0))</f>
        <v>0</v>
      </c>
      <c r="AA165" s="1354" t="e">
        <f>IF(Q165&gt;0,((Q165/365)-V165)*365,0)</f>
        <v>#VALUE!</v>
      </c>
      <c r="AB165" s="1353">
        <f t="shared" si="18"/>
        <v>0</v>
      </c>
      <c r="AC165" s="1353">
        <f t="shared" si="19"/>
        <v>0</v>
      </c>
      <c r="AD165" s="1353">
        <f t="shared" si="20"/>
        <v>0</v>
      </c>
      <c r="AE165" s="1355">
        <f>IF(OR(U165="NÃO CABE",U165="MARQUE O SEXO",U165&lt;=0),0,((U165/365)-Z165)*365)</f>
        <v>0</v>
      </c>
      <c r="AF165" s="1356" t="str">
        <f>U165</f>
        <v>MARQUE O SEXO</v>
      </c>
      <c r="AG165" s="1242">
        <f>'FICHA FUNCIONAL'!$E$23</f>
        <v>0</v>
      </c>
      <c r="AH165" s="1242" t="e">
        <f t="shared" si="25"/>
        <v>#VALUE!</v>
      </c>
      <c r="BB165" s="69"/>
      <c r="BC165" s="330" t="s">
        <v>431</v>
      </c>
      <c r="BD165" s="330" t="s">
        <v>430</v>
      </c>
      <c r="BE165" s="69" t="s">
        <v>421</v>
      </c>
      <c r="BF165" s="69" t="s">
        <v>422</v>
      </c>
      <c r="BG165" s="69" t="s">
        <v>423</v>
      </c>
      <c r="BH165" s="69" t="s">
        <v>424</v>
      </c>
      <c r="BI165" s="69" t="s">
        <v>425</v>
      </c>
      <c r="BJ165" s="69" t="s">
        <v>426</v>
      </c>
      <c r="BK165" s="5"/>
      <c r="BL165" s="5"/>
    </row>
    <row r="166" spans="1:64" ht="12.75" hidden="1" customHeight="1" x14ac:dyDescent="0.15">
      <c r="A166" s="259" t="s">
        <v>558</v>
      </c>
      <c r="B166" s="51" t="s">
        <v>614</v>
      </c>
      <c r="C166" s="21" t="s">
        <v>547</v>
      </c>
      <c r="D166" s="104">
        <f>IF(ISERROR(HLOOKUP($J$166,$Q$78:$W$79,2)),0,HLOOKUP($J$166,$Q$78:$W$79,2))</f>
        <v>0</v>
      </c>
      <c r="E166" s="105">
        <f>IF(ISERROR(HLOOKUP(K166,$Q$78:$W$79,2)),0,HLOOKUP(K166,$Q$78:$W$79,2))</f>
        <v>0</v>
      </c>
      <c r="F166" s="106">
        <f>IF(ISERROR(HLOOKUP(L166,$Q$78:$W$79,2)),0,HLOOKUP(L166,$Q$78:$W$79,2))</f>
        <v>0</v>
      </c>
      <c r="G166" s="113">
        <f t="shared" si="26"/>
        <v>0</v>
      </c>
      <c r="H166" s="103">
        <f>SUM($F$30:$F$32)+$J$51</f>
        <v>0</v>
      </c>
      <c r="I166" s="103">
        <f>SUM($F$30:$F$32)+$J$51+$J$60</f>
        <v>0</v>
      </c>
      <c r="J166" s="21">
        <f t="shared" si="12"/>
        <v>0</v>
      </c>
      <c r="K166" s="21">
        <f t="shared" si="22"/>
        <v>0</v>
      </c>
      <c r="L166" s="21">
        <f t="shared" si="23"/>
        <v>0</v>
      </c>
      <c r="M166" s="21" t="s">
        <v>660</v>
      </c>
      <c r="O166" s="254">
        <v>10</v>
      </c>
      <c r="P166" s="1351" t="s">
        <v>282</v>
      </c>
      <c r="Q166" s="1352" t="str">
        <f>IF($G$10="X",(30*365)-$F$61,IF($D$10="X",(35*365)-$F$61,"PREENCHA CAMPO DESTINADO AO SEXO"))</f>
        <v>PREENCHA CAMPO DESTINADO AO SEXO</v>
      </c>
      <c r="R166" s="1353">
        <f t="shared" si="14"/>
        <v>1825</v>
      </c>
      <c r="S166" s="1353" t="s">
        <v>537</v>
      </c>
      <c r="T166" s="1353">
        <f t="shared" si="24"/>
        <v>3650</v>
      </c>
      <c r="U166" s="1352">
        <f>$Q$20</f>
        <v>25568</v>
      </c>
      <c r="V166" s="1354" t="e">
        <f>IF(Q166&gt;0,ROUNDDOWN(Q166/365,0),0)</f>
        <v>#VALUE!</v>
      </c>
      <c r="W166" s="1353">
        <f t="shared" si="15"/>
        <v>5</v>
      </c>
      <c r="X166" s="1353">
        <f t="shared" si="16"/>
        <v>0</v>
      </c>
      <c r="Y166" s="1353">
        <f t="shared" si="17"/>
        <v>10</v>
      </c>
      <c r="Z166" s="1355">
        <f>IF(OR(U166&lt;=0,U166="MARQUE O SEXO"),0,ROUNDDOWN(U166/365,0))</f>
        <v>70</v>
      </c>
      <c r="AA166" s="1354" t="e">
        <f>IF(Q166&gt;0,((Q166/365)-V166)*365,0)</f>
        <v>#VALUE!</v>
      </c>
      <c r="AB166" s="1353">
        <f t="shared" si="18"/>
        <v>0</v>
      </c>
      <c r="AC166" s="1353">
        <f t="shared" si="19"/>
        <v>0</v>
      </c>
      <c r="AD166" s="1353">
        <f t="shared" si="20"/>
        <v>0</v>
      </c>
      <c r="AE166" s="1355">
        <f>IF(OR(U166="NÃO CABE",U166="MARQUE O SEXO",U166&lt;=0),0,((U166/365)-Z166)*365)</f>
        <v>17.999999999997414</v>
      </c>
      <c r="AF166" s="1356">
        <f>U166</f>
        <v>25568</v>
      </c>
      <c r="AG166" s="1242">
        <f>'FICHA FUNCIONAL'!$E$23</f>
        <v>0</v>
      </c>
      <c r="AH166" s="1242">
        <f t="shared" si="25"/>
        <v>25568</v>
      </c>
      <c r="BB166" s="69"/>
      <c r="BC166" s="69" t="s">
        <v>400</v>
      </c>
      <c r="BD166" s="69"/>
      <c r="BE166" s="69" t="s">
        <v>329</v>
      </c>
      <c r="BF166" s="69" t="s">
        <v>356</v>
      </c>
      <c r="BG166" s="69" t="s">
        <v>432</v>
      </c>
      <c r="BH166" s="69" t="s">
        <v>432</v>
      </c>
      <c r="BI166" s="69" t="s">
        <v>432</v>
      </c>
      <c r="BJ166" s="69" t="s">
        <v>432</v>
      </c>
      <c r="BK166" s="5"/>
      <c r="BL166" s="5"/>
    </row>
    <row r="167" spans="1:64" ht="12.75" hidden="1" customHeight="1" x14ac:dyDescent="0.15">
      <c r="A167" s="259">
        <v>8</v>
      </c>
      <c r="B167" s="51" t="s">
        <v>559</v>
      </c>
      <c r="C167" s="21" t="s">
        <v>547</v>
      </c>
      <c r="D167" s="104">
        <f>IF(ISERROR(HLOOKUP($J$167,$Q$73:$W$74,2)),0,HLOOKUP($J$167,$Q$73:$W$74,2))</f>
        <v>0</v>
      </c>
      <c r="E167" s="105">
        <f>IF(ISERROR(HLOOKUP(K167,$Q$73:$W$74,2)),0,HLOOKUP(K167,$Q$73:$W$74,2))</f>
        <v>0</v>
      </c>
      <c r="F167" s="106">
        <f>IF(ISERROR(HLOOKUP(L167,$Q$73:$W$74,2)),0,HLOOKUP(L167,$Q$73:$W$74,2))</f>
        <v>0</v>
      </c>
      <c r="G167" s="113">
        <f>SUM($F$27:$F$32)</f>
        <v>0</v>
      </c>
      <c r="H167" s="103">
        <f>SUM($F$27:$F$32)+$J$51</f>
        <v>0</v>
      </c>
      <c r="I167" s="103">
        <f>SUM($F$27:$F$32)+$J$51+$J$60</f>
        <v>0</v>
      </c>
      <c r="J167" s="21">
        <f t="shared" si="12"/>
        <v>0</v>
      </c>
      <c r="K167" s="21">
        <f t="shared" si="22"/>
        <v>0</v>
      </c>
      <c r="L167" s="21">
        <f t="shared" si="23"/>
        <v>0</v>
      </c>
      <c r="M167" s="21" t="s">
        <v>660</v>
      </c>
      <c r="O167" s="254">
        <v>11</v>
      </c>
      <c r="P167" s="1357" t="s">
        <v>276</v>
      </c>
      <c r="Q167" s="1358">
        <f>IF(AND($N$8&lt;&gt;0,N8&gt;=Q13),"A PARTIR DE 31/12/2003 ESSA REGRA NÃO SE APLICA AO SERVIDOR",IF(VI_TRANS_EC20!F61&gt;=(VI_TRANS_EC20!F37+VI_TRANS_EC20!E44),0,(VI_TRANS_EC20!F37+VI_TRANS_EC20!E44)-VI_TRANS_EC20!F61))</f>
        <v>15330</v>
      </c>
      <c r="R167" s="1359">
        <f t="shared" si="14"/>
        <v>1825</v>
      </c>
      <c r="S167" s="1359" t="s">
        <v>537</v>
      </c>
      <c r="T167" s="1359">
        <f>IF(VI_TRANS_EC20!F72="NADA A CUMPRIR",0,VI_TRANS_EC20!F72)</f>
        <v>15330</v>
      </c>
      <c r="U167" s="1360" t="str">
        <f>IF($D$10="X",IF(VI_TRANS_EC20!$O$9&gt;=(53*365+14),0,(53*365+14)-VI_TRANS_EC20!$O$9),IF($G$10="x",IF(VI_TRANS_EC20!$O$9&gt;=(48*365+12),0,(48*365+12)-VI_TRANS_EC20!$O$9),"MARQUE O SEXO"))</f>
        <v>MARQUE O SEXO</v>
      </c>
      <c r="V167" s="1361">
        <f>IF(Q167&lt;&gt;"A PARTIR DE 31/12/2003 ESSA REGRA NÃO SE APLICA AO SERVIDOR",ROUNDDOWN(Q167/365,0),0)</f>
        <v>42</v>
      </c>
      <c r="W167" s="1359">
        <f t="shared" si="15"/>
        <v>5</v>
      </c>
      <c r="X167" s="1359">
        <f t="shared" si="16"/>
        <v>0</v>
      </c>
      <c r="Y167" s="1359">
        <f>IF(OR(T167="MARQUE O SEXO",T167="REVER FUNDAMENTAÇÃO E/OU MODALIDADE",T167="NÃO CABE",T167="NADA A CUMPRIR"),0,ROUNDDOWN(T167/365,0))</f>
        <v>42</v>
      </c>
      <c r="Z167" s="1360">
        <f>IF(OR(U167="NÃO CABE",U167="MARQUE O SEXO",U167="REVER FUNDAMENTAÇÃO E/OU MODALIDADE"),0,ROUNDDOWN(U167/365,0))</f>
        <v>0</v>
      </c>
      <c r="AA167" s="1361">
        <f>IF(Q167&lt;&gt;"A PARTIR DE 31/12/2003 ESSA REGRA NÃO SE APLICA AO SERVIDOR",((Q167/365)-V167)*365,0)</f>
        <v>0</v>
      </c>
      <c r="AB167" s="1359">
        <f t="shared" si="18"/>
        <v>0</v>
      </c>
      <c r="AC167" s="1359">
        <f t="shared" si="19"/>
        <v>0</v>
      </c>
      <c r="AD167" s="1359">
        <f>IF(OR(T167="MARQUE O SEXO",T167="REVER FUNDAMENTAÇÃO E/OU MODALIDADE",T167="NÃO CABE",T167="NADA A CUMPRIR"),0,((T167/365)-Y167)*365)</f>
        <v>0</v>
      </c>
      <c r="AE167" s="1360">
        <f>IF(OR($U$167="NÃO CABE",$U$167="MARQUE O SEXO",$U$167="REVER FUNDAMENTAÇÃO E/OU MODALIDADE"),0,(($U$167/365)-$Z$167)*365)</f>
        <v>0</v>
      </c>
      <c r="AF167" s="1362">
        <f t="shared" si="21"/>
        <v>15330</v>
      </c>
      <c r="AG167" s="1242">
        <f>'FICHA FUNCIONAL'!$E$23</f>
        <v>0</v>
      </c>
      <c r="AH167" s="1242">
        <f>IF(AF167&lt;=0,VI_TRANS_EC20!N10,AG167+AF167)</f>
        <v>15330</v>
      </c>
      <c r="BB167" s="69">
        <v>26</v>
      </c>
      <c r="BC167" s="69"/>
      <c r="BD167" s="69"/>
      <c r="BE167" s="69"/>
      <c r="BF167" s="69"/>
      <c r="BG167" s="69"/>
      <c r="BH167" s="69"/>
      <c r="BI167" s="69"/>
      <c r="BJ167" s="69"/>
      <c r="BK167" s="5"/>
      <c r="BL167" s="5"/>
    </row>
    <row r="168" spans="1:64" ht="12.75" hidden="1" customHeight="1" x14ac:dyDescent="0.15">
      <c r="A168" s="259">
        <v>9</v>
      </c>
      <c r="B168" s="51" t="s">
        <v>560</v>
      </c>
      <c r="C168" s="21" t="s">
        <v>547</v>
      </c>
      <c r="D168" s="104">
        <f>IF(ISERROR(HLOOKUP($J$168,$Q$78:$W$79,2)),0,HLOOKUP($J$168,$Q$78:$W$79,2))</f>
        <v>0</v>
      </c>
      <c r="E168" s="105">
        <f>IF(ISERROR(HLOOKUP(K168,$Q$78:$W$79,2)),0,HLOOKUP(K168,$Q$78:$W$79,2))</f>
        <v>0</v>
      </c>
      <c r="F168" s="106">
        <f>IF(ISERROR(HLOOKUP(L168,$Q$78:$W$79,2)),0,HLOOKUP(L168,$Q$78:$W$79,2))</f>
        <v>0</v>
      </c>
      <c r="G168" s="113">
        <f>SUM($F$27:$F$32)</f>
        <v>0</v>
      </c>
      <c r="H168" s="103">
        <f>SUM($F$27:$F$32)+$J$51</f>
        <v>0</v>
      </c>
      <c r="I168" s="103">
        <f>SUM($F$27:$F$32)+$J$51+$J$60</f>
        <v>0</v>
      </c>
      <c r="J168" s="21">
        <f t="shared" si="12"/>
        <v>0</v>
      </c>
      <c r="K168" s="21">
        <f t="shared" si="22"/>
        <v>0</v>
      </c>
      <c r="L168" s="21">
        <f t="shared" si="23"/>
        <v>0</v>
      </c>
      <c r="M168" s="21" t="s">
        <v>660</v>
      </c>
      <c r="O168" s="254">
        <v>12</v>
      </c>
      <c r="P168" s="1357" t="s">
        <v>277</v>
      </c>
      <c r="Q168" s="1358" t="str">
        <f>IF(N8&gt;=$Q$13,"A PARTIR DE 31/12/2003 ESSA REGRA NÃO SE APLICA AO SERVIDOR",IF(D12="X",IF(VE_TRANS_EC20!F61&gt;=(VE_TRANS_EC20!F37+VE_TRANS_EC20!E44),0,(VE_TRANS_EC20!F37+VE_TRANS_EC20!E44)-VE_TRANS_EC20!F61),"CONFIRME MAGISTÉRIO"))</f>
        <v>CONFIRME MAGISTÉRIO</v>
      </c>
      <c r="R168" s="1359">
        <f t="shared" si="14"/>
        <v>1825</v>
      </c>
      <c r="S168" s="1359" t="s">
        <v>537</v>
      </c>
      <c r="T168" s="1359">
        <f>IF(VE_TRANS_EC20!F72="NADA A CUMPRIR",0,VE_TRANS_EC20!F72)</f>
        <v>15330</v>
      </c>
      <c r="U168" s="1360" t="str">
        <f>IF($D$10="X",IF(VE_TRANS_EC20!$O$9&gt;=(53*365+14),0,(53*365+14)-VE_TRANS_EC20!$O$9),IF($G$10="X",IF(VE_TRANS_EC20!$O$9&gt;=(48*365+12),0,(48*365+12)-VE_TRANS_EC20!$O$9),"MARQUE O SEXO"))</f>
        <v>MARQUE O SEXO</v>
      </c>
      <c r="V168" s="1361">
        <f>IF(OR(Q168="A PARTIR DE 31/12/2003 ESSA REGRA NÃO SE APLICA AO SERVIDOR",Q168="CONFIRME MAGISTÉRIO"),0,ROUNDDOWN(Q168/365,0))</f>
        <v>0</v>
      </c>
      <c r="W168" s="1359">
        <f t="shared" si="15"/>
        <v>5</v>
      </c>
      <c r="X168" s="1359">
        <f t="shared" si="16"/>
        <v>0</v>
      </c>
      <c r="Y168" s="1359">
        <f>IF(OR(T168="MARQUE O SEXO",T168="REVER FUNDAMENTAÇÃO E/OU MODALIDADE",T168="NÃO CABE",T168="NADA A CUMPRIR"),0,ROUNDDOWN(T168/365,0))</f>
        <v>42</v>
      </c>
      <c r="Z168" s="1360">
        <f>IF(OR(U168="NÃO CABE",U168="MARQUE O SEXO",U168="REVER FUNDAMENTAÇÃO E/OU MODALIDADE"),0,ROUNDDOWN(U168/365,0))</f>
        <v>0</v>
      </c>
      <c r="AA168" s="1361">
        <f>IF(AND(Q168&lt;&gt;"A PARTIR DE 31/12/2003 ESSA REGRA NÃO SE APLICA AO SERVIDOR",Q168&lt;&gt;"CONFIRME MAGISTÉRIO"),((Q168/365)-V168)*365,0)</f>
        <v>0</v>
      </c>
      <c r="AB168" s="1359">
        <f t="shared" si="18"/>
        <v>0</v>
      </c>
      <c r="AC168" s="1359">
        <f t="shared" si="19"/>
        <v>0</v>
      </c>
      <c r="AD168" s="1359">
        <f>IF(OR(T168="MARQUE O SEXO",T168="REVER FUNDAMENTAÇÃO E/OU MODALIDADE",T168="NÃO CABE",T168="NADA A CUMPRIR"),0,((T168/365)-Y168)*365)</f>
        <v>0</v>
      </c>
      <c r="AE168" s="1360">
        <f>IF(OR($U$168="NÃO CABE",$U$168="MARQUE O SEXO",$U$168="REVER FUNDAMENTAÇÃO E/OU MODALIDADE"),0,(($U$168/365)-$Z$168)*365)</f>
        <v>0</v>
      </c>
      <c r="AF168" s="1362">
        <f t="shared" si="21"/>
        <v>15330</v>
      </c>
      <c r="AG168" s="1242">
        <f>'FICHA FUNCIONAL'!$E$23</f>
        <v>0</v>
      </c>
      <c r="AH168" s="1242">
        <f>IF(AF168&lt;=0,VE_TRANS_EC20!N10,AG168+AF168)</f>
        <v>15330</v>
      </c>
      <c r="AI168" s="67"/>
      <c r="BB168" s="69"/>
      <c r="BC168" s="331"/>
      <c r="BD168" s="116"/>
      <c r="BE168" s="69"/>
      <c r="BF168" s="69"/>
      <c r="BG168" s="69"/>
      <c r="BH168" s="69"/>
      <c r="BI168" s="69"/>
      <c r="BJ168" s="69"/>
      <c r="BK168" s="5"/>
      <c r="BL168" s="5"/>
    </row>
    <row r="169" spans="1:64" ht="12.75" hidden="1" customHeight="1" x14ac:dyDescent="0.15">
      <c r="A169" s="259">
        <v>10</v>
      </c>
      <c r="B169" s="51" t="s">
        <v>561</v>
      </c>
      <c r="C169" s="21" t="s">
        <v>613</v>
      </c>
      <c r="D169" s="104">
        <f>IF(ISERROR(HLOOKUP($J$169,$Q$39:$Y$40,2)),0,HLOOKUP($J$169,$Q$39:$Y$40,2))</f>
        <v>0</v>
      </c>
      <c r="E169" s="105">
        <f>IF(ISERROR(HLOOKUP(K169,$Q$39:$Y$40,2)),0,HLOOKUP(K169,$Q$39:$Y$40,2))</f>
        <v>0</v>
      </c>
      <c r="F169" s="106">
        <f>IF(ISERROR(HLOOKUP(L169,$Q$39:$Y$40,2)),0,HLOOKUP(L169,$Q$39:$Y$40,2))</f>
        <v>0</v>
      </c>
      <c r="G169" s="113">
        <f>SUM($F$27:$F$32)</f>
        <v>0</v>
      </c>
      <c r="H169" s="103">
        <f>SUM($F$27:$F$32)+$J$51</f>
        <v>0</v>
      </c>
      <c r="I169" s="103">
        <f>SUM($F$27:$F$32)+$J$51+$J$60</f>
        <v>0</v>
      </c>
      <c r="J169" s="21">
        <f t="shared" si="12"/>
        <v>0</v>
      </c>
      <c r="K169" s="21">
        <f t="shared" si="22"/>
        <v>0</v>
      </c>
      <c r="L169" s="21">
        <f t="shared" si="23"/>
        <v>0</v>
      </c>
      <c r="M169" s="21" t="s">
        <v>660</v>
      </c>
      <c r="O169" s="254">
        <v>13</v>
      </c>
      <c r="P169" s="1357" t="s">
        <v>278</v>
      </c>
      <c r="Q169" s="1358">
        <f>IF(AND($N$8&lt;&gt;0,N8&gt;=$Q$13),"A PARTIR DE 31/12/2003 ESSA REGRA NÃO SE APLICA AO SERVIDOR",IF(VPTC_TRANS_EC20!F61&gt;=(VPTC_TRANS_EC20!F37+VPTC_TRANS_EC20!E44),0,(VPTC_TRANS_EC20!F37+VPTC_TRANS_EC20!E44)-VPTC_TRANS_EC20!F61))</f>
        <v>15330</v>
      </c>
      <c r="R169" s="1359">
        <f t="shared" si="14"/>
        <v>1825</v>
      </c>
      <c r="S169" s="1359" t="s">
        <v>537</v>
      </c>
      <c r="T169" s="1359">
        <f>IF(VPTC_TRANS_EC20!F72="NADA A CUMPRIR",0,VPTC_TRANS_EC20!F72)</f>
        <v>15330</v>
      </c>
      <c r="U169" s="1360" t="str">
        <f>IF($D$10="X",IF(VPTC_TRANS_EC20!$O$9&gt;=(53*365+14),0,(53*365+14)-VPTC_TRANS_EC20!$O$9),IF($G$10="X",IF(VPTC_TRANS_EC20!$O$9&gt;=(48*365+12),0,(48*365+12)-VPTC_TRANS_EC20!$O$9),"MARQUE O SEXO"))</f>
        <v>MARQUE O SEXO</v>
      </c>
      <c r="V169" s="1361">
        <f>IF(Q169&lt;&gt;"A PARTIR DE 31/12/2003 ESSA REGRA NÃO SE APLICA AO SERVIDOR",ROUNDDOWN(Q169/365,0),0)</f>
        <v>42</v>
      </c>
      <c r="W169" s="1359">
        <f t="shared" si="15"/>
        <v>5</v>
      </c>
      <c r="X169" s="1359">
        <f t="shared" si="16"/>
        <v>0</v>
      </c>
      <c r="Y169" s="1359">
        <f>IF(OR(T169="MARQUE O SEXO",T169="REVER FUNDAMENTAÇÃO E/OU MODALIDADE",T169="NÃO CABE",T169="NADA A CUMPRIR"),0,ROUNDDOWN(T169/365,0))</f>
        <v>42</v>
      </c>
      <c r="Z169" s="1360">
        <f>IF(OR(U169="NÃO CABE",U169="MARQUE O SEXO",U169="REVER FUNDAMENTAÇÃO E/OU MODALIDADE"),0,ROUNDDOWN(U169/365,0))</f>
        <v>0</v>
      </c>
      <c r="AA169" s="1361">
        <f>IF(Q169&lt;&gt;"A PARTIR DE 31/12/2003 ESSA REGRA NÃO SE APLICA AO SERVIDOR",((Q169/365)-V169)*365,0)</f>
        <v>0</v>
      </c>
      <c r="AB169" s="1359">
        <f t="shared" si="18"/>
        <v>0</v>
      </c>
      <c r="AC169" s="1359">
        <f t="shared" si="19"/>
        <v>0</v>
      </c>
      <c r="AD169" s="1359">
        <f>IF(OR(T169="MARQUE O SEXO",T169="REVER FUNDAMENTAÇÃO E/OU MODALIDADE",T169="NÃO CABE",T169="NADA A CUMPRIR"),0,((T169/365)-Y169)*365)</f>
        <v>0</v>
      </c>
      <c r="AE169" s="1360">
        <f>IF(OR($U$169="NÃO CABE",$U$169="MARQUE O SEXO",$U$169="REVER FUNDAMENTAÇÃO E/OU MODALIDADE"),0,(($U$169/365)-$Z$169)*365)</f>
        <v>0</v>
      </c>
      <c r="AF169" s="1362">
        <f t="shared" si="21"/>
        <v>15330</v>
      </c>
      <c r="AG169" s="1242">
        <f>'FICHA FUNCIONAL'!$E$23</f>
        <v>0</v>
      </c>
      <c r="AH169" s="1242">
        <f>IF(AF169&lt;=0,VPTC_TRANS_EC20!N10,AG169+AF169)</f>
        <v>15330</v>
      </c>
      <c r="BB169" s="69"/>
      <c r="BC169" s="69"/>
      <c r="BD169" s="69"/>
      <c r="BE169" s="69"/>
      <c r="BF169" s="69"/>
      <c r="BG169" s="69"/>
      <c r="BH169" s="69"/>
      <c r="BI169" s="69"/>
      <c r="BJ169" s="69"/>
      <c r="BK169" s="5"/>
      <c r="BL169" s="5"/>
    </row>
    <row r="170" spans="1:64" ht="12.75" hidden="1" customHeight="1" x14ac:dyDescent="0.15">
      <c r="A170" s="259">
        <v>11</v>
      </c>
      <c r="B170" s="51" t="s">
        <v>562</v>
      </c>
      <c r="C170" s="21" t="s">
        <v>547</v>
      </c>
      <c r="D170" s="104">
        <f>IF(ISERROR(HLOOKUP($J$170,$Q$73:$AB$74,2)),0,HLOOKUP($J$170,$Q$73:$AB$74,2))</f>
        <v>0</v>
      </c>
      <c r="E170" s="105">
        <f>IF(ISERROR(HLOOKUP(K170,$Q$73:$AB$74,2)),0,HLOOKUP(K170,$Q$73:$AB$74,2))</f>
        <v>0</v>
      </c>
      <c r="F170" s="106">
        <f>IF(ISERROR(HLOOKUP(L170,$Q$73:$AB$74,2)),0,HLOOKUP(L170,$Q$73:$AB$74,2))</f>
        <v>0</v>
      </c>
      <c r="G170" s="113">
        <f t="shared" si="26"/>
        <v>0</v>
      </c>
      <c r="H170" s="103">
        <f>SUM($F$30:$F$32)+$J$51</f>
        <v>0</v>
      </c>
      <c r="I170" s="103">
        <f>SUM($F$30:$F$32)+$J$51+$J$60</f>
        <v>0</v>
      </c>
      <c r="J170" s="21">
        <f t="shared" si="12"/>
        <v>0</v>
      </c>
      <c r="K170" s="21">
        <f t="shared" si="22"/>
        <v>0</v>
      </c>
      <c r="L170" s="21">
        <f t="shared" si="23"/>
        <v>0</v>
      </c>
      <c r="M170" s="21" t="s">
        <v>660</v>
      </c>
      <c r="O170" s="254">
        <v>14</v>
      </c>
      <c r="P170" s="1335" t="s">
        <v>464</v>
      </c>
      <c r="Q170" s="1336" t="str">
        <f>IF(OR(N8&gt;=36145,'FICHA FUNCIONAL'!E23&lt;37986),"O SERVIDOR NÃO FAZ JUS A ESSA REGRA E/OU MODALIDADE",IF('VR_ART_ 2º'!F61&gt;=('VR_ART_ 2º'!F37+'VR_ART_ 2º'!E44),0,('VR_ART_ 2º'!F37+'VR_ART_ 2º'!E44)-'VR_ART_ 2º'!F61))</f>
        <v>O SERVIDOR NÃO FAZ JUS A ESSA REGRA E/OU MODALIDADE</v>
      </c>
      <c r="R170" s="1271">
        <f t="shared" si="14"/>
        <v>1825</v>
      </c>
      <c r="S170" s="1271" t="s">
        <v>537</v>
      </c>
      <c r="T170" s="1271">
        <f>IF('VR_ART_ 2º'!F72="nada a cumprir",0,'VR_ART_ 2º'!F72)</f>
        <v>15330</v>
      </c>
      <c r="U170" s="1337" t="str">
        <f>IF($D$10="X",IF('VR_ART_ 2º'!$O$9&gt;=(53*365+14),0,(53*365+14)-'VR_ART_ 2º'!$O$9),IF($G$10="X",IF('VR_ART_ 2º'!$O$9&gt;=(48*365+12),0,(48*365+12)-'VR_ART_ 2º'!$O$9),"MARQUE O SEXO"))</f>
        <v>MARQUE O SEXO</v>
      </c>
      <c r="V170" s="1338">
        <f>IF(Q170="O SERVIDOR NÃO FAZ JUS A ESSA REGRA E/OU MODALIDADE",0,ROUNDDOWN(Q170/365,0))</f>
        <v>0</v>
      </c>
      <c r="W170" s="1271">
        <f t="shared" si="15"/>
        <v>5</v>
      </c>
      <c r="X170" s="1271">
        <f t="shared" si="16"/>
        <v>0</v>
      </c>
      <c r="Y170" s="1271">
        <f>IF(OR(T170="NÃO CABE",T170="NADA A CUMPRIR"),0,ROUNDDOWN(T170/365,0))</f>
        <v>42</v>
      </c>
      <c r="Z170" s="1337">
        <f>IF(OR($U$170="NÃO CABE",$U$170="MARQUE O SEXO",$U$170="REVER FUNDAMENTAÇÃO E/OU MODALIDADE"),0,ROUNDDOWN($U$170/365,0))</f>
        <v>0</v>
      </c>
      <c r="AA170" s="1338">
        <f>IF(Q170&lt;&gt;"O SERVIDOR NÃO FAZ JUS A ESSA REGRA E/OU MODALIDADE",((Q170/365)-V170)*365,0)</f>
        <v>0</v>
      </c>
      <c r="AB170" s="1271">
        <f t="shared" si="18"/>
        <v>0</v>
      </c>
      <c r="AC170" s="1271">
        <f t="shared" si="19"/>
        <v>0</v>
      </c>
      <c r="AD170" s="1271">
        <f>IF(OR($T$170="NÃO CABE",$T$170="NADA A CUMPRIR"),0,(($T$170/365)-$Y$170)*365)</f>
        <v>0</v>
      </c>
      <c r="AE170" s="1337">
        <f>IF(OR($U$170="NÃO CABE",$U$170="MARQUE O SEXO",$U$170="REVER FUNDAMENTAÇÃO E/OU MODALIDADE"),0,(($U$170/365)-$Z$170)*365)</f>
        <v>0</v>
      </c>
      <c r="AF170" s="1339">
        <f t="shared" si="21"/>
        <v>15330</v>
      </c>
      <c r="AG170" s="1377">
        <f>'FICHA FUNCIONAL'!$E$23</f>
        <v>0</v>
      </c>
      <c r="AH170" s="1377">
        <f t="shared" si="25"/>
        <v>15330</v>
      </c>
      <c r="BB170" s="69"/>
      <c r="BC170" s="69"/>
      <c r="BD170" s="69"/>
      <c r="BE170" s="69"/>
      <c r="BF170" s="69"/>
      <c r="BG170" s="69"/>
      <c r="BH170" s="69"/>
      <c r="BI170" s="69"/>
      <c r="BJ170" s="69"/>
      <c r="BK170" s="5"/>
      <c r="BL170" s="5"/>
    </row>
    <row r="171" spans="1:64" ht="12.75" hidden="1" customHeight="1" x14ac:dyDescent="0.15">
      <c r="A171" s="259">
        <v>12</v>
      </c>
      <c r="B171" s="51" t="s">
        <v>563</v>
      </c>
      <c r="C171" s="21"/>
      <c r="D171" s="104"/>
      <c r="E171" s="105"/>
      <c r="F171" s="106"/>
      <c r="G171" s="113">
        <f t="shared" si="26"/>
        <v>0</v>
      </c>
      <c r="H171" s="103">
        <f>SUM($F$30:$F$32)+$J$51</f>
        <v>0</v>
      </c>
      <c r="I171" s="103">
        <f>SUM($F$30:$F$32)+$J$51+$J$60</f>
        <v>0</v>
      </c>
      <c r="J171" s="21">
        <f>ROUNDDOWN(G171/365,0)</f>
        <v>0</v>
      </c>
      <c r="K171" s="21">
        <f>ROUNDDOWN(H171/365,0)</f>
        <v>0</v>
      </c>
      <c r="L171" s="21">
        <f>ROUNDDOWN(I171/365,0)</f>
        <v>0</v>
      </c>
      <c r="M171" s="21" t="s">
        <v>660</v>
      </c>
      <c r="O171" s="254">
        <v>15</v>
      </c>
      <c r="P171" s="1363" t="s">
        <v>279</v>
      </c>
      <c r="Q171" s="1364" t="str">
        <f>IF(OR($N$8&gt;=37986,'FICHA FUNCIONAL'!E23&lt;37986),"O SERVIDOR NÃO FAZ JUS A ESSA REGRA E/OU MODALIDADE",IF($G$10="X",(30*365)-$F$61,IF($D$10="X",(35*365)-$F$61,"MARQUE O SEXO")))</f>
        <v>O SERVIDOR NÃO FAZ JUS A ESSA REGRA E/OU MODALIDADE</v>
      </c>
      <c r="R171" s="1365">
        <f t="shared" si="14"/>
        <v>1825</v>
      </c>
      <c r="S171" s="1365">
        <f>IF($O$14&gt;=(10*365),0,(10*365)-$O$13)</f>
        <v>3650</v>
      </c>
      <c r="T171" s="1365">
        <f>IF($O$15&gt;=(20*365),0,(20*365)-$O$15)</f>
        <v>7300</v>
      </c>
      <c r="U171" s="1366" t="str">
        <f>IF($D$10="X",IF($O$9&gt;=(60*365+15),0,(60*365+15)-$O$9),IF($G$10="X",IF($O$9&gt;=(55*365+14),0,(55*365+14)-$O$9),"MARQUE O SEXO"))</f>
        <v>MARQUE O SEXO</v>
      </c>
      <c r="V171" s="1367">
        <f>IF(OR(Q171="O SERVIDOR NÃO FAZ JUS A ESSA REGRA E/OU MODALIDADE",Q171="MARQUE O SEXO"),0,ROUNDDOWN(Q171/365,0))</f>
        <v>0</v>
      </c>
      <c r="W171" s="1365">
        <f t="shared" si="15"/>
        <v>5</v>
      </c>
      <c r="X171" s="1365">
        <f t="shared" si="16"/>
        <v>10</v>
      </c>
      <c r="Y171" s="1365">
        <f>IF(T171="NÃO CABE",0,ROUNDDOWN(T171/365,0))</f>
        <v>20</v>
      </c>
      <c r="Z171" s="1366">
        <f>IF(OR($U$171="NÃO CABE",$U$171="MARQUE O SEXO",$U$171="REVER FUNDAMENTAÇÃO E/OU MODALIDADE"),0,ROUNDDOWN($U$171/365,0))</f>
        <v>0</v>
      </c>
      <c r="AA171" s="1367">
        <f>IF(OR(Q171="O SERVIDOR NÃO FAZ JUS A ESSA REGRA E/OU MODALIDADE",Q171="MARQUE O SEXO"),0,((Q171/365)-V171)*365)</f>
        <v>0</v>
      </c>
      <c r="AB171" s="1365">
        <f t="shared" si="18"/>
        <v>0</v>
      </c>
      <c r="AC171" s="1365">
        <f t="shared" si="19"/>
        <v>0</v>
      </c>
      <c r="AD171" s="1365">
        <f>IF($T$171="NÃO CABE",0,(($T$171/365)-$Y$171)*365)</f>
        <v>0</v>
      </c>
      <c r="AE171" s="1366">
        <f>IF(OR($U$171="NÃO CABE",$U$171="MARQUE O SEXO",$U$171="REVER FUNDAMENTAÇÃO E/OU MODALIDADE"),0,(($U$171/365)-$Z$171)*365)</f>
        <v>0</v>
      </c>
      <c r="AF171" s="1368">
        <f t="shared" si="21"/>
        <v>7300</v>
      </c>
      <c r="AG171" s="1242">
        <f>'FICHA FUNCIONAL'!$E$23</f>
        <v>0</v>
      </c>
      <c r="AH171" s="1242">
        <f t="shared" si="25"/>
        <v>7300</v>
      </c>
      <c r="BB171" s="69"/>
      <c r="BC171" s="69"/>
      <c r="BD171" s="69"/>
      <c r="BE171" s="69"/>
      <c r="BF171" s="69"/>
      <c r="BG171" s="69"/>
      <c r="BH171" s="69"/>
      <c r="BI171" s="69"/>
      <c r="BJ171" s="69"/>
      <c r="BK171" s="5"/>
      <c r="BL171" s="5"/>
    </row>
    <row r="172" spans="1:64" ht="12.75" hidden="1" customHeight="1" x14ac:dyDescent="0.15">
      <c r="A172" s="259">
        <v>13</v>
      </c>
      <c r="B172" s="51" t="s">
        <v>686</v>
      </c>
      <c r="C172" s="21" t="s">
        <v>527</v>
      </c>
      <c r="D172" s="104">
        <f>IF(ISERROR(HLOOKUP($J$172,$Q$26:$AT$27,2)),0,HLOOKUP($J$172,$Q$26:$AT$27,2))</f>
        <v>0</v>
      </c>
      <c r="E172" s="104">
        <f>IF(ISERROR(HLOOKUP(K172,$Q$26:$AT$27,2)),0,HLOOKUP(K172,$Q$26:$AT$27,2))</f>
        <v>0</v>
      </c>
      <c r="F172" s="104">
        <f>IF(ISERROR(HLOOKUP(L172,$Q$26:$AT$27,2)),0,HLOOKUP(L172,$Q$26:$AT$27,2))</f>
        <v>0</v>
      </c>
      <c r="G172" s="113">
        <f>SUM($F$30:$F$32)</f>
        <v>0</v>
      </c>
      <c r="H172" s="103">
        <f>SUM($F$30:$F$32)+$J$51</f>
        <v>0</v>
      </c>
      <c r="I172" s="103">
        <f>SUM($F$30:$F$32)+$J$51+$J$60</f>
        <v>0</v>
      </c>
      <c r="J172" s="21">
        <f t="shared" ref="J172:J180" si="27">ROUNDDOWN(G172/365,0)</f>
        <v>0</v>
      </c>
      <c r="K172" s="21">
        <f t="shared" ref="K172:K180" si="28">ROUNDDOWN(H172/365,0)</f>
        <v>0</v>
      </c>
      <c r="L172" s="21">
        <f t="shared" ref="L172:L180" si="29">ROUNDDOWN(I172/365,0)</f>
        <v>0</v>
      </c>
      <c r="M172" s="21" t="s">
        <v>660</v>
      </c>
      <c r="O172" s="254">
        <v>16</v>
      </c>
      <c r="P172" s="1363" t="s">
        <v>280</v>
      </c>
      <c r="Q172" s="1364" t="str">
        <f>IF(OR($N$8&gt;=37986,'FICHA FUNCIONAL'!E23&lt;37986),"O SERVIDOR NÃO FAZ JUS A ESSA REGRA E/OU MODALIDADE",IF(D12="X",IF(G10="X",(25*365)-F61,IF(D10="X",(30*365)-F61,"MARQUE O SEXO")),"CONFIRME MAGISTÉRIO"))</f>
        <v>O SERVIDOR NÃO FAZ JUS A ESSA REGRA E/OU MODALIDADE</v>
      </c>
      <c r="R172" s="1365">
        <f t="shared" si="14"/>
        <v>1825</v>
      </c>
      <c r="S172" s="1365">
        <f>IF($O$14&gt;=(10*365),0,(10*365)-$O$13)</f>
        <v>3650</v>
      </c>
      <c r="T172" s="1365">
        <f>IF($O$15&gt;=(20*365),0,(20*365)-$O$15)</f>
        <v>7300</v>
      </c>
      <c r="U172" s="1366" t="str">
        <f>IF($D$10="X",IF($O$9&gt;=(55*365+14),0,(55*365+14)-$O$9),IF($G$10="X",IF($O$9&gt;=(50*365+14),0,(50*365+14)-$O$9),"MARQUE O SEXO"))</f>
        <v>MARQUE O SEXO</v>
      </c>
      <c r="V172" s="1367">
        <f>IF(OR(Q172="O SERVIDOR NÃO FAZ JUS A ESSA REGRA E/OU MODALIDADE",Q172="MARQUE O SEXO",Q172="CONFIRME MAGISTÉRIO"),0,ROUNDDOWN(Q172/365,0))</f>
        <v>0</v>
      </c>
      <c r="W172" s="1365">
        <f t="shared" si="15"/>
        <v>5</v>
      </c>
      <c r="X172" s="1365">
        <f t="shared" si="16"/>
        <v>10</v>
      </c>
      <c r="Y172" s="1365">
        <f>IF(T172="NÃO CABE",0,ROUNDDOWN($T$172/365,0))</f>
        <v>20</v>
      </c>
      <c r="Z172" s="1366">
        <f>IF(OR($U$172="NÃO CABE",$U$172="MARQUE O SEXO",$U$172="REVER FUNDAMENTAÇÃO E/OU MODALIDADE"),0,ROUNDDOWN($U$172/365,0))</f>
        <v>0</v>
      </c>
      <c r="AA172" s="1367">
        <f>IF(OR(Q172="O SERVIDOR NÃO FAZ JUS A ESSA REGRA E/OU MODALIDADE",Q172="MARQUE O SEXO",Q172="CONFIRME MAGISTÉRIO"),0,((Q172/365)-V172)*365)</f>
        <v>0</v>
      </c>
      <c r="AB172" s="1365">
        <f t="shared" si="18"/>
        <v>0</v>
      </c>
      <c r="AC172" s="1365">
        <f t="shared" si="19"/>
        <v>0</v>
      </c>
      <c r="AD172" s="1365">
        <f>IF($T$172="NÃO CABE",0,(($T$172/365)-$Y$172)*365)</f>
        <v>0</v>
      </c>
      <c r="AE172" s="1366">
        <f>IF(OR($U$172="NÃO CABE",$U$172="MARQUE O SEXO",$U$172="REVER FUNDAMENTAÇÃO E/OU MODALIDADE"),0,(($U$172/365)-$Z$172)*365)</f>
        <v>0</v>
      </c>
      <c r="AF172" s="1368">
        <f t="shared" si="21"/>
        <v>7300</v>
      </c>
      <c r="AG172" s="1242">
        <f>'FICHA FUNCIONAL'!$E$23</f>
        <v>0</v>
      </c>
      <c r="AH172" s="1242">
        <f t="shared" si="25"/>
        <v>7300</v>
      </c>
      <c r="BB172" s="69"/>
      <c r="BC172" s="69"/>
      <c r="BD172" s="69"/>
      <c r="BE172" s="69"/>
      <c r="BF172" s="69"/>
      <c r="BG172" s="69"/>
      <c r="BH172" s="69"/>
      <c r="BI172" s="69"/>
      <c r="BJ172" s="69"/>
      <c r="BK172" s="5"/>
      <c r="BL172" s="5"/>
    </row>
    <row r="173" spans="1:64" ht="12.75" hidden="1" customHeight="1" thickBot="1" x14ac:dyDescent="0.2">
      <c r="A173" s="259">
        <v>14</v>
      </c>
      <c r="B173" s="51" t="s">
        <v>564</v>
      </c>
      <c r="C173" s="21" t="s">
        <v>613</v>
      </c>
      <c r="D173" s="104">
        <f>IF(ISERROR(HLOOKUP(J173,$Q$48:$AB$49,2)),0,HLOOKUP(J173,$Q$48:$AB$49,2))</f>
        <v>0</v>
      </c>
      <c r="E173" s="104">
        <f>IF(ISERROR(HLOOKUP(K173,$Q$48:$AB$49,2)),0,HLOOKUP(K173,$Q$48:$AB$49,2))</f>
        <v>0</v>
      </c>
      <c r="F173" s="104">
        <f>IF(ISERROR(HLOOKUP(L173,$Q$48:$AB$49,2)),0,HLOOKUP(L173,$Q$48:$AB$49,2))</f>
        <v>0</v>
      </c>
      <c r="G173" s="113">
        <f>SUM($F$27:$F$32)</f>
        <v>0</v>
      </c>
      <c r="H173" s="103">
        <f>SUM($F$27:$F$32)+$J$51</f>
        <v>0</v>
      </c>
      <c r="I173" s="103">
        <f>SUM($F$27:$F$32)+$J$51+$J$60</f>
        <v>0</v>
      </c>
      <c r="J173" s="21">
        <f t="shared" si="27"/>
        <v>0</v>
      </c>
      <c r="K173" s="21">
        <f t="shared" si="28"/>
        <v>0</v>
      </c>
      <c r="L173" s="21">
        <f t="shared" si="29"/>
        <v>0</v>
      </c>
      <c r="M173" s="21" t="s">
        <v>660</v>
      </c>
      <c r="O173" s="254">
        <v>17</v>
      </c>
      <c r="P173" s="1369" t="s">
        <v>466</v>
      </c>
      <c r="Q173" s="1370" t="str">
        <f>IF(OR(N8&gt;=36145,'FICHA FUNCIONAL'!E23&lt;37986),"O SERVIDOR NÃO FAZ JUS A ESSA REGRA E/OU MODALIDADE",IF(D10="X",AC6,IF(G10="X",AC7,0)))</f>
        <v>O SERVIDOR NÃO FAZ JUS A ESSA REGRA E/OU MODALIDADE</v>
      </c>
      <c r="R173" s="1371">
        <f t="shared" si="14"/>
        <v>1825</v>
      </c>
      <c r="S173" s="1371">
        <f>IF($O$14&gt;=(15*365),0,(15*365)-$O$13)</f>
        <v>5475</v>
      </c>
      <c r="T173" s="1371">
        <f>IF($O$15&gt;=(25*365),0,(25*365)-$O$15)</f>
        <v>9125</v>
      </c>
      <c r="U173" s="1372" t="e">
        <f>$U$91</f>
        <v>#VALUE!</v>
      </c>
      <c r="V173" s="1373">
        <f>IF(Q173="O SERVIDOR NÃO FAZ JUS A ESSA REGRA E/OU MODALIDADE",0,ROUNDDOWN(Q173/365,0))</f>
        <v>0</v>
      </c>
      <c r="W173" s="1374">
        <f>ROUNDDOWN($R$173/365,0)</f>
        <v>5</v>
      </c>
      <c r="X173" s="1365">
        <f t="shared" si="16"/>
        <v>15</v>
      </c>
      <c r="Y173" s="1371">
        <f>IF($T$173="NÃO CABE",0,ROUNDDOWN($T$173/365,0))</f>
        <v>25</v>
      </c>
      <c r="Z173" s="1372" t="e">
        <f>IF(OR($U$173="NÃO CABE",$U$173="MARQUE O SEXO E/OU OBSERVE TEMPO DE CONTRIBUIÇÃO",$U$173="REVER FUNDAMENTAÇÃO E/OU MODALIDADE",$U$173="NADA A CUMPRIR"),0,ROUNDDOWN($U$173/365,0))</f>
        <v>#VALUE!</v>
      </c>
      <c r="AA173" s="1375">
        <f>(($Q$93/365)-$V$93)*365</f>
        <v>0</v>
      </c>
      <c r="AB173" s="1365">
        <f t="shared" si="18"/>
        <v>0</v>
      </c>
      <c r="AC173" s="1365">
        <f t="shared" si="19"/>
        <v>0</v>
      </c>
      <c r="AD173" s="1371">
        <f>IF($T$173="NÃO CABE",0,(($T$173/365)-$Y$173)*365)</f>
        <v>0</v>
      </c>
      <c r="AE173" s="1372" t="e">
        <f>AE93</f>
        <v>#VALUE!</v>
      </c>
      <c r="AF173" s="1376" t="e">
        <f>MAX(Q173:U173)</f>
        <v>#VALUE!</v>
      </c>
      <c r="AG173" s="1242">
        <f>'FICHA FUNCIONAL'!$E$23</f>
        <v>0</v>
      </c>
      <c r="AH173" s="1242" t="e">
        <f t="shared" si="25"/>
        <v>#VALUE!</v>
      </c>
      <c r="AS173" s="5"/>
      <c r="BB173" s="69"/>
      <c r="BC173" s="69"/>
      <c r="BD173" s="69"/>
      <c r="BE173" s="69"/>
      <c r="BF173" s="69"/>
      <c r="BG173" s="69"/>
      <c r="BH173" s="69"/>
      <c r="BI173" s="69"/>
      <c r="BJ173" s="69"/>
      <c r="BK173" s="5"/>
      <c r="BL173" s="5"/>
    </row>
    <row r="174" spans="1:64" ht="12.75" hidden="1" customHeight="1" x14ac:dyDescent="0.15">
      <c r="A174" s="259">
        <v>15</v>
      </c>
      <c r="B174" s="51" t="s">
        <v>565</v>
      </c>
      <c r="C174" s="21" t="s">
        <v>613</v>
      </c>
      <c r="D174" s="104">
        <f>IF(ISERROR(HLOOKUP(J174,$Q$42:$AG$43,2)),0,HLOOKUP(J174,$Q$42:$AG$43,2))</f>
        <v>0</v>
      </c>
      <c r="E174" s="104">
        <f>IF(ISERROR(HLOOKUP(K174,$Q$42:$AG$43,2)),0,HLOOKUP(K174,$Q$42:$AG$43,2))</f>
        <v>0</v>
      </c>
      <c r="F174" s="104">
        <f>IF(ISERROR(HLOOKUP(L174,$Q$42:$AG$43,2)),0,HLOOKUP(L174,$Q$42:$AG$43,2))</f>
        <v>0</v>
      </c>
      <c r="G174" s="113">
        <f>SUM($F$27:$F$32)</f>
        <v>0</v>
      </c>
      <c r="H174" s="103">
        <f>SUM($F$27:$F$32)+$J$51</f>
        <v>0</v>
      </c>
      <c r="I174" s="103">
        <f>SUM($F$27:$F$32)+$J$51+$J$60</f>
        <v>0</v>
      </c>
      <c r="J174" s="21">
        <f t="shared" si="27"/>
        <v>0</v>
      </c>
      <c r="K174" s="21">
        <f t="shared" si="28"/>
        <v>0</v>
      </c>
      <c r="L174" s="21">
        <f t="shared" si="29"/>
        <v>0</v>
      </c>
      <c r="M174" s="21" t="s">
        <v>660</v>
      </c>
      <c r="AS174" s="5"/>
      <c r="BB174" s="69" t="s">
        <v>427</v>
      </c>
      <c r="BC174" s="69"/>
      <c r="BD174" s="69"/>
      <c r="BE174" s="69"/>
      <c r="BF174" s="69"/>
      <c r="BG174" s="69"/>
      <c r="BH174" s="69"/>
      <c r="BI174" s="69"/>
      <c r="BJ174" s="69"/>
      <c r="BK174" s="116"/>
      <c r="BL174" s="332"/>
    </row>
    <row r="175" spans="1:64" ht="12.75" hidden="1" customHeight="1" x14ac:dyDescent="0.15">
      <c r="A175" s="259">
        <v>16</v>
      </c>
      <c r="B175" s="51" t="s">
        <v>566</v>
      </c>
      <c r="C175" s="21" t="s">
        <v>527</v>
      </c>
      <c r="D175" s="104">
        <f>IF(ISERROR(HLOOKUP(J175,$Q$26:$AT$27,2)),0,HLOOKUP(J175,$Q$26:$AT$27,2))</f>
        <v>0</v>
      </c>
      <c r="E175" s="104">
        <f>IF(ISERROR(HLOOKUP(K175,$Q$26:$AT$27,2)),0,HLOOKUP(K175,$Q$26:$AT$27,2))</f>
        <v>0</v>
      </c>
      <c r="F175" s="104">
        <f>IF(ISERROR(HLOOKUP(L175,$Q$26:$AT$27,2)),0,HLOOKUP(L175,$Q$26:$AT$27,2))</f>
        <v>0</v>
      </c>
      <c r="G175" s="113">
        <f t="shared" ref="G175:G180" si="30">SUM($F$30:$F$32)</f>
        <v>0</v>
      </c>
      <c r="H175" s="103">
        <f t="shared" ref="H175:H180" si="31">SUM($F$30:$F$32)+$J$51</f>
        <v>0</v>
      </c>
      <c r="I175" s="103">
        <f t="shared" ref="I175:I180" si="32">SUM($F$30:$F$32)+$J$51+$J$60</f>
        <v>0</v>
      </c>
      <c r="J175" s="21">
        <f t="shared" si="27"/>
        <v>0</v>
      </c>
      <c r="K175" s="21">
        <f t="shared" si="28"/>
        <v>0</v>
      </c>
      <c r="L175" s="21">
        <f t="shared" si="29"/>
        <v>0</v>
      </c>
      <c r="M175" s="21" t="s">
        <v>660</v>
      </c>
      <c r="Q175" s="67"/>
      <c r="AS175" s="5"/>
      <c r="BB175" s="69"/>
      <c r="BC175" s="69"/>
      <c r="BD175" s="69"/>
      <c r="BE175" s="333"/>
      <c r="BF175" s="69"/>
      <c r="BG175" s="69"/>
      <c r="BH175" s="69"/>
      <c r="BI175" s="69"/>
      <c r="BJ175" s="69"/>
      <c r="BK175" s="69"/>
      <c r="BL175" s="69"/>
    </row>
    <row r="176" spans="1:64" ht="12.75" hidden="1" customHeight="1" x14ac:dyDescent="0.15">
      <c r="A176" s="259">
        <v>17</v>
      </c>
      <c r="B176" s="51" t="s">
        <v>567</v>
      </c>
      <c r="C176" s="21" t="s">
        <v>547</v>
      </c>
      <c r="D176" s="104">
        <f>IF(ISERROR(HLOOKUP(J176,$Q$73:$V$74,2)),0,HLOOKUP(J176,$Q$73:$V$74,2))</f>
        <v>0</v>
      </c>
      <c r="E176" s="104">
        <f>IF(ISERROR(HLOOKUP(K176,$Q$73:$V$74,2)),0,HLOOKUP(K176,$Q$73:$V$74,2))</f>
        <v>0</v>
      </c>
      <c r="F176" s="104">
        <f>IF(ISERROR(HLOOKUP(L176,$Q$73:$V$74,2)),0,HLOOKUP(L176,$Q$73:$V$74,2))</f>
        <v>0</v>
      </c>
      <c r="G176" s="113">
        <f t="shared" si="30"/>
        <v>0</v>
      </c>
      <c r="H176" s="103">
        <f t="shared" si="31"/>
        <v>0</v>
      </c>
      <c r="I176" s="103">
        <f t="shared" si="32"/>
        <v>0</v>
      </c>
      <c r="J176" s="21">
        <f t="shared" si="27"/>
        <v>0</v>
      </c>
      <c r="K176" s="21">
        <f t="shared" si="28"/>
        <v>0</v>
      </c>
      <c r="L176" s="21">
        <f t="shared" si="29"/>
        <v>0</v>
      </c>
      <c r="M176" s="21" t="s">
        <v>660</v>
      </c>
      <c r="P176" s="516"/>
      <c r="Q176" s="516"/>
      <c r="R176" s="516"/>
      <c r="S176" s="516"/>
      <c r="T176" s="516"/>
      <c r="U176" s="516"/>
      <c r="V176" s="18"/>
      <c r="W176" s="18"/>
      <c r="X176" s="18"/>
      <c r="AS176" s="5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</row>
    <row r="177" spans="1:64" ht="12.75" hidden="1" customHeight="1" x14ac:dyDescent="0.15">
      <c r="A177" s="259">
        <v>18</v>
      </c>
      <c r="B177" s="51" t="s">
        <v>568</v>
      </c>
      <c r="C177" s="21" t="s">
        <v>527</v>
      </c>
      <c r="D177" s="104">
        <f>IF(ISERROR(HLOOKUP(J177,$Q$32:$AF$33,2)),0,HLOOKUP(J177,$Q$32:$AF$33,2))</f>
        <v>0</v>
      </c>
      <c r="E177" s="104">
        <f>IF(ISERROR(HLOOKUP(K177,$Q$32:$AF$33,2)),0,HLOOKUP(K177,$Q$32:$AF$33,2))</f>
        <v>0</v>
      </c>
      <c r="F177" s="104">
        <f>IF(ISERROR(HLOOKUP(L177,$Q$32:$AF$33,2)),0,HLOOKUP(L177,$Q$32:$AF$33,2))</f>
        <v>0</v>
      </c>
      <c r="G177" s="113">
        <f t="shared" si="30"/>
        <v>0</v>
      </c>
      <c r="H177" s="103">
        <f t="shared" si="31"/>
        <v>0</v>
      </c>
      <c r="I177" s="103">
        <f t="shared" si="32"/>
        <v>0</v>
      </c>
      <c r="J177" s="21">
        <f t="shared" si="27"/>
        <v>0</v>
      </c>
      <c r="K177" s="21">
        <f t="shared" si="28"/>
        <v>0</v>
      </c>
      <c r="L177" s="21">
        <f t="shared" si="29"/>
        <v>0</v>
      </c>
      <c r="M177" s="21" t="s">
        <v>660</v>
      </c>
      <c r="P177" s="18"/>
      <c r="Q177" s="18"/>
      <c r="R177" s="414"/>
      <c r="S177" s="18"/>
      <c r="T177" s="414"/>
      <c r="U177" s="414"/>
      <c r="V177" s="18"/>
      <c r="W177" s="18"/>
      <c r="X177" s="18"/>
      <c r="AS177" s="5"/>
      <c r="BB177" s="69"/>
      <c r="BC177" s="69"/>
      <c r="BD177" s="69"/>
      <c r="BE177" s="333"/>
      <c r="BF177" s="69"/>
      <c r="BG177" s="69"/>
      <c r="BH177" s="69"/>
      <c r="BI177" s="69"/>
      <c r="BJ177" s="69"/>
      <c r="BK177" s="69"/>
      <c r="BL177" s="69"/>
    </row>
    <row r="178" spans="1:64" ht="12.75" hidden="1" customHeight="1" x14ac:dyDescent="0.15">
      <c r="A178" s="259">
        <v>19</v>
      </c>
      <c r="B178" s="51" t="s">
        <v>569</v>
      </c>
      <c r="C178" s="21" t="s">
        <v>613</v>
      </c>
      <c r="D178" s="104">
        <f>IF(ISERROR(HLOOKUP(J178,$Q$42:$AG$43,2)),0,HLOOKUP(J178,$Q$42:$AG$43,2))</f>
        <v>0</v>
      </c>
      <c r="E178" s="104">
        <f>IF(ISERROR(HLOOKUP(K178,$Q$42:$AG$43,2)),0,HLOOKUP(K178,$Q$42:$AG$43,2))</f>
        <v>0</v>
      </c>
      <c r="F178" s="104">
        <f>IF(ISERROR(HLOOKUP(L178,$Q$42:$AG$43,2)),0,HLOOKUP(L178,$Q$42:$AG$43,2))</f>
        <v>0</v>
      </c>
      <c r="G178" s="113">
        <f t="shared" si="30"/>
        <v>0</v>
      </c>
      <c r="H178" s="103">
        <f t="shared" si="31"/>
        <v>0</v>
      </c>
      <c r="I178" s="103">
        <f t="shared" si="32"/>
        <v>0</v>
      </c>
      <c r="J178" s="21">
        <f t="shared" si="27"/>
        <v>0</v>
      </c>
      <c r="K178" s="21">
        <f t="shared" si="28"/>
        <v>0</v>
      </c>
      <c r="L178" s="21">
        <f t="shared" si="29"/>
        <v>0</v>
      </c>
      <c r="M178" s="21" t="s">
        <v>660</v>
      </c>
      <c r="P178" s="1053"/>
      <c r="Q178" s="1296"/>
      <c r="R178" s="1168"/>
      <c r="S178" s="1168"/>
      <c r="T178" s="1168"/>
      <c r="U178" s="1168"/>
      <c r="V178" s="18"/>
      <c r="W178" s="18"/>
      <c r="X178" s="18"/>
      <c r="AS178" s="5"/>
      <c r="BB178" s="11"/>
      <c r="BC178" s="5"/>
    </row>
    <row r="179" spans="1:64" ht="12.75" hidden="1" customHeight="1" x14ac:dyDescent="0.15">
      <c r="A179" s="259">
        <v>20</v>
      </c>
      <c r="B179" s="51" t="s">
        <v>570</v>
      </c>
      <c r="C179" s="21" t="s">
        <v>613</v>
      </c>
      <c r="D179" s="104">
        <f t="shared" ref="D179:F180" si="33">IF(ISERROR(HLOOKUP(J179,$Q$39:$Y$40,2)),0,HLOOKUP(J179,$Q$39:$Y$40,2))</f>
        <v>0</v>
      </c>
      <c r="E179" s="104">
        <f t="shared" si="33"/>
        <v>0</v>
      </c>
      <c r="F179" s="104">
        <f t="shared" si="33"/>
        <v>0</v>
      </c>
      <c r="G179" s="113">
        <f t="shared" si="30"/>
        <v>0</v>
      </c>
      <c r="H179" s="103">
        <f t="shared" si="31"/>
        <v>0</v>
      </c>
      <c r="I179" s="103">
        <f t="shared" si="32"/>
        <v>0</v>
      </c>
      <c r="J179" s="21">
        <f t="shared" si="27"/>
        <v>0</v>
      </c>
      <c r="K179" s="21">
        <f t="shared" si="28"/>
        <v>0</v>
      </c>
      <c r="L179" s="21">
        <f t="shared" si="29"/>
        <v>0</v>
      </c>
      <c r="M179" s="21" t="s">
        <v>660</v>
      </c>
      <c r="P179" s="1053"/>
      <c r="Q179" s="1296"/>
      <c r="R179" s="1168"/>
      <c r="S179" s="1168"/>
      <c r="T179" s="1168"/>
      <c r="U179" s="1296"/>
      <c r="V179" s="18"/>
      <c r="W179" s="18"/>
      <c r="X179" s="18"/>
      <c r="AS179" s="5"/>
      <c r="BB179" s="11"/>
      <c r="BC179" s="5"/>
    </row>
    <row r="180" spans="1:64" ht="12.75" hidden="1" customHeight="1" x14ac:dyDescent="0.15">
      <c r="A180" s="259">
        <v>21</v>
      </c>
      <c r="B180" s="51" t="s">
        <v>571</v>
      </c>
      <c r="C180" s="21" t="s">
        <v>613</v>
      </c>
      <c r="D180" s="104">
        <f t="shared" si="33"/>
        <v>0</v>
      </c>
      <c r="E180" s="104">
        <f t="shared" si="33"/>
        <v>0</v>
      </c>
      <c r="F180" s="104">
        <f t="shared" si="33"/>
        <v>0</v>
      </c>
      <c r="G180" s="113">
        <f t="shared" si="30"/>
        <v>0</v>
      </c>
      <c r="H180" s="103">
        <f t="shared" si="31"/>
        <v>0</v>
      </c>
      <c r="I180" s="103">
        <f t="shared" si="32"/>
        <v>0</v>
      </c>
      <c r="J180" s="21">
        <f t="shared" si="27"/>
        <v>0</v>
      </c>
      <c r="K180" s="21">
        <f t="shared" si="28"/>
        <v>0</v>
      </c>
      <c r="L180" s="21">
        <f t="shared" si="29"/>
        <v>0</v>
      </c>
      <c r="M180" s="21" t="s">
        <v>660</v>
      </c>
      <c r="P180" s="1053"/>
      <c r="Q180" s="1296"/>
      <c r="R180" s="1168"/>
      <c r="S180" s="1168"/>
      <c r="T180" s="1168"/>
      <c r="U180" s="1296"/>
      <c r="V180" s="18"/>
      <c r="W180" s="18"/>
      <c r="X180" s="18"/>
      <c r="AS180" s="5"/>
      <c r="BB180" s="11"/>
      <c r="BC180" s="5"/>
    </row>
    <row r="181" spans="1:64" ht="12.75" hidden="1" customHeight="1" x14ac:dyDescent="0.15">
      <c r="A181" s="259">
        <v>22</v>
      </c>
      <c r="B181" s="51" t="s">
        <v>572</v>
      </c>
      <c r="C181" s="21"/>
      <c r="D181" s="334"/>
      <c r="E181" s="335"/>
      <c r="F181" s="336"/>
      <c r="G181" s="337"/>
      <c r="H181" s="51"/>
      <c r="M181" s="21" t="s">
        <v>660</v>
      </c>
      <c r="P181" s="1053"/>
      <c r="Q181" s="1296"/>
      <c r="R181" s="1168"/>
      <c r="S181" s="1168"/>
      <c r="T181" s="1168"/>
      <c r="U181" s="1296"/>
      <c r="V181" s="18"/>
      <c r="W181" s="18"/>
      <c r="X181" s="18"/>
      <c r="AS181" s="5"/>
      <c r="BB181" s="11"/>
      <c r="BC181" s="5"/>
    </row>
    <row r="182" spans="1:64" ht="12.75" hidden="1" customHeight="1" x14ac:dyDescent="0.15">
      <c r="A182" s="259">
        <v>23</v>
      </c>
      <c r="B182" s="51" t="s">
        <v>573</v>
      </c>
      <c r="C182" s="21"/>
      <c r="D182" s="334"/>
      <c r="E182" s="335"/>
      <c r="F182" s="336"/>
      <c r="G182" s="337"/>
      <c r="H182" s="51"/>
      <c r="M182" s="21" t="s">
        <v>660</v>
      </c>
      <c r="P182" s="1053"/>
      <c r="Q182" s="1296"/>
      <c r="R182" s="1168"/>
      <c r="S182" s="1168"/>
      <c r="T182" s="1168"/>
      <c r="U182" s="1296"/>
      <c r="V182" s="18"/>
      <c r="W182" s="18"/>
      <c r="X182" s="18"/>
      <c r="AS182" s="5"/>
    </row>
    <row r="183" spans="1:64" ht="12.75" hidden="1" customHeight="1" x14ac:dyDescent="0.15">
      <c r="A183" s="259">
        <v>24</v>
      </c>
      <c r="B183" s="51" t="s">
        <v>574</v>
      </c>
      <c r="C183" s="21" t="s">
        <v>613</v>
      </c>
      <c r="D183" s="104">
        <f>IF(ISERROR(HLOOKUP(J183,$Q$42:$AG$43,2)),0,HLOOKUP(J183,$Q$42:$AG$43,2))</f>
        <v>0</v>
      </c>
      <c r="E183" s="104">
        <f>IF(ISERROR(HLOOKUP(K183,$Q$42:$AG$43,2)),0,HLOOKUP(K183,$Q$42:$AG$43,2))</f>
        <v>0</v>
      </c>
      <c r="F183" s="104">
        <f>IF(ISERROR(HLOOKUP(L183,$Q$42:$AG$43,2)),0,HLOOKUP(L183,$Q$42:$AG$43,2))</f>
        <v>0</v>
      </c>
      <c r="G183" s="113">
        <f>SUM($F$27:$F$32)</f>
        <v>0</v>
      </c>
      <c r="H183" s="103">
        <f>SUM($F$27:$F$32)+$J$51</f>
        <v>0</v>
      </c>
      <c r="I183" s="103">
        <f>SUM($F$27:$F$32)+$J$51+$J$60</f>
        <v>0</v>
      </c>
      <c r="J183" s="21">
        <f t="shared" ref="J183:J192" si="34">ROUNDDOWN(G183/365,0)</f>
        <v>0</v>
      </c>
      <c r="K183" s="21">
        <f t="shared" ref="K183:K192" si="35">ROUNDDOWN(H183/365,0)</f>
        <v>0</v>
      </c>
      <c r="L183" s="21">
        <f t="shared" ref="L183:L192" si="36">ROUNDDOWN(I183/365,0)</f>
        <v>0</v>
      </c>
      <c r="M183" s="21" t="s">
        <v>660</v>
      </c>
      <c r="P183" s="1053"/>
      <c r="Q183" s="1296"/>
      <c r="R183" s="1168"/>
      <c r="S183" s="1168"/>
      <c r="T183" s="1168"/>
      <c r="U183" s="1296"/>
      <c r="V183" s="18"/>
      <c r="W183" s="18"/>
      <c r="X183" s="18"/>
      <c r="AS183" s="5"/>
    </row>
    <row r="184" spans="1:64" ht="12.75" hidden="1" customHeight="1" x14ac:dyDescent="0.15">
      <c r="A184" s="259">
        <v>25</v>
      </c>
      <c r="B184" s="51" t="s">
        <v>580</v>
      </c>
      <c r="C184" s="21" t="s">
        <v>527</v>
      </c>
      <c r="D184" s="104">
        <f>IF(ISERROR(HLOOKUP(J184,$Q$29:$AT$30,2)),0,HLOOKUP(J184,$Q$29:$AT$30,2))</f>
        <v>0</v>
      </c>
      <c r="E184" s="104">
        <f>IF(ISERROR(HLOOKUP(K184,$Q$29:$AT$30,2)),0,HLOOKUP(K184,$Q$29:$AT$30,2))</f>
        <v>0</v>
      </c>
      <c r="F184" s="104">
        <f>IF(ISERROR(HLOOKUP(L184,$Q$29:$AT$30,2)),0,HLOOKUP(L184,$Q$29:$AT$30,2))</f>
        <v>0</v>
      </c>
      <c r="G184" s="113">
        <f>SUM($F$30:$F$32)</f>
        <v>0</v>
      </c>
      <c r="H184" s="103">
        <f>SUM($F$30:$F$32)+$J$51</f>
        <v>0</v>
      </c>
      <c r="I184" s="103">
        <f>SUM($F$30:$F$32)+$J$51+$J$60</f>
        <v>0</v>
      </c>
      <c r="J184" s="21">
        <f t="shared" si="34"/>
        <v>0</v>
      </c>
      <c r="K184" s="21">
        <f t="shared" si="35"/>
        <v>0</v>
      </c>
      <c r="L184" s="21">
        <f t="shared" si="36"/>
        <v>0</v>
      </c>
      <c r="M184" s="21" t="s">
        <v>660</v>
      </c>
      <c r="P184" s="1053"/>
      <c r="Q184" s="1296"/>
      <c r="R184" s="1168"/>
      <c r="S184" s="1168"/>
      <c r="T184" s="1168"/>
      <c r="U184" s="1296"/>
      <c r="V184" s="18"/>
      <c r="W184" s="18"/>
      <c r="X184" s="18"/>
      <c r="AS184" s="5"/>
    </row>
    <row r="185" spans="1:64" ht="12.75" hidden="1" customHeight="1" x14ac:dyDescent="0.15">
      <c r="A185" s="259">
        <v>26</v>
      </c>
      <c r="B185" s="51" t="s">
        <v>581</v>
      </c>
      <c r="C185" s="21" t="s">
        <v>547</v>
      </c>
      <c r="D185" s="104">
        <f>IF(ISERROR(HLOOKUP(J185,$Q$73:$W$74,2)),0,HLOOKUP(J185,$Q$73:$W$74,2))</f>
        <v>0</v>
      </c>
      <c r="E185" s="104">
        <f>IF(ISERROR(HLOOKUP(K185,$Q$73:$W$74,2)),0,HLOOKUP(K185,$Q$73:$W$74,2))</f>
        <v>0</v>
      </c>
      <c r="F185" s="104">
        <f>IF(ISERROR(HLOOKUP(L185,$Q$73:$W$74,2)),0,HLOOKUP(L185,$Q$73:$W$74,2))</f>
        <v>0</v>
      </c>
      <c r="G185" s="113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34"/>
        <v>0</v>
      </c>
      <c r="K185" s="21">
        <f t="shared" si="35"/>
        <v>0</v>
      </c>
      <c r="L185" s="21">
        <f t="shared" si="36"/>
        <v>0</v>
      </c>
      <c r="M185" s="21" t="s">
        <v>660</v>
      </c>
      <c r="P185" s="1053"/>
      <c r="Q185" s="1296"/>
      <c r="R185" s="1168"/>
      <c r="S185" s="1168"/>
      <c r="T185" s="1168"/>
      <c r="U185" s="1296"/>
      <c r="V185" s="18"/>
      <c r="W185" s="18"/>
      <c r="X185" s="18"/>
      <c r="AS185" s="5"/>
    </row>
    <row r="186" spans="1:64" ht="12.75" hidden="1" customHeight="1" x14ac:dyDescent="0.15">
      <c r="A186" s="259" t="s">
        <v>582</v>
      </c>
      <c r="B186" s="51" t="s">
        <v>684</v>
      </c>
      <c r="C186" s="21" t="s">
        <v>547</v>
      </c>
      <c r="D186" s="104">
        <f>IF(ISERROR(HLOOKUP(J186,$Q$73:$V$74,2)),0,HLOOKUP(J186,$Q$73:$V$74,2))</f>
        <v>0</v>
      </c>
      <c r="E186" s="104">
        <f>IF(ISERROR(HLOOKUP(K186,$Q$73:$V$74,2)),0,HLOOKUP(K186,$Q$73:$V$74,2))</f>
        <v>0</v>
      </c>
      <c r="F186" s="104">
        <f>IF(ISERROR(HLOOKUP(L186,$Q$73:$V$74,2)),0,HLOOKUP(L186,$Q$73:$V$74,2))</f>
        <v>0</v>
      </c>
      <c r="G186" s="113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si="34"/>
        <v>0</v>
      </c>
      <c r="K186" s="21">
        <f t="shared" si="35"/>
        <v>0</v>
      </c>
      <c r="L186" s="21">
        <f t="shared" si="36"/>
        <v>0</v>
      </c>
      <c r="M186" s="21" t="s">
        <v>660</v>
      </c>
      <c r="P186" s="1053"/>
      <c r="Q186" s="1296"/>
      <c r="R186" s="1168"/>
      <c r="S186" s="1168"/>
      <c r="T186" s="1168"/>
      <c r="U186" s="1296"/>
      <c r="V186" s="18"/>
      <c r="W186" s="18"/>
      <c r="X186" s="18"/>
      <c r="AS186" s="5"/>
    </row>
    <row r="187" spans="1:64" ht="12.75" hidden="1" customHeight="1" x14ac:dyDescent="0.15">
      <c r="A187" s="259">
        <v>27</v>
      </c>
      <c r="B187" s="51" t="s">
        <v>583</v>
      </c>
      <c r="C187" s="21" t="s">
        <v>613</v>
      </c>
      <c r="D187" s="104">
        <f>IF(ISERROR(HLOOKUP(J187,$Q$48:$Z$49,2)),0,HLOOKUP(J187,$Q$48:$Z$49,2))</f>
        <v>0</v>
      </c>
      <c r="E187" s="104">
        <f>IF(ISERROR(HLOOKUP(K187,$Q$48:$Z$49,2)),0,HLOOKUP(K187,$Q$48:$Z$49,2))</f>
        <v>0</v>
      </c>
      <c r="F187" s="104">
        <f>IF(ISERROR(HLOOKUP(L187,$Q$48:$Z$49,2)),0,HLOOKUP(L187,$Q$48:$Z$49,2))</f>
        <v>0</v>
      </c>
      <c r="G187" s="113">
        <f t="shared" ref="G187:G200" si="37">SUM($F$30:$F$32)</f>
        <v>0</v>
      </c>
      <c r="H187" s="103">
        <f t="shared" ref="H187:H194" si="38">SUM($F$30:$F$32)+$J$51</f>
        <v>0</v>
      </c>
      <c r="I187" s="103">
        <f t="shared" ref="I187:I194" si="39">SUM($F$30:$F$32)+$J$51+$J$60</f>
        <v>0</v>
      </c>
      <c r="J187" s="21">
        <f t="shared" si="34"/>
        <v>0</v>
      </c>
      <c r="K187" s="21">
        <f t="shared" si="35"/>
        <v>0</v>
      </c>
      <c r="L187" s="21">
        <f t="shared" si="36"/>
        <v>0</v>
      </c>
      <c r="M187" s="21" t="s">
        <v>660</v>
      </c>
      <c r="P187" s="1053"/>
      <c r="Q187" s="1296"/>
      <c r="R187" s="1168"/>
      <c r="S187" s="1168"/>
      <c r="T187" s="1168"/>
      <c r="U187" s="1168"/>
      <c r="V187" s="18"/>
      <c r="W187" s="18"/>
      <c r="X187" s="18"/>
      <c r="AS187" s="5"/>
    </row>
    <row r="188" spans="1:64" ht="12.75" hidden="1" customHeight="1" x14ac:dyDescent="0.15">
      <c r="A188" s="259">
        <v>28</v>
      </c>
      <c r="B188" s="51" t="s">
        <v>584</v>
      </c>
      <c r="C188" s="21" t="s">
        <v>547</v>
      </c>
      <c r="D188" s="104">
        <f>IF(ISERROR(HLOOKUP(J188,$Q$73:$W$74,2)),0,HLOOKUP(J188,$Q$73:$W$74,2))</f>
        <v>0</v>
      </c>
      <c r="E188" s="104">
        <f>IF(ISERROR(HLOOKUP(K188,$Q$73:$W$74,2)),0,HLOOKUP(K188,$Q$73:$W$74,2))</f>
        <v>0</v>
      </c>
      <c r="F188" s="104">
        <f>IF(ISERROR(HLOOKUP(L188,$Q$73:$W$74,2)),0,HLOOKUP(L188,$Q$73:$W$74,2))</f>
        <v>0</v>
      </c>
      <c r="G188" s="113">
        <f t="shared" si="37"/>
        <v>0</v>
      </c>
      <c r="H188" s="103">
        <f t="shared" si="38"/>
        <v>0</v>
      </c>
      <c r="I188" s="103">
        <f t="shared" si="39"/>
        <v>0</v>
      </c>
      <c r="J188" s="21">
        <f t="shared" si="34"/>
        <v>0</v>
      </c>
      <c r="K188" s="21">
        <f t="shared" si="35"/>
        <v>0</v>
      </c>
      <c r="L188" s="21">
        <f t="shared" si="36"/>
        <v>0</v>
      </c>
      <c r="M188" s="21" t="s">
        <v>660</v>
      </c>
      <c r="P188" s="1053"/>
      <c r="Q188" s="1296"/>
      <c r="R188" s="1168"/>
      <c r="S188" s="1168"/>
      <c r="T188" s="1168"/>
      <c r="U188" s="1168"/>
      <c r="V188" s="18"/>
      <c r="W188" s="18"/>
      <c r="X188" s="18"/>
      <c r="AS188" s="5"/>
    </row>
    <row r="189" spans="1:64" ht="12.75" hidden="1" customHeight="1" x14ac:dyDescent="0.15">
      <c r="A189" s="259">
        <v>29</v>
      </c>
      <c r="B189" s="51" t="s">
        <v>585</v>
      </c>
      <c r="C189" s="21" t="s">
        <v>613</v>
      </c>
      <c r="D189" s="104">
        <f>IF(ISERROR(HLOOKUP(J189,$Q$48:$V$49,2)),0,HLOOKUP(J189,$Q$48:$V$49,2))</f>
        <v>0</v>
      </c>
      <c r="E189" s="104">
        <f>IF(ISERROR(HLOOKUP(K189,$Q$48:$V$49,2)),0,HLOOKUP(K189,$Q$48:$V$49,2))</f>
        <v>0</v>
      </c>
      <c r="F189" s="104">
        <f>IF(ISERROR(HLOOKUP(L189,$Q$48:$V$49,2)),0,HLOOKUP(L189,$Q$48:$V$49,2))</f>
        <v>0</v>
      </c>
      <c r="G189" s="113">
        <f t="shared" si="37"/>
        <v>0</v>
      </c>
      <c r="H189" s="103">
        <f t="shared" si="38"/>
        <v>0</v>
      </c>
      <c r="I189" s="103">
        <f t="shared" si="39"/>
        <v>0</v>
      </c>
      <c r="J189" s="21">
        <f t="shared" si="34"/>
        <v>0</v>
      </c>
      <c r="K189" s="21">
        <f t="shared" si="35"/>
        <v>0</v>
      </c>
      <c r="L189" s="21">
        <f t="shared" si="36"/>
        <v>0</v>
      </c>
      <c r="M189" s="21" t="s">
        <v>660</v>
      </c>
      <c r="P189" s="1053"/>
      <c r="Q189" s="1296"/>
      <c r="R189" s="1168"/>
      <c r="S189" s="1168"/>
      <c r="T189" s="1168"/>
      <c r="U189" s="1168"/>
      <c r="V189" s="18"/>
      <c r="W189" s="18"/>
      <c r="X189" s="18"/>
      <c r="AS189" s="5"/>
    </row>
    <row r="190" spans="1:64" ht="13.5" hidden="1" customHeight="1" x14ac:dyDescent="0.15">
      <c r="A190" s="259">
        <v>30</v>
      </c>
      <c r="B190" s="51" t="s">
        <v>586</v>
      </c>
      <c r="C190" s="21" t="s">
        <v>613</v>
      </c>
      <c r="D190" s="104">
        <f>IF(ISERROR(HLOOKUP(J190,$Q$48:$AA$49,2)),0,HLOOKUP(J190,$Q$48:$AA$49,2))</f>
        <v>0</v>
      </c>
      <c r="E190" s="104">
        <f>IF(ISERROR(HLOOKUP(K190,$Q$48:$AA$49,2)),0,HLOOKUP(K190,$Q$48:$AA$49,2))</f>
        <v>0</v>
      </c>
      <c r="F190" s="104">
        <f>IF(ISERROR(HLOOKUP(L190,$Q$48:$AA$49,2)),0,HLOOKUP(L190,$Q$48:$AA$49,2))</f>
        <v>0</v>
      </c>
      <c r="G190" s="113">
        <f t="shared" si="37"/>
        <v>0</v>
      </c>
      <c r="H190" s="103">
        <f t="shared" si="38"/>
        <v>0</v>
      </c>
      <c r="I190" s="103">
        <f t="shared" si="39"/>
        <v>0</v>
      </c>
      <c r="J190" s="21">
        <f t="shared" si="34"/>
        <v>0</v>
      </c>
      <c r="K190" s="21">
        <f t="shared" si="35"/>
        <v>0</v>
      </c>
      <c r="L190" s="21">
        <f t="shared" si="36"/>
        <v>0</v>
      </c>
      <c r="M190" s="21" t="s">
        <v>660</v>
      </c>
      <c r="P190" s="1053"/>
      <c r="Q190" s="1296"/>
      <c r="R190" s="1168"/>
      <c r="S190" s="1168"/>
      <c r="T190" s="1168"/>
      <c r="U190" s="1168"/>
      <c r="V190" s="18"/>
      <c r="W190" s="18"/>
      <c r="X190" s="18"/>
      <c r="AS190" s="5"/>
    </row>
    <row r="191" spans="1:64" ht="12.75" hidden="1" customHeight="1" x14ac:dyDescent="0.15">
      <c r="A191" s="259" t="s">
        <v>587</v>
      </c>
      <c r="B191" s="51" t="s">
        <v>685</v>
      </c>
      <c r="C191" s="21" t="s">
        <v>547</v>
      </c>
      <c r="D191" s="104">
        <f>IF(ISERROR(HLOOKUP(J191,$Q$73:$X$74,2)),0,HLOOKUP(J191,$Q$73:$X$74,2))</f>
        <v>0</v>
      </c>
      <c r="E191" s="104">
        <f>IF(ISERROR(HLOOKUP(K191,$Q$73:$X$74,2)),0,HLOOKUP(K191,$Q$73:$X$74,2))</f>
        <v>0</v>
      </c>
      <c r="F191" s="104">
        <f>IF(ISERROR(HLOOKUP(L191,$Q$73:$X$74,2)),0,HLOOKUP(L191,$Q$73:$X$74,2))</f>
        <v>0</v>
      </c>
      <c r="G191" s="113">
        <f t="shared" si="37"/>
        <v>0</v>
      </c>
      <c r="H191" s="103">
        <f t="shared" si="38"/>
        <v>0</v>
      </c>
      <c r="I191" s="103">
        <f t="shared" si="39"/>
        <v>0</v>
      </c>
      <c r="J191" s="21">
        <f t="shared" si="34"/>
        <v>0</v>
      </c>
      <c r="K191" s="21">
        <f t="shared" si="35"/>
        <v>0</v>
      </c>
      <c r="L191" s="21">
        <f t="shared" si="36"/>
        <v>0</v>
      </c>
      <c r="M191" s="21" t="s">
        <v>660</v>
      </c>
      <c r="P191" s="1053"/>
      <c r="Q191" s="1296"/>
      <c r="R191" s="1168"/>
      <c r="S191" s="1168"/>
      <c r="T191" s="1168"/>
      <c r="U191" s="1168"/>
      <c r="V191" s="18"/>
      <c r="W191" s="18"/>
      <c r="X191" s="18"/>
      <c r="AS191" s="116"/>
    </row>
    <row r="192" spans="1:64" ht="12.75" hidden="1" customHeight="1" x14ac:dyDescent="0.15">
      <c r="A192" s="259">
        <v>31</v>
      </c>
      <c r="B192" s="51" t="s">
        <v>588</v>
      </c>
      <c r="C192" s="21" t="s">
        <v>613</v>
      </c>
      <c r="D192" s="104">
        <f>IF(ISERROR(HLOOKUP(J192,$Q$42:$AG$43,2)),0,HLOOKUP(J192,$Q$42:$AG$43,2))</f>
        <v>0</v>
      </c>
      <c r="E192" s="104">
        <f>IF(ISERROR(HLOOKUP(K192,$Q$42:$AG$43,2)),0,HLOOKUP(K192,$Q$42:$AG$43,2))</f>
        <v>0</v>
      </c>
      <c r="F192" s="104">
        <f>IF(ISERROR(HLOOKUP(L192,$Q$42:$AG$43,2)),0,HLOOKUP(L192,$Q$42:$AG$43,2))</f>
        <v>0</v>
      </c>
      <c r="G192" s="113">
        <f t="shared" si="37"/>
        <v>0</v>
      </c>
      <c r="H192" s="103">
        <f t="shared" si="38"/>
        <v>0</v>
      </c>
      <c r="I192" s="103">
        <f t="shared" si="39"/>
        <v>0</v>
      </c>
      <c r="J192" s="21">
        <f t="shared" si="34"/>
        <v>0</v>
      </c>
      <c r="K192" s="21">
        <f t="shared" si="35"/>
        <v>0</v>
      </c>
      <c r="L192" s="21">
        <f t="shared" si="36"/>
        <v>0</v>
      </c>
      <c r="M192" s="21" t="s">
        <v>660</v>
      </c>
      <c r="P192" s="1053"/>
      <c r="Q192" s="1296"/>
      <c r="R192" s="1168"/>
      <c r="S192" s="1168"/>
      <c r="T192" s="1168"/>
      <c r="U192" s="1168"/>
      <c r="V192" s="18"/>
      <c r="W192" s="18"/>
      <c r="X192" s="18"/>
      <c r="AS192" s="69"/>
    </row>
    <row r="193" spans="1:45" ht="12.75" hidden="1" customHeight="1" x14ac:dyDescent="0.15">
      <c r="A193" s="259">
        <v>32</v>
      </c>
      <c r="B193" s="338" t="s">
        <v>617</v>
      </c>
      <c r="C193" s="21" t="s">
        <v>613</v>
      </c>
      <c r="D193" s="104">
        <f>IF(ISERROR(HLOOKUP(J193,$Q$42:$AA$43,2)),0,HLOOKUP(J193,$Q$42:$AA$43,2))</f>
        <v>0</v>
      </c>
      <c r="E193" s="104">
        <f>IF(ISERROR(HLOOKUP(K193,$Q$42:$AA$43,2)),0,HLOOKUP(K193,$Q$42:$AA$43,2))</f>
        <v>0</v>
      </c>
      <c r="F193" s="104">
        <f>IF(ISERROR(HLOOKUP(L193,$Q$42:$AA$43,2)),0,HLOOKUP(L193,$Q$42:$AA$43,2))</f>
        <v>0</v>
      </c>
      <c r="G193" s="113">
        <f t="shared" si="37"/>
        <v>0</v>
      </c>
      <c r="H193" s="103">
        <f t="shared" si="38"/>
        <v>0</v>
      </c>
      <c r="I193" s="103">
        <f t="shared" si="39"/>
        <v>0</v>
      </c>
      <c r="J193" s="21">
        <f t="shared" ref="J193:L200" si="40">ROUNDDOWN(G193/365,0)</f>
        <v>0</v>
      </c>
      <c r="K193" s="21">
        <f t="shared" si="40"/>
        <v>0</v>
      </c>
      <c r="L193" s="21">
        <f t="shared" si="40"/>
        <v>0</v>
      </c>
      <c r="M193" s="78" t="s">
        <v>661</v>
      </c>
      <c r="P193" s="1053"/>
      <c r="Q193" s="1168"/>
      <c r="R193" s="1168"/>
      <c r="S193" s="1168"/>
      <c r="T193" s="1168"/>
      <c r="U193" s="1168"/>
      <c r="V193" s="18"/>
      <c r="W193" s="18"/>
      <c r="X193" s="18"/>
      <c r="AS193" s="69"/>
    </row>
    <row r="194" spans="1:45" ht="12.75" hidden="1" customHeight="1" x14ac:dyDescent="0.15">
      <c r="A194" s="259">
        <v>33</v>
      </c>
      <c r="B194" s="338" t="s">
        <v>618</v>
      </c>
      <c r="C194" s="21" t="s">
        <v>613</v>
      </c>
      <c r="D194" s="104">
        <f>IF(ISERROR(HLOOKUP(J194,$Q$39:$AA$40,2)),0,HLOOKUP(J194,$Q$39:$AA$40,2))</f>
        <v>0</v>
      </c>
      <c r="E194" s="104">
        <f>IF(ISERROR(HLOOKUP(K194,$Q$39:$AA$40,2)),0,HLOOKUP(K194,$Q$39:$AA$40,2))</f>
        <v>0</v>
      </c>
      <c r="F194" s="104">
        <f>IF(ISERROR(HLOOKUP(L194,$Q$39:$AA$40,2)),0,HLOOKUP(L194,$Q$39:$AA$40,2))</f>
        <v>0</v>
      </c>
      <c r="G194" s="113">
        <f t="shared" si="37"/>
        <v>0</v>
      </c>
      <c r="H194" s="103">
        <f t="shared" si="38"/>
        <v>0</v>
      </c>
      <c r="I194" s="103">
        <f t="shared" si="39"/>
        <v>0</v>
      </c>
      <c r="J194" s="21">
        <f t="shared" si="40"/>
        <v>0</v>
      </c>
      <c r="K194" s="21">
        <f t="shared" si="40"/>
        <v>0</v>
      </c>
      <c r="L194" s="21">
        <f t="shared" si="40"/>
        <v>0</v>
      </c>
      <c r="M194" s="78" t="s">
        <v>661</v>
      </c>
      <c r="P194" s="1297"/>
      <c r="Q194" s="1297"/>
      <c r="R194" s="18"/>
      <c r="S194" s="18"/>
      <c r="T194" s="18"/>
      <c r="U194" s="18"/>
      <c r="V194" s="18"/>
      <c r="W194" s="18"/>
      <c r="X194" s="18"/>
      <c r="AS194" s="69"/>
    </row>
    <row r="195" spans="1:45" ht="12.75" hidden="1" customHeight="1" x14ac:dyDescent="0.15">
      <c r="A195" s="259">
        <v>34</v>
      </c>
      <c r="B195" s="338" t="s">
        <v>619</v>
      </c>
      <c r="C195" s="21" t="s">
        <v>527</v>
      </c>
      <c r="D195" s="104">
        <f>IF(ISERROR(HLOOKUP(J195,$Q$26:$AY$27,2)),0,HLOOKUP(J195,$Q$26:$AY$27,2))</f>
        <v>0</v>
      </c>
      <c r="E195" s="104">
        <f>IF(ISERROR(HLOOKUP(K195,$Q$26:$AY$27,2)),0,HLOOKUP(K195,$Q$26:$AY$27,2))</f>
        <v>0</v>
      </c>
      <c r="F195" s="104">
        <f>IF(ISERROR(HLOOKUP(L195,$Q$26:$AY$27,2)),0,HLOOKUP(L195,$Q$26:$AY$27,2))</f>
        <v>0</v>
      </c>
      <c r="G195" s="113">
        <f>SUM($F$27:$F$33)</f>
        <v>0</v>
      </c>
      <c r="H195" s="103">
        <f>SUM($F$27:$F$33)+$J$51</f>
        <v>0</v>
      </c>
      <c r="I195" s="103">
        <f>SUM($F$27:$F$33)+$J$51+$J$60</f>
        <v>0</v>
      </c>
      <c r="J195" s="21">
        <f t="shared" si="40"/>
        <v>0</v>
      </c>
      <c r="K195" s="21">
        <f t="shared" si="40"/>
        <v>0</v>
      </c>
      <c r="L195" s="21">
        <f t="shared" si="40"/>
        <v>0</v>
      </c>
      <c r="M195" s="78" t="s">
        <v>661</v>
      </c>
      <c r="P195" s="44"/>
      <c r="Q195" s="44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</row>
    <row r="196" spans="1:45" ht="12.75" hidden="1" customHeight="1" x14ac:dyDescent="0.15">
      <c r="A196" s="259">
        <v>35</v>
      </c>
      <c r="B196" s="338" t="s">
        <v>620</v>
      </c>
      <c r="C196" s="21" t="s">
        <v>613</v>
      </c>
      <c r="D196" s="104">
        <f>IF(ISERROR(HLOOKUP(J196,$Q$39:$AB$40,2)),0,HLOOKUP(J196,$Q$39:$AB$40,2))</f>
        <v>0</v>
      </c>
      <c r="E196" s="104">
        <f>IF(ISERROR(HLOOKUP(K196,$Q$39:$AB$40,2)),0,HLOOKUP(K196,$Q$39:$AB$40,2))</f>
        <v>0</v>
      </c>
      <c r="F196" s="104">
        <f>IF(ISERROR(HLOOKUP(L196,$Q$39:$AB$40,2)),0,HLOOKUP(L196,$Q$39:$AB$40,2))</f>
        <v>0</v>
      </c>
      <c r="G196" s="113">
        <f>SUM($F$27:$F$32)</f>
        <v>0</v>
      </c>
      <c r="H196" s="103">
        <f>SUM($F$27:$F$32)+$J$51</f>
        <v>0</v>
      </c>
      <c r="I196" s="103">
        <f>SUM($F$27:$F$32)+$J$51+$J$60</f>
        <v>0</v>
      </c>
      <c r="J196" s="21">
        <f t="shared" si="40"/>
        <v>0</v>
      </c>
      <c r="K196" s="21">
        <f t="shared" si="40"/>
        <v>0</v>
      </c>
      <c r="L196" s="21">
        <f t="shared" si="40"/>
        <v>0</v>
      </c>
      <c r="M196" s="78" t="s">
        <v>661</v>
      </c>
      <c r="P196" s="44"/>
      <c r="Q196" s="44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</row>
    <row r="197" spans="1:45" ht="12.75" hidden="1" customHeight="1" x14ac:dyDescent="0.15">
      <c r="A197" s="259">
        <v>36</v>
      </c>
      <c r="B197" s="339" t="s">
        <v>621</v>
      </c>
      <c r="C197" s="21" t="s">
        <v>613</v>
      </c>
      <c r="D197" s="104">
        <f>IF(ISERROR(HLOOKUP(J197,$Q$39:$AA$40,2)),0,HLOOKUP(J197,$Q$39:$AA$40,2))</f>
        <v>0</v>
      </c>
      <c r="E197" s="104">
        <f>IF(ISERROR(HLOOKUP(K197,$Q$39:$AA$40,2)),0,HLOOKUP(K197,$Q$39:$AA$40,2))</f>
        <v>0</v>
      </c>
      <c r="F197" s="104">
        <f>IF(ISERROR(HLOOKUP(L197,$Q$39:$AA$40,2)),0,HLOOKUP(L197,$Q$39:$AA$40,2))</f>
        <v>0</v>
      </c>
      <c r="G197" s="113">
        <f t="shared" si="37"/>
        <v>0</v>
      </c>
      <c r="H197" s="103">
        <f>SUM($F$30:$F$32)+$J$51</f>
        <v>0</v>
      </c>
      <c r="I197" s="103">
        <f>SUM($F$30:$F$32)+$J$51+$J$60</f>
        <v>0</v>
      </c>
      <c r="J197" s="21">
        <f t="shared" si="40"/>
        <v>0</v>
      </c>
      <c r="K197" s="21">
        <f t="shared" si="40"/>
        <v>0</v>
      </c>
      <c r="L197" s="21">
        <f t="shared" si="40"/>
        <v>0</v>
      </c>
      <c r="M197" s="78" t="s">
        <v>661</v>
      </c>
      <c r="P197" s="44"/>
      <c r="Q197" s="44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</row>
    <row r="198" spans="1:45" ht="12.75" hidden="1" customHeight="1" x14ac:dyDescent="0.15">
      <c r="A198" s="259">
        <v>37</v>
      </c>
      <c r="B198" s="340" t="s">
        <v>622</v>
      </c>
      <c r="C198" s="21" t="s">
        <v>547</v>
      </c>
      <c r="D198" s="104">
        <f t="shared" ref="D198:F199" si="41">IF(ISERROR(HLOOKUP(J198,$Q$73:$AB$74,2)),0,HLOOKUP(J198,$Q$73:$AB$74,2))</f>
        <v>0</v>
      </c>
      <c r="E198" s="104">
        <f t="shared" si="41"/>
        <v>0</v>
      </c>
      <c r="F198" s="104">
        <f t="shared" si="41"/>
        <v>0</v>
      </c>
      <c r="G198" s="113">
        <f>SUM($F$27:$F$32)</f>
        <v>0</v>
      </c>
      <c r="H198" s="103">
        <f>SUM($F$27:$F$32)+$J$51</f>
        <v>0</v>
      </c>
      <c r="I198" s="103">
        <f>SUM($F$27:$F$32)+$J$51+$J$60</f>
        <v>0</v>
      </c>
      <c r="J198" s="21">
        <f t="shared" si="40"/>
        <v>0</v>
      </c>
      <c r="K198" s="21">
        <f t="shared" si="40"/>
        <v>0</v>
      </c>
      <c r="L198" s="21">
        <f t="shared" si="40"/>
        <v>0</v>
      </c>
      <c r="M198" s="78" t="s">
        <v>661</v>
      </c>
      <c r="P198" s="44"/>
      <c r="Q198" s="44"/>
      <c r="AH198" s="69"/>
      <c r="AI198" s="116"/>
      <c r="AJ198" s="116"/>
      <c r="AK198" s="116"/>
      <c r="AL198" s="69"/>
      <c r="AM198" s="69"/>
      <c r="AN198" s="69"/>
      <c r="AO198" s="69"/>
      <c r="AP198" s="69"/>
      <c r="AQ198" s="69"/>
      <c r="AR198" s="69"/>
      <c r="AS198" s="69"/>
    </row>
    <row r="199" spans="1:45" ht="12.75" hidden="1" customHeight="1" x14ac:dyDescent="0.15">
      <c r="A199" s="259">
        <v>38</v>
      </c>
      <c r="B199" s="340" t="s">
        <v>623</v>
      </c>
      <c r="C199" s="21" t="s">
        <v>547</v>
      </c>
      <c r="D199" s="104">
        <f t="shared" si="41"/>
        <v>0</v>
      </c>
      <c r="E199" s="104">
        <f t="shared" si="41"/>
        <v>0</v>
      </c>
      <c r="F199" s="104">
        <f t="shared" si="41"/>
        <v>0</v>
      </c>
      <c r="G199" s="113">
        <f t="shared" si="37"/>
        <v>0</v>
      </c>
      <c r="H199" s="103">
        <f>SUM($F$30:$F$32)+$J$51</f>
        <v>0</v>
      </c>
      <c r="I199" s="103">
        <f>SUM($F$30:$F$32)+$J$51+$J$60</f>
        <v>0</v>
      </c>
      <c r="J199" s="21">
        <f t="shared" si="40"/>
        <v>0</v>
      </c>
      <c r="K199" s="21">
        <f t="shared" si="40"/>
        <v>0</v>
      </c>
      <c r="L199" s="21">
        <f t="shared" si="40"/>
        <v>0</v>
      </c>
      <c r="M199" s="78" t="s">
        <v>661</v>
      </c>
      <c r="P199" s="44"/>
      <c r="Q199" s="44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</row>
    <row r="200" spans="1:45" ht="12.75" hidden="1" customHeight="1" thickBot="1" x14ac:dyDescent="0.2">
      <c r="A200" s="259">
        <v>39</v>
      </c>
      <c r="B200" s="340" t="s">
        <v>624</v>
      </c>
      <c r="C200" s="21" t="s">
        <v>613</v>
      </c>
      <c r="D200" s="104">
        <f>IF(ISERROR(HLOOKUP(J200,$Q$48:$Y$49,2)),0,HLOOKUP(J200,$Q$48:$Y$49,2))</f>
        <v>0</v>
      </c>
      <c r="E200" s="104">
        <f>IF(ISERROR(HLOOKUP(K200,$Q$48:$Y$49,2)),0,HLOOKUP(K200,$Q$48:$Y$49,2))</f>
        <v>0</v>
      </c>
      <c r="F200" s="104">
        <f>IF(ISERROR(HLOOKUP(L200,$Q$48:$Y$49,2)),0,HLOOKUP(L200,$Q$48:$Y$49,2))</f>
        <v>0</v>
      </c>
      <c r="G200" s="113">
        <f t="shared" si="37"/>
        <v>0</v>
      </c>
      <c r="H200" s="103">
        <f>SUM($F$30:$F$32)+$J$51</f>
        <v>0</v>
      </c>
      <c r="I200" s="103">
        <f>SUM($F$30:$F$32)+$J$51+$J$60</f>
        <v>0</v>
      </c>
      <c r="J200" s="21">
        <f t="shared" si="40"/>
        <v>0</v>
      </c>
      <c r="K200" s="21">
        <f t="shared" si="40"/>
        <v>0</v>
      </c>
      <c r="L200" s="21">
        <f t="shared" si="40"/>
        <v>0</v>
      </c>
      <c r="M200" s="78" t="s">
        <v>661</v>
      </c>
      <c r="P200" s="44"/>
      <c r="Q200" s="44"/>
    </row>
    <row r="201" spans="1:45" ht="12.75" hidden="1" customHeight="1" x14ac:dyDescent="0.15">
      <c r="A201" s="259">
        <v>40</v>
      </c>
      <c r="B201" s="340" t="s">
        <v>625</v>
      </c>
      <c r="C201" s="21" t="s">
        <v>613</v>
      </c>
      <c r="D201" s="104">
        <f>IF(ISERROR(HLOOKUP(J201,$Q$48:$AA$49,2)),0,HLOOKUP(J201,$Q$48:$AA$49,2))</f>
        <v>0</v>
      </c>
      <c r="E201" s="104">
        <f>IF(ISERROR(HLOOKUP(K201,$Q$48:$AA$49,2)),0,HLOOKUP(K201,$Q$48:$AA$49,2))</f>
        <v>0</v>
      </c>
      <c r="F201" s="104">
        <f>IF(ISERROR(HLOOKUP(L201,$Q$48:$AA$49,2)),0,HLOOKUP(L201,$Q$48:$AA$49,2))</f>
        <v>0</v>
      </c>
      <c r="G201" s="113">
        <f>SUM($F$27:$F$32)</f>
        <v>0</v>
      </c>
      <c r="H201" s="103">
        <f>SUM($F$27:$F$32)+$J$51</f>
        <v>0</v>
      </c>
      <c r="I201" s="103">
        <f>SUM($F$27:$F$32)+$J$51+$J$60</f>
        <v>0</v>
      </c>
      <c r="J201" s="21">
        <f t="shared" ref="J201:J216" si="42">ROUNDDOWN(G201/365,0)</f>
        <v>0</v>
      </c>
      <c r="K201" s="21">
        <f t="shared" ref="K201:K206" si="43">ROUNDDOWN(H201/365,0)</f>
        <v>0</v>
      </c>
      <c r="L201" s="21">
        <f t="shared" ref="L201:L252" si="44">ROUNDDOWN(I201/365,0)</f>
        <v>0</v>
      </c>
      <c r="M201" s="78" t="s">
        <v>661</v>
      </c>
      <c r="N201" s="341" t="s">
        <v>613</v>
      </c>
      <c r="O201" s="256">
        <f>IF(ISERROR(HLOOKUP(J202,$Q$63:$AA$64,2)),0,HLOOKUP(J202,$Q$63:$AA$64,2))</f>
        <v>0</v>
      </c>
      <c r="P201" s="144">
        <f>IF(ISERROR(HLOOKUP(K202,$Q$63:$AA$64,2)),0,HLOOKUP(K202,$Q$63:$AA$64,2))</f>
        <v>0</v>
      </c>
      <c r="Q201" s="144">
        <f>IF(ISERROR(HLOOKUP(L202,$Q$63:$AA$64,2)),0,HLOOKUP(L202,$Q$63:$AA$64,2))</f>
        <v>0</v>
      </c>
      <c r="R201" s="342" t="s">
        <v>695</v>
      </c>
    </row>
    <row r="202" spans="1:45" ht="12.75" hidden="1" customHeight="1" thickBot="1" x14ac:dyDescent="0.2">
      <c r="A202" s="259">
        <v>41</v>
      </c>
      <c r="B202" s="340" t="s">
        <v>626</v>
      </c>
      <c r="C202" s="21">
        <f>IF($N$8&gt;=$R$202,#REF!,$Q$19)</f>
        <v>0</v>
      </c>
      <c r="D202" s="343">
        <f>IF($C$202=$N$201,$O$201,$O$202)</f>
        <v>0</v>
      </c>
      <c r="E202" s="343">
        <f>IF($C$202=$N$201,$P$201,$P$202)</f>
        <v>0</v>
      </c>
      <c r="F202" s="343">
        <f>IF($C$202=$N$201,$Q$201,$Q$202)</f>
        <v>0</v>
      </c>
      <c r="G202" s="113">
        <f>SUM($F$30:$F$32)</f>
        <v>0</v>
      </c>
      <c r="H202" s="103">
        <f>SUM($F$30:$F$32)+$J$51</f>
        <v>0</v>
      </c>
      <c r="I202" s="103">
        <f>SUM($F$30:$F$32)+$J$51+$J$60</f>
        <v>0</v>
      </c>
      <c r="J202" s="21">
        <f t="shared" si="42"/>
        <v>0</v>
      </c>
      <c r="K202" s="21">
        <f t="shared" si="43"/>
        <v>0</v>
      </c>
      <c r="L202" s="21">
        <f t="shared" si="44"/>
        <v>0</v>
      </c>
      <c r="M202" s="78" t="s">
        <v>661</v>
      </c>
      <c r="N202" s="344" t="s">
        <v>547</v>
      </c>
      <c r="O202" s="257">
        <f>IF(ISERROR(HLOOKUP(J202,$Q$73:$W$74,2)),0,HLOOKUP(J202,$Q$73:$W$74,2))</f>
        <v>0</v>
      </c>
      <c r="P202" s="145">
        <f>IF(ISERROR(HLOOKUP(K202,$Q$73:$W$74,2)),0,HLOOKUP(K202,$Q$73:$W$74,2))</f>
        <v>0</v>
      </c>
      <c r="Q202" s="145">
        <f>IF(ISERROR(HLOOKUP(L202,$Q$73:$W$74,2)),0,HLOOKUP(L202,$Q$73:$W$74,2))</f>
        <v>0</v>
      </c>
      <c r="R202" s="146">
        <v>36539</v>
      </c>
      <c r="S202" s="103"/>
      <c r="T202" s="103"/>
    </row>
    <row r="203" spans="1:45" ht="12.75" hidden="1" customHeight="1" x14ac:dyDescent="0.15">
      <c r="A203" s="259">
        <v>42</v>
      </c>
      <c r="B203" s="340" t="s">
        <v>627</v>
      </c>
      <c r="C203" s="21"/>
      <c r="D203" s="54"/>
      <c r="E203" s="54"/>
      <c r="F203" s="54"/>
      <c r="G203" s="113">
        <f>SUM($F$27:$F$32)</f>
        <v>0</v>
      </c>
      <c r="H203" s="103">
        <f>SUM($F$27:$F$32)+$J$51</f>
        <v>0</v>
      </c>
      <c r="I203" s="103">
        <f>SUM($F$27:$F$32)+$J$51+$J$60</f>
        <v>0</v>
      </c>
      <c r="J203" s="21">
        <f t="shared" si="42"/>
        <v>0</v>
      </c>
      <c r="K203" s="21">
        <f t="shared" si="43"/>
        <v>0</v>
      </c>
      <c r="L203" s="21">
        <f t="shared" si="44"/>
        <v>0</v>
      </c>
      <c r="M203" s="78" t="s">
        <v>661</v>
      </c>
      <c r="P203" s="44"/>
      <c r="Q203" s="44"/>
    </row>
    <row r="204" spans="1:45" ht="12.75" hidden="1" customHeight="1" x14ac:dyDescent="0.15">
      <c r="A204" s="259">
        <v>43</v>
      </c>
      <c r="B204" s="340" t="s">
        <v>628</v>
      </c>
      <c r="C204" s="21" t="s">
        <v>527</v>
      </c>
      <c r="D204" s="104">
        <f>IF(ISERROR(HLOOKUP(J204,$Q$26:$AY$27,2)),0,HLOOKUP(J204,$Q$26:$AY$27,2))</f>
        <v>0</v>
      </c>
      <c r="E204" s="104">
        <f>IF(ISERROR(HLOOKUP(K204,$Q$26:$AY$27,2)),0,HLOOKUP(K204,$Q$26:$AY$27,2))</f>
        <v>0</v>
      </c>
      <c r="F204" s="104">
        <f>IF(ISERROR(HLOOKUP(L204,$Q$26:$AY$27,2)),0,HLOOKUP(L204,$Q$26:$AY$27,2))</f>
        <v>0</v>
      </c>
      <c r="G204" s="113">
        <f>SUM($F$27:$F$33)</f>
        <v>0</v>
      </c>
      <c r="H204" s="103">
        <f>SUM($F$27:$F$33)+$J$51</f>
        <v>0</v>
      </c>
      <c r="I204" s="103">
        <f>SUM($F$27:$F$33)+$J$51+$J$60</f>
        <v>0</v>
      </c>
      <c r="J204" s="21">
        <f t="shared" si="42"/>
        <v>0</v>
      </c>
      <c r="K204" s="21">
        <f t="shared" si="43"/>
        <v>0</v>
      </c>
      <c r="L204" s="21">
        <f t="shared" si="44"/>
        <v>0</v>
      </c>
      <c r="M204" s="78" t="s">
        <v>661</v>
      </c>
      <c r="P204" s="44"/>
      <c r="Q204" s="44"/>
    </row>
    <row r="205" spans="1:45" ht="12.75" hidden="1" customHeight="1" x14ac:dyDescent="0.15">
      <c r="A205" s="259">
        <v>44</v>
      </c>
      <c r="B205" s="340" t="s">
        <v>629</v>
      </c>
      <c r="C205" s="21" t="s">
        <v>547</v>
      </c>
      <c r="D205" s="104">
        <f t="shared" ref="D205:F206" si="45">IF(ISERROR(HLOOKUP(J205,$Q$73:$W$74,2)),0,HLOOKUP(J205,$Q$73:$W$74,2))</f>
        <v>0</v>
      </c>
      <c r="E205" s="104">
        <f t="shared" si="45"/>
        <v>0</v>
      </c>
      <c r="F205" s="104">
        <f t="shared" si="45"/>
        <v>0</v>
      </c>
      <c r="G205" s="113">
        <f>SUM($F$27:$F$32)</f>
        <v>0</v>
      </c>
      <c r="H205" s="103">
        <f>SUM($F$27:$F$32)+$J$51</f>
        <v>0</v>
      </c>
      <c r="I205" s="103">
        <f>SUM($F$27:$F$32)+$J$51+$J$60</f>
        <v>0</v>
      </c>
      <c r="J205" s="21">
        <f t="shared" si="42"/>
        <v>0</v>
      </c>
      <c r="K205" s="21">
        <f t="shared" si="43"/>
        <v>0</v>
      </c>
      <c r="L205" s="21">
        <f t="shared" si="44"/>
        <v>0</v>
      </c>
      <c r="M205" s="78" t="s">
        <v>661</v>
      </c>
      <c r="P205" s="44"/>
      <c r="Q205" s="44"/>
    </row>
    <row r="206" spans="1:45" ht="12.75" hidden="1" customHeight="1" x14ac:dyDescent="0.15">
      <c r="A206" s="259">
        <v>45</v>
      </c>
      <c r="B206" s="340" t="s">
        <v>630</v>
      </c>
      <c r="C206" s="21" t="s">
        <v>547</v>
      </c>
      <c r="D206" s="104">
        <f t="shared" si="45"/>
        <v>0</v>
      </c>
      <c r="E206" s="104">
        <f t="shared" si="45"/>
        <v>0</v>
      </c>
      <c r="F206" s="104">
        <f t="shared" si="45"/>
        <v>0</v>
      </c>
      <c r="G206" s="113">
        <f>SUM($F$27:$F$32)</f>
        <v>0</v>
      </c>
      <c r="H206" s="103">
        <f>SUM($F$27:$F$32)+$J$51</f>
        <v>0</v>
      </c>
      <c r="I206" s="103">
        <f>SUM($F$27:$F$32)+$J$51+$J$60</f>
        <v>0</v>
      </c>
      <c r="J206" s="21">
        <f t="shared" si="42"/>
        <v>0</v>
      </c>
      <c r="K206" s="21">
        <f t="shared" si="43"/>
        <v>0</v>
      </c>
      <c r="L206" s="21">
        <f t="shared" si="44"/>
        <v>0</v>
      </c>
      <c r="M206" s="78" t="s">
        <v>661</v>
      </c>
      <c r="P206" s="44"/>
      <c r="Q206" s="44"/>
    </row>
    <row r="207" spans="1:45" ht="12.75" hidden="1" customHeight="1" x14ac:dyDescent="0.15">
      <c r="A207" s="259">
        <v>46</v>
      </c>
      <c r="B207" s="340" t="s">
        <v>631</v>
      </c>
      <c r="C207" s="21" t="s">
        <v>527</v>
      </c>
      <c r="D207" s="104">
        <f>IF(ISERROR(HLOOKUP(J207,$Q$26:$AY$27,2)),0,HLOOKUP(J207,$Q$26:$AY$27,2))</f>
        <v>0</v>
      </c>
      <c r="E207" s="104">
        <f>IF(ISERROR(HLOOKUP(K207,$Q$26:$AY$27,2)),0,HLOOKUP(K207,$Q$26:$AY$27,2))</f>
        <v>0</v>
      </c>
      <c r="F207" s="104">
        <f>IF(ISERROR(HLOOKUP(L207,$Q$26:$AY$27,2)),0,HLOOKUP(L207,$Q$26:$AY$27,2))</f>
        <v>0</v>
      </c>
      <c r="G207" s="113">
        <f>SUM($F$27:$F$32)</f>
        <v>0</v>
      </c>
      <c r="H207" s="103">
        <f>SUM($F$27:$F$32)+$J$51</f>
        <v>0</v>
      </c>
      <c r="I207" s="103">
        <f>SUM($F$27:$F$32)+$J$51+$J$60</f>
        <v>0</v>
      </c>
      <c r="J207" s="21">
        <f t="shared" si="42"/>
        <v>0</v>
      </c>
      <c r="K207" s="21">
        <f t="shared" ref="K207:K217" si="46">ROUNDDOWN(H207/365,0)</f>
        <v>0</v>
      </c>
      <c r="L207" s="21">
        <f t="shared" si="44"/>
        <v>0</v>
      </c>
      <c r="M207" s="78" t="s">
        <v>661</v>
      </c>
      <c r="P207" s="44"/>
      <c r="Q207" s="44"/>
    </row>
    <row r="208" spans="1:45" ht="12.75" hidden="1" customHeight="1" x14ac:dyDescent="0.15">
      <c r="A208" s="259">
        <v>47</v>
      </c>
      <c r="B208" s="340" t="s">
        <v>632</v>
      </c>
      <c r="C208" s="21" t="s">
        <v>613</v>
      </c>
      <c r="D208" s="104">
        <f>IF(ISERROR(HLOOKUP(J208,$Q$48:$Z$49,2)),0,HLOOKUP(J208,$Q$48:$Z$49,2))</f>
        <v>0</v>
      </c>
      <c r="E208" s="104">
        <f>IF(ISERROR(HLOOKUP(K208,$Q$48:$Z$49,2)),0,HLOOKUP(K208,$Q$48:$Z$49,2))</f>
        <v>0</v>
      </c>
      <c r="F208" s="104">
        <f>IF(ISERROR(HLOOKUP(L208,$Q$48:$Z$49,2)),0,HLOOKUP(L208,$Q$48:$Z$49,2))</f>
        <v>0</v>
      </c>
      <c r="G208" s="113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42"/>
        <v>0</v>
      </c>
      <c r="K208" s="21">
        <f t="shared" si="46"/>
        <v>0</v>
      </c>
      <c r="L208" s="21">
        <f t="shared" si="44"/>
        <v>0</v>
      </c>
      <c r="M208" s="78" t="s">
        <v>661</v>
      </c>
      <c r="P208" s="44"/>
      <c r="Q208" s="44"/>
    </row>
    <row r="209" spans="1:33" ht="12.75" hidden="1" customHeight="1" x14ac:dyDescent="0.15">
      <c r="A209" s="259">
        <v>48</v>
      </c>
      <c r="B209" s="340" t="s">
        <v>633</v>
      </c>
      <c r="C209" s="21" t="s">
        <v>613</v>
      </c>
      <c r="D209" s="104">
        <f>IF(ISERROR(HLOOKUP(J209,$Q$48:$AJ$49,2)),0,HLOOKUP(J209,$Q$48:$AJ$49,2))</f>
        <v>0</v>
      </c>
      <c r="E209" s="104">
        <f>IF(ISERROR(HLOOKUP(K209,$Q$48:$AJ$49,2)),0,HLOOKUP(K209,$Q$48:$AJ$49,2))</f>
        <v>0</v>
      </c>
      <c r="F209" s="104">
        <f>IF(ISERROR(HLOOKUP(L209,$Q$48:$AJ$49,2)),0,HLOOKUP(L209,$Q$48:$AJ$49,2))</f>
        <v>0</v>
      </c>
      <c r="G209" s="113">
        <f>SUM($F$30:$F$33)</f>
        <v>0</v>
      </c>
      <c r="H209" s="103">
        <f>SUM($F$30:$F$33)+$J$51</f>
        <v>0</v>
      </c>
      <c r="I209" s="103">
        <f>SUM($F$30:$F$33)+$J$51+$J$60</f>
        <v>0</v>
      </c>
      <c r="J209" s="21">
        <f t="shared" si="42"/>
        <v>0</v>
      </c>
      <c r="K209" s="21">
        <f t="shared" si="46"/>
        <v>0</v>
      </c>
      <c r="L209" s="21">
        <f t="shared" si="44"/>
        <v>0</v>
      </c>
      <c r="M209" s="78" t="s">
        <v>661</v>
      </c>
      <c r="P209" s="44"/>
      <c r="Q209" s="44"/>
    </row>
    <row r="210" spans="1:33" ht="12.75" hidden="1" customHeight="1" x14ac:dyDescent="0.15">
      <c r="A210" s="259">
        <v>49</v>
      </c>
      <c r="B210" s="340" t="s">
        <v>634</v>
      </c>
      <c r="C210" s="21" t="s">
        <v>613</v>
      </c>
      <c r="D210" s="104">
        <f>IF(ISERROR(HLOOKUP(J210,$Q$48:$Z$49,2)),0,HLOOKUP(J210,$Q$48:$Z$49,2))</f>
        <v>0</v>
      </c>
      <c r="E210" s="104">
        <f>IF(ISERROR(HLOOKUP(K210,$Q$48:$Z$49,2)),0,HLOOKUP(K210,$Q$48:$Z$49,2))</f>
        <v>0</v>
      </c>
      <c r="F210" s="104">
        <f>IF(ISERROR(HLOOKUP(L210,$Q$48:$Z$49,2)),0,HLOOKUP(L210,$Q$48:$Z$49,2))</f>
        <v>0</v>
      </c>
      <c r="G210" s="113">
        <f>SUM($F$30:$F$33)</f>
        <v>0</v>
      </c>
      <c r="H210" s="103">
        <f>SUM($F$30:$F$33)+$J$51</f>
        <v>0</v>
      </c>
      <c r="I210" s="103">
        <f>SUM($F$30:$F$33)+$J$51+$J$60</f>
        <v>0</v>
      </c>
      <c r="J210" s="21">
        <f t="shared" si="42"/>
        <v>0</v>
      </c>
      <c r="K210" s="21">
        <f t="shared" si="46"/>
        <v>0</v>
      </c>
      <c r="L210" s="21">
        <f t="shared" si="44"/>
        <v>0</v>
      </c>
      <c r="M210" s="78" t="s">
        <v>661</v>
      </c>
      <c r="P210" s="44"/>
      <c r="Q210" s="44"/>
    </row>
    <row r="211" spans="1:33" ht="12.75" hidden="1" customHeight="1" x14ac:dyDescent="0.15">
      <c r="A211" s="259">
        <v>50</v>
      </c>
      <c r="B211" s="340" t="s">
        <v>635</v>
      </c>
      <c r="C211" s="21" t="s">
        <v>613</v>
      </c>
      <c r="D211" s="104">
        <f>IF(ISERROR(HLOOKUP(J211,$Q$39:$AB$40,2)),0,HLOOKUP(J211,$Q$39:$AB$40,2))</f>
        <v>0</v>
      </c>
      <c r="E211" s="104">
        <f>IF(ISERROR(HLOOKUP(K211,$Q$39:$AB$40,2)),0,HLOOKUP(K211,$Q$39:$AB$40,2))</f>
        <v>0</v>
      </c>
      <c r="F211" s="104">
        <f>IF(ISERROR(HLOOKUP(L211,$Q$39:$AB$40,2)),0,HLOOKUP(L211,$Q$39:$AB$40,2))</f>
        <v>0</v>
      </c>
      <c r="G211" s="113">
        <f>SUM($F$30:$F$32)</f>
        <v>0</v>
      </c>
      <c r="H211" s="103">
        <f>SUM($F$30:$F$32)+$J$51</f>
        <v>0</v>
      </c>
      <c r="I211" s="103">
        <f>SUM($F$30:$F$32)+$J$51+$J$60</f>
        <v>0</v>
      </c>
      <c r="J211" s="21">
        <f t="shared" si="42"/>
        <v>0</v>
      </c>
      <c r="K211" s="21">
        <f t="shared" si="46"/>
        <v>0</v>
      </c>
      <c r="L211" s="21">
        <f t="shared" si="44"/>
        <v>0</v>
      </c>
      <c r="M211" s="78" t="s">
        <v>661</v>
      </c>
      <c r="P211" s="44"/>
      <c r="Q211" s="44"/>
    </row>
    <row r="212" spans="1:33" ht="12.75" hidden="1" customHeight="1" x14ac:dyDescent="0.15">
      <c r="A212" s="259">
        <v>51</v>
      </c>
      <c r="B212" s="340" t="s">
        <v>636</v>
      </c>
      <c r="C212" s="21" t="s">
        <v>613</v>
      </c>
      <c r="D212" s="104">
        <f>IF(ISERROR(HLOOKUP(J212,$Q$39:$AA$40,2)),0,HLOOKUP(J212,$Q$39:$AA$40,2))</f>
        <v>0</v>
      </c>
      <c r="E212" s="104">
        <f>IF(ISERROR(HLOOKUP(K212,$Q$39:$AA$40,2)),0,HLOOKUP(K212,$Q$39:$AA$40,2))</f>
        <v>0</v>
      </c>
      <c r="F212" s="104">
        <f>IF(ISERROR(HLOOKUP(L212,$Q$39:$AA$40,2)),0,HLOOKUP(L212,$Q$39:$AA$40,2))</f>
        <v>0</v>
      </c>
      <c r="G212" s="113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42"/>
        <v>0</v>
      </c>
      <c r="K212" s="21">
        <f t="shared" si="46"/>
        <v>0</v>
      </c>
      <c r="L212" s="21">
        <f t="shared" si="44"/>
        <v>0</v>
      </c>
      <c r="M212" s="78" t="s">
        <v>661</v>
      </c>
      <c r="P212" s="44"/>
      <c r="Q212" s="44"/>
    </row>
    <row r="213" spans="1:33" ht="12.75" hidden="1" customHeight="1" x14ac:dyDescent="0.15">
      <c r="A213" s="259">
        <v>52</v>
      </c>
      <c r="B213" s="340" t="s">
        <v>637</v>
      </c>
      <c r="C213" s="21" t="s">
        <v>613</v>
      </c>
      <c r="D213" s="104">
        <f>IF(ISERROR(HLOOKUP(J213,$Q$66:$X$67,2)),0,HLOOKUP(J213,$Q$66:$X$67,2))</f>
        <v>0</v>
      </c>
      <c r="E213" s="104">
        <f>IF(ISERROR(HLOOKUP(K213,$Q$66:$X$67,2)),0,HLOOKUP(K213,$Q$66:$X$67,2))</f>
        <v>0</v>
      </c>
      <c r="F213" s="104">
        <f>IF(ISERROR(HLOOKUP(L213,$Q$66:$X$67,2)),0,HLOOKUP(L213,$Q$66:$X$67,2))</f>
        <v>0</v>
      </c>
      <c r="G213" s="113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42"/>
        <v>0</v>
      </c>
      <c r="K213" s="21">
        <f t="shared" si="46"/>
        <v>0</v>
      </c>
      <c r="L213" s="21">
        <f t="shared" si="44"/>
        <v>0</v>
      </c>
      <c r="M213" s="78" t="s">
        <v>661</v>
      </c>
      <c r="P213" s="44"/>
      <c r="Q213" s="44"/>
    </row>
    <row r="214" spans="1:33" ht="12.75" hidden="1" customHeight="1" x14ac:dyDescent="0.15">
      <c r="A214" s="259">
        <v>53</v>
      </c>
      <c r="B214" s="340" t="s">
        <v>638</v>
      </c>
      <c r="C214" s="21" t="s">
        <v>613</v>
      </c>
      <c r="D214" s="104">
        <f>IF(ISERROR(HLOOKUP(J214,$Q$48:$AA$49,2)),0,HLOOKUP(J214,$Q$48:$AA$49,2))</f>
        <v>0</v>
      </c>
      <c r="E214" s="104">
        <f>IF(ISERROR(HLOOKUP(K214,$Q$48:$AA$49,2)),0,HLOOKUP(K214,$Q$48:$AA$49,2))</f>
        <v>0</v>
      </c>
      <c r="F214" s="104">
        <f>IF(ISERROR(HLOOKUP(L214,$Q$48:$AA$49,2)),0,HLOOKUP(L214,$Q$48:$AA$49,2))</f>
        <v>0</v>
      </c>
      <c r="G214" s="113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42"/>
        <v>0</v>
      </c>
      <c r="K214" s="21">
        <f t="shared" si="46"/>
        <v>0</v>
      </c>
      <c r="L214" s="21">
        <f t="shared" si="44"/>
        <v>0</v>
      </c>
      <c r="M214" s="78" t="s">
        <v>661</v>
      </c>
      <c r="P214" s="44"/>
      <c r="Q214" s="44"/>
    </row>
    <row r="215" spans="1:33" ht="12.75" hidden="1" customHeight="1" x14ac:dyDescent="0.15">
      <c r="A215" s="259">
        <v>54</v>
      </c>
      <c r="B215" s="340" t="s">
        <v>639</v>
      </c>
      <c r="C215" s="21" t="s">
        <v>613</v>
      </c>
      <c r="D215" s="104">
        <f>IF(ISERROR(HLOOKUP(J215,$Q$39:$AA$40,2)),0,HLOOKUP(J215,$Q$39:$AA$40,2))</f>
        <v>0</v>
      </c>
      <c r="E215" s="104">
        <f>IF(ISERROR(HLOOKUP(K215,$Q$39:$AA$40,2)),0,HLOOKUP(K215,$Q$39:$AA$40,2))</f>
        <v>0</v>
      </c>
      <c r="F215" s="104">
        <f>IF(ISERROR(HLOOKUP(L215,$Q$39:$AA$40,2)),0,HLOOKUP(L215,$Q$39:$AA$40,2))</f>
        <v>0</v>
      </c>
      <c r="G215" s="113">
        <f>SUM($F$27:$F$32)</f>
        <v>0</v>
      </c>
      <c r="H215" s="103">
        <f>SUM($F$27:$F$32)+$J$51</f>
        <v>0</v>
      </c>
      <c r="I215" s="103">
        <f>SUM($F$27:$F$32)+$J$51+$J$60</f>
        <v>0</v>
      </c>
      <c r="J215" s="21">
        <f t="shared" si="42"/>
        <v>0</v>
      </c>
      <c r="K215" s="21">
        <f t="shared" si="46"/>
        <v>0</v>
      </c>
      <c r="L215" s="21">
        <f t="shared" si="44"/>
        <v>0</v>
      </c>
      <c r="M215" s="78" t="s">
        <v>661</v>
      </c>
      <c r="P215" s="44"/>
      <c r="Q215" s="44"/>
    </row>
    <row r="216" spans="1:33" ht="12.75" hidden="1" customHeight="1" x14ac:dyDescent="0.15">
      <c r="A216" s="259">
        <v>55</v>
      </c>
      <c r="B216" s="340" t="s">
        <v>640</v>
      </c>
      <c r="C216" s="21" t="s">
        <v>613</v>
      </c>
      <c r="D216" s="104">
        <f>IF(ISERROR(HLOOKUP(J216,$Q$60:$AA$61,2)),0,HLOOKUP(J216,$Q$60:$AA$61,2))</f>
        <v>0</v>
      </c>
      <c r="E216" s="104">
        <f>IF(ISERROR(HLOOKUP(K216,$Q$60:$AA$61,2)),0,HLOOKUP(K216,$Q$60:$AA$61,2))</f>
        <v>0</v>
      </c>
      <c r="F216" s="104">
        <f>IF(ISERROR(HLOOKUP(L216,$Q$60:$AA$61,2)),0,HLOOKUP(L216,$Q$60:$AA$61,2))</f>
        <v>0</v>
      </c>
      <c r="G216" s="113">
        <f>SUM($F$30:$F$32)</f>
        <v>0</v>
      </c>
      <c r="H216" s="103">
        <f>SUM($F$30:$F$32)+$J$51</f>
        <v>0</v>
      </c>
      <c r="I216" s="103">
        <f>SUM($F$30:$F$32)+$J$51+$J$60</f>
        <v>0</v>
      </c>
      <c r="J216" s="21">
        <f t="shared" si="42"/>
        <v>0</v>
      </c>
      <c r="K216" s="21">
        <f t="shared" si="46"/>
        <v>0</v>
      </c>
      <c r="L216" s="21">
        <f t="shared" si="44"/>
        <v>0</v>
      </c>
      <c r="M216" s="78" t="s">
        <v>661</v>
      </c>
      <c r="P216" s="44"/>
      <c r="Q216" s="44"/>
    </row>
    <row r="217" spans="1:33" ht="12.75" hidden="1" customHeight="1" x14ac:dyDescent="0.15">
      <c r="A217" s="259">
        <v>56</v>
      </c>
      <c r="B217" s="340" t="s">
        <v>683</v>
      </c>
      <c r="C217" s="21" t="s">
        <v>547</v>
      </c>
      <c r="D217" s="104">
        <f>IF(ISERROR(HLOOKUP(J217,$Q$81:$W$82,2)),0,HLOOKUP(J217,$Q$81:$W$82,2))</f>
        <v>0</v>
      </c>
      <c r="E217" s="104">
        <f>IF(ISERROR(HLOOKUP(K217,$Q$81:$W$82,2)),0,HLOOKUP(K217,$Q$81:$W$82,2))</f>
        <v>0</v>
      </c>
      <c r="F217" s="104">
        <f>IF(ISERROR(HLOOKUP(L217,$Q$81:$W$82,2)),0,HLOOKUP(L217,$Q$81:$W$82,2))</f>
        <v>0</v>
      </c>
      <c r="G217" s="113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ref="J217:J222" si="47">ROUNDDOWN(G217/365,0)</f>
        <v>0</v>
      </c>
      <c r="K217" s="21">
        <f t="shared" si="46"/>
        <v>0</v>
      </c>
      <c r="L217" s="21">
        <f t="shared" ref="L217:L222" si="48">ROUNDDOWN(I217/365,0)</f>
        <v>0</v>
      </c>
      <c r="M217" s="78" t="s">
        <v>661</v>
      </c>
      <c r="P217" s="44"/>
      <c r="Q217" s="44"/>
    </row>
    <row r="218" spans="1:33" ht="12.75" hidden="1" customHeight="1" x14ac:dyDescent="0.15">
      <c r="A218" s="259">
        <v>57</v>
      </c>
      <c r="B218" s="340" t="s">
        <v>699</v>
      </c>
      <c r="C218" s="21" t="s">
        <v>613</v>
      </c>
      <c r="D218" s="104">
        <f>IF(ISERROR(HLOOKUP(J218,$Q$48:$AA$49,2)),0,HLOOKUP(J218,$Q$48:$AA$49,2))</f>
        <v>0</v>
      </c>
      <c r="E218" s="104">
        <f>IF(ISERROR(HLOOKUP(K218,$Q$48:$AA$49,2)),0,HLOOKUP(K218,$Q$48:$AA$49,2))</f>
        <v>0</v>
      </c>
      <c r="F218" s="104">
        <f>IF(ISERROR(HLOOKUP(L218,$Q$48:$AA$49,2)),0,HLOOKUP(L218,$Q$48:$AA$49,2))</f>
        <v>0</v>
      </c>
      <c r="G218" s="113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47"/>
        <v>0</v>
      </c>
      <c r="K218" s="21">
        <f t="shared" ref="K218:K229" si="49">ROUNDDOWN(H218/365,0)</f>
        <v>0</v>
      </c>
      <c r="L218" s="21">
        <f t="shared" si="48"/>
        <v>0</v>
      </c>
      <c r="M218" s="78" t="s">
        <v>661</v>
      </c>
      <c r="P218" s="44"/>
      <c r="Q218" s="44"/>
    </row>
    <row r="219" spans="1:33" ht="12.75" hidden="1" customHeight="1" x14ac:dyDescent="0.15">
      <c r="A219" s="259">
        <v>58</v>
      </c>
      <c r="B219" s="340" t="s">
        <v>641</v>
      </c>
      <c r="C219" s="21" t="s">
        <v>613</v>
      </c>
      <c r="D219" s="104">
        <f>IF(ISERROR(HLOOKUP(J219,$Q$69:$AC$70,2)),0,HLOOKUP(J219,$Q$69:$AC$70,2))</f>
        <v>0</v>
      </c>
      <c r="E219" s="104">
        <f>IF(ISERROR(HLOOKUP(K219,$Q$69:$AC$70,2)),0,HLOOKUP(K219,$Q$69:$AC$70,2))</f>
        <v>0</v>
      </c>
      <c r="F219" s="104">
        <f>IF(ISERROR(HLOOKUP(L219,$Q$69:$AC$70,2)),0,HLOOKUP(L219,$Q$69:$AC$70,2))</f>
        <v>0</v>
      </c>
      <c r="G219" s="113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47"/>
        <v>0</v>
      </c>
      <c r="K219" s="21">
        <f t="shared" si="49"/>
        <v>0</v>
      </c>
      <c r="L219" s="21">
        <f t="shared" si="48"/>
        <v>0</v>
      </c>
      <c r="M219" s="78" t="s">
        <v>661</v>
      </c>
      <c r="P219" s="44"/>
      <c r="Q219" s="44"/>
    </row>
    <row r="220" spans="1:33" ht="12.75" hidden="1" customHeight="1" x14ac:dyDescent="0.15">
      <c r="A220" s="259">
        <v>59</v>
      </c>
      <c r="B220" s="340" t="s">
        <v>642</v>
      </c>
      <c r="C220" s="21" t="s">
        <v>613</v>
      </c>
      <c r="D220" s="104">
        <f>IF(ISERROR(HLOOKUP(J220,$Q$39:$AB$40,2)),0,HLOOKUP(J220,$Q$39:$AB$40,2))</f>
        <v>0</v>
      </c>
      <c r="E220" s="104">
        <f>IF(ISERROR(HLOOKUP(K220,$Q$39:$AB$40,2)),0,HLOOKUP(K220,$Q$39:$AB$40,2))</f>
        <v>0</v>
      </c>
      <c r="F220" s="104">
        <f>IF(ISERROR(HLOOKUP(L220,$Q$39:$AB$40,2)),0,HLOOKUP(L220,$Q$39:$AB$40,2))</f>
        <v>0</v>
      </c>
      <c r="G220" s="113">
        <f>SUM($F$27:$F$33)</f>
        <v>0</v>
      </c>
      <c r="H220" s="103">
        <f>SUM($F$27:$F$33)+$J$51</f>
        <v>0</v>
      </c>
      <c r="I220" s="103">
        <f>SUM($F$27:$F$33)+$J$51+$J$60</f>
        <v>0</v>
      </c>
      <c r="J220" s="21">
        <f t="shared" si="47"/>
        <v>0</v>
      </c>
      <c r="K220" s="21">
        <f t="shared" si="49"/>
        <v>0</v>
      </c>
      <c r="L220" s="21">
        <f t="shared" si="48"/>
        <v>0</v>
      </c>
      <c r="M220" s="78" t="s">
        <v>661</v>
      </c>
      <c r="P220" s="44"/>
      <c r="Q220" s="44"/>
      <c r="AC220" s="69"/>
      <c r="AD220" s="69"/>
      <c r="AE220" s="69"/>
      <c r="AF220" s="69"/>
      <c r="AG220" s="69"/>
    </row>
    <row r="221" spans="1:33" ht="12.75" hidden="1" customHeight="1" x14ac:dyDescent="0.15">
      <c r="A221" s="259">
        <v>60</v>
      </c>
      <c r="B221" s="340" t="s">
        <v>643</v>
      </c>
      <c r="C221" s="21" t="s">
        <v>547</v>
      </c>
      <c r="D221" s="104">
        <f>IF(ISERROR(HLOOKUP(J221,$Q$81:$W$82,2)),0,HLOOKUP(J221,$Q$81:$W$82,2))</f>
        <v>0</v>
      </c>
      <c r="E221" s="104">
        <f>IF(ISERROR(HLOOKUP(K221,$Q$81:$W$82,2)),0,HLOOKUP(K221,$Q$81:$W$82,2))</f>
        <v>0</v>
      </c>
      <c r="F221" s="104">
        <f>IF(ISERROR(HLOOKUP(L221,$Q$81:$W$82,2)),0,HLOOKUP(L221,$Q$81:$W$82,2))</f>
        <v>0</v>
      </c>
      <c r="G221" s="113">
        <f>SUM($F$30:$F$33)</f>
        <v>0</v>
      </c>
      <c r="H221" s="103">
        <f>SUM($F$30:$F$33)+$J$51</f>
        <v>0</v>
      </c>
      <c r="I221" s="103">
        <f>SUM($F$30:$F$33)+$J$51+$J$60</f>
        <v>0</v>
      </c>
      <c r="J221" s="21">
        <f t="shared" si="47"/>
        <v>0</v>
      </c>
      <c r="K221" s="21">
        <f t="shared" si="49"/>
        <v>0</v>
      </c>
      <c r="L221" s="21">
        <f t="shared" si="48"/>
        <v>0</v>
      </c>
      <c r="M221" s="78" t="s">
        <v>661</v>
      </c>
      <c r="P221" s="44"/>
      <c r="Q221" s="44"/>
      <c r="AC221" s="69"/>
      <c r="AD221" s="69"/>
      <c r="AE221" s="69"/>
      <c r="AF221" s="69"/>
      <c r="AG221" s="69"/>
    </row>
    <row r="222" spans="1:33" ht="12.75" hidden="1" customHeight="1" x14ac:dyDescent="0.15">
      <c r="A222" s="259">
        <v>61</v>
      </c>
      <c r="B222" s="340" t="s">
        <v>644</v>
      </c>
      <c r="C222" s="21" t="s">
        <v>613</v>
      </c>
      <c r="D222" s="104">
        <f>IF(ISERROR(HLOOKUP(J222,$Q$39:$AA$40,2)),0,HLOOKUP(J222,$Q$39:$AA$40,2))</f>
        <v>0</v>
      </c>
      <c r="E222" s="104">
        <f>IF(ISERROR(HLOOKUP(K222,$Q$39:$AA$40,2)),0,HLOOKUP(K222,$Q$39:$AA$40,2))</f>
        <v>0</v>
      </c>
      <c r="F222" s="104">
        <f>IF(ISERROR(HLOOKUP(L222,$Q$39:$AA$40,2)),0,HLOOKUP(L222,$Q$39:$AA$40,2))</f>
        <v>0</v>
      </c>
      <c r="G222" s="113">
        <f>SUM($F$27:$F$33)</f>
        <v>0</v>
      </c>
      <c r="H222" s="103">
        <f>SUM($F$27:$F$33)+$J$51</f>
        <v>0</v>
      </c>
      <c r="I222" s="103">
        <f>SUM($F$27:$F$33)+$J$51+$J$60</f>
        <v>0</v>
      </c>
      <c r="J222" s="21">
        <f t="shared" si="47"/>
        <v>0</v>
      </c>
      <c r="K222" s="21">
        <f t="shared" si="49"/>
        <v>0</v>
      </c>
      <c r="L222" s="21">
        <f t="shared" si="48"/>
        <v>0</v>
      </c>
      <c r="M222" s="78" t="s">
        <v>661</v>
      </c>
      <c r="P222" s="44"/>
      <c r="Q222" s="44"/>
      <c r="AC222" s="69"/>
      <c r="AD222" s="69"/>
      <c r="AE222" s="69"/>
      <c r="AF222" s="69"/>
      <c r="AG222" s="69"/>
    </row>
    <row r="223" spans="1:33" ht="12.75" hidden="1" customHeight="1" x14ac:dyDescent="0.15">
      <c r="A223" s="259">
        <v>62</v>
      </c>
      <c r="B223" s="345" t="s">
        <v>645</v>
      </c>
      <c r="C223" s="21" t="s">
        <v>527</v>
      </c>
      <c r="D223" s="104">
        <f>IF(ISERROR(HLOOKUP(J223,$Q$26:$AY$27,2)),0,HLOOKUP(J223,$Q$26:$AY$27,2))</f>
        <v>0</v>
      </c>
      <c r="E223" s="104">
        <f>IF(ISERROR(HLOOKUP(K223,$Q$26:$AY$27,2)),0,HLOOKUP(K223,$Q$26:$AY$27,2))</f>
        <v>0</v>
      </c>
      <c r="F223" s="104">
        <f>IF(ISERROR(HLOOKUP(L223,$Q$26:$AY$27,2)),0,HLOOKUP(L223,$Q$26:$AY$27,2))</f>
        <v>0</v>
      </c>
      <c r="G223" s="113">
        <f>SUM($F$30:$F$32)</f>
        <v>0</v>
      </c>
      <c r="H223" s="103">
        <f>SUM($F$27:$F$32)+$J$51</f>
        <v>0</v>
      </c>
      <c r="I223" s="103">
        <f>SUM($F$27:$F$32)+$J$51+$J$60</f>
        <v>0</v>
      </c>
      <c r="J223" s="21">
        <f t="shared" ref="J223:J254" si="50">ROUNDDOWN(G223/365,0)</f>
        <v>0</v>
      </c>
      <c r="K223" s="21">
        <f t="shared" si="49"/>
        <v>0</v>
      </c>
      <c r="L223" s="21">
        <f t="shared" si="44"/>
        <v>0</v>
      </c>
      <c r="M223" s="346" t="s">
        <v>662</v>
      </c>
      <c r="P223" s="44"/>
      <c r="Q223" s="44"/>
      <c r="AC223" s="69"/>
      <c r="AD223" s="69"/>
      <c r="AE223" s="69"/>
      <c r="AF223" s="69"/>
      <c r="AG223" s="69"/>
    </row>
    <row r="224" spans="1:33" ht="12.75" hidden="1" customHeight="1" x14ac:dyDescent="0.15">
      <c r="A224" s="259">
        <v>63</v>
      </c>
      <c r="B224" s="345" t="s">
        <v>646</v>
      </c>
      <c r="C224" s="21"/>
      <c r="D224" s="54"/>
      <c r="E224" s="54"/>
      <c r="F224" s="54"/>
      <c r="G224" s="54"/>
      <c r="H224" s="54"/>
      <c r="I224" s="347"/>
      <c r="J224" s="21">
        <f t="shared" si="50"/>
        <v>0</v>
      </c>
      <c r="K224" s="21">
        <f t="shared" si="49"/>
        <v>0</v>
      </c>
      <c r="L224" s="21">
        <f t="shared" si="44"/>
        <v>0</v>
      </c>
      <c r="M224" s="346" t="s">
        <v>662</v>
      </c>
      <c r="P224" s="44"/>
      <c r="Q224" s="44"/>
      <c r="AC224" s="69"/>
      <c r="AD224" s="69"/>
      <c r="AE224" s="69"/>
      <c r="AF224" s="69"/>
      <c r="AG224" s="348"/>
    </row>
    <row r="225" spans="1:33" s="308" customFormat="1" ht="12.75" hidden="1" customHeight="1" x14ac:dyDescent="0.15">
      <c r="A225" s="304">
        <v>64</v>
      </c>
      <c r="B225" s="349" t="s">
        <v>647</v>
      </c>
      <c r="C225" s="308" t="s">
        <v>613</v>
      </c>
      <c r="D225" s="305">
        <f>IF(ISERROR(HLOOKUP(J225,$Q$48:$AB$49,2)),0,HLOOKUP(J225,$Q$48:$AB$49,2))</f>
        <v>0</v>
      </c>
      <c r="E225" s="305">
        <f>IF(ISERROR(HLOOKUP(K225,$Q$48:$AB$49,2)),0,HLOOKUP(K225,$Q$48:$AB$49,2))</f>
        <v>0</v>
      </c>
      <c r="F225" s="305">
        <f>IF(ISERROR(HLOOKUP(L225,$Q$48:$AB$49,2)),0,HLOOKUP(L225,$Q$48:$AB$49,2))</f>
        <v>0</v>
      </c>
      <c r="G225" s="350">
        <f>SUM($F$30:$F$33)+$O$225</f>
        <v>0</v>
      </c>
      <c r="H225" s="350">
        <f>$G$225+$J$51</f>
        <v>0</v>
      </c>
      <c r="I225" s="350">
        <f>$G$225+$J$51+$J$60</f>
        <v>0</v>
      </c>
      <c r="J225" s="351">
        <f t="shared" si="50"/>
        <v>0</v>
      </c>
      <c r="K225" s="351">
        <f t="shared" si="49"/>
        <v>0</v>
      </c>
      <c r="L225" s="351">
        <f t="shared" si="44"/>
        <v>0</v>
      </c>
      <c r="M225" s="352" t="s">
        <v>662</v>
      </c>
      <c r="N225" s="310">
        <f>SUM($F$27:$F$29)</f>
        <v>0</v>
      </c>
      <c r="O225" s="309">
        <f>IF($N$225&gt;365,365,$N$225)</f>
        <v>0</v>
      </c>
      <c r="P225" s="353"/>
      <c r="Q225" s="353"/>
      <c r="AC225" s="354"/>
      <c r="AD225" s="354"/>
      <c r="AE225" s="354"/>
      <c r="AF225" s="354"/>
      <c r="AG225" s="354"/>
    </row>
    <row r="226" spans="1:33" ht="12.75" hidden="1" customHeight="1" x14ac:dyDescent="0.15">
      <c r="A226" s="259">
        <v>65</v>
      </c>
      <c r="B226" s="345" t="s">
        <v>648</v>
      </c>
      <c r="C226" s="21" t="s">
        <v>547</v>
      </c>
      <c r="D226" s="104">
        <f>IF(ISERROR(HLOOKUP(J226,$Q$73:$AB$74,2)),0,HLOOKUP(J226,$Q$73:$AB$74,2))</f>
        <v>0</v>
      </c>
      <c r="E226" s="105">
        <f>IF(ISERROR(HLOOKUP(K226,$Q$73:$AB$74,2)),0,HLOOKUP(K226,$Q$73:$AB$74,2))</f>
        <v>0</v>
      </c>
      <c r="F226" s="106">
        <f>IF(ISERROR(HLOOKUP(L226,$Q$73:$AB$74,2)),0,HLOOKUP(L226,$Q$73:$AB$74,2))</f>
        <v>0</v>
      </c>
      <c r="G226" s="355">
        <f>SUM($F$27:$F$32)</f>
        <v>0</v>
      </c>
      <c r="H226" s="355">
        <f>SUM($F$27:$F$32)+$J$51</f>
        <v>0</v>
      </c>
      <c r="I226" s="355">
        <f>SUM($F$27:$F$32)+$J$51+$J$60</f>
        <v>0</v>
      </c>
      <c r="J226" s="21">
        <f t="shared" si="50"/>
        <v>0</v>
      </c>
      <c r="K226" s="21">
        <f t="shared" si="49"/>
        <v>0</v>
      </c>
      <c r="L226" s="21">
        <f t="shared" si="44"/>
        <v>0</v>
      </c>
      <c r="M226" s="346" t="s">
        <v>662</v>
      </c>
      <c r="P226" s="44"/>
      <c r="Q226" s="44"/>
      <c r="AC226" s="69"/>
      <c r="AD226" s="69"/>
      <c r="AE226" s="69"/>
      <c r="AF226" s="69"/>
      <c r="AG226" s="348"/>
    </row>
    <row r="227" spans="1:33" ht="12.75" hidden="1" customHeight="1" x14ac:dyDescent="0.15">
      <c r="A227" s="259">
        <v>66</v>
      </c>
      <c r="B227" s="345" t="s">
        <v>649</v>
      </c>
      <c r="C227" s="21" t="s">
        <v>613</v>
      </c>
      <c r="D227" s="104">
        <f>IF(ISERROR(HLOOKUP(J227,$Q$39:$Z$40,2)),0,HLOOKUP(J227,$Q$39:$Z$40,2))</f>
        <v>0</v>
      </c>
      <c r="E227" s="104">
        <f>IF(ISERROR(HLOOKUP(K227,$Q$39:$Z$40,2)),0,HLOOKUP(K227,$Q$39:$Z$40,2))</f>
        <v>0</v>
      </c>
      <c r="F227" s="104">
        <f>IF(ISERROR(HLOOKUP(L227,$Q$39:$Z$40,2)),0,HLOOKUP(L227,$Q$39:$Z$40,2))</f>
        <v>0</v>
      </c>
      <c r="G227" s="355">
        <f>SUM($F$30:$F$32)</f>
        <v>0</v>
      </c>
      <c r="H227" s="355">
        <f>SUM($F$30:$F$32)+$J$51</f>
        <v>0</v>
      </c>
      <c r="I227" s="355">
        <f>SUM($F$30:$F$32)+$J$51+$J$60</f>
        <v>0</v>
      </c>
      <c r="J227" s="356">
        <f>ROUNDDOWN(G227/365,0)</f>
        <v>0</v>
      </c>
      <c r="K227" s="356">
        <f>ROUNDDOWN(H227/365,0)</f>
        <v>0</v>
      </c>
      <c r="L227" s="356">
        <f>ROUNDDOWN(I227/365,0)</f>
        <v>0</v>
      </c>
      <c r="M227" s="346" t="s">
        <v>662</v>
      </c>
      <c r="P227" s="44"/>
      <c r="Q227" s="44"/>
      <c r="AC227" s="69"/>
      <c r="AD227" s="69"/>
      <c r="AE227" s="69"/>
      <c r="AF227" s="69"/>
      <c r="AG227" s="348"/>
    </row>
    <row r="228" spans="1:33" ht="12.75" hidden="1" customHeight="1" x14ac:dyDescent="0.15">
      <c r="A228" s="259">
        <v>67</v>
      </c>
      <c r="B228" s="345" t="s">
        <v>650</v>
      </c>
      <c r="C228" s="21" t="s">
        <v>613</v>
      </c>
      <c r="D228" s="104">
        <f>IF(ISERROR(HLOOKUP(J228,$Q$51:$Y$52,2)),0,HLOOKUP(J228,$Q$51:$Y$52,2))</f>
        <v>0</v>
      </c>
      <c r="E228" s="104">
        <f>IF(ISERROR(HLOOKUP(K228,$Q$51:$Y$52,2)),0,HLOOKUP(K228,$Q$51:$Y$52,2))</f>
        <v>0</v>
      </c>
      <c r="F228" s="104">
        <f>IF(ISERROR(HLOOKUP(L228,$Q$51:$Y$52,2)),0,HLOOKUP(L228,$Q$51:$Y$52,2))</f>
        <v>0</v>
      </c>
      <c r="G228" s="113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50"/>
        <v>0</v>
      </c>
      <c r="K228" s="21">
        <f t="shared" si="49"/>
        <v>0</v>
      </c>
      <c r="L228" s="21">
        <f t="shared" si="44"/>
        <v>0</v>
      </c>
      <c r="M228" s="346" t="s">
        <v>662</v>
      </c>
      <c r="P228" s="44"/>
      <c r="Q228" s="44"/>
      <c r="AC228" s="69"/>
      <c r="AD228" s="69"/>
      <c r="AE228" s="69"/>
      <c r="AF228" s="69"/>
      <c r="AG228" s="348"/>
    </row>
    <row r="229" spans="1:33" s="308" customFormat="1" ht="12.75" hidden="1" customHeight="1" x14ac:dyDescent="0.15">
      <c r="A229" s="304">
        <v>68</v>
      </c>
      <c r="B229" s="349" t="s">
        <v>651</v>
      </c>
      <c r="C229" s="308" t="s">
        <v>547</v>
      </c>
      <c r="D229" s="305">
        <f>IF(ISERROR(HLOOKUP(J229,$Q$73:$W$74,2)),0,HLOOKUP(J229,$Q$73:$W$74,2))</f>
        <v>0</v>
      </c>
      <c r="E229" s="305">
        <f>IF(ISERROR(HLOOKUP(K229,$Q$73:$W$74,2)),0,HLOOKUP(K229,$Q$73:$W$74,2))</f>
        <v>0</v>
      </c>
      <c r="F229" s="305">
        <f>IF(ISERROR(HLOOKUP(L229,$Q$73:$W$74,2)),0,HLOOKUP(L229,$Q$73:$W$74,2))</f>
        <v>0</v>
      </c>
      <c r="G229" s="350">
        <f>$N$229</f>
        <v>0</v>
      </c>
      <c r="H229" s="350">
        <f>$G$229+$J$51</f>
        <v>0</v>
      </c>
      <c r="I229" s="350">
        <f>$G$229+$J$51+$J$60</f>
        <v>0</v>
      </c>
      <c r="J229" s="308">
        <f t="shared" si="50"/>
        <v>0</v>
      </c>
      <c r="K229" s="308">
        <f t="shared" si="49"/>
        <v>0</v>
      </c>
      <c r="L229" s="308">
        <f>ROUNDDOWN(I229/365,0)</f>
        <v>0</v>
      </c>
      <c r="M229" s="352" t="s">
        <v>662</v>
      </c>
      <c r="N229" s="310">
        <f>SUM(F30:F32)</f>
        <v>0</v>
      </c>
      <c r="O229" s="309"/>
      <c r="P229" s="353"/>
      <c r="Q229" s="353"/>
      <c r="AC229" s="354"/>
      <c r="AD229" s="354"/>
      <c r="AE229" s="354"/>
      <c r="AF229" s="354"/>
      <c r="AG229" s="354"/>
    </row>
    <row r="230" spans="1:33" ht="12.75" hidden="1" customHeight="1" x14ac:dyDescent="0.15">
      <c r="A230" s="259">
        <v>69</v>
      </c>
      <c r="B230" s="345" t="s">
        <v>652</v>
      </c>
      <c r="C230" s="21" t="s">
        <v>613</v>
      </c>
      <c r="D230" s="104">
        <f>IF(ISERROR(HLOOKUP(J230,$Q$39:$Z$40,2)),0,HLOOKUP(J230,$Q$39:$Z$40,2))</f>
        <v>0</v>
      </c>
      <c r="E230" s="104">
        <f>IF(ISERROR(HLOOKUP(K230,$Q$39:$Z$40,2)),0,HLOOKUP(K230,$Q$39:$Z$40,2))</f>
        <v>0</v>
      </c>
      <c r="F230" s="104">
        <f>IF(ISERROR(HLOOKUP(L230,$Q$39:$Z$40,2)),0,HLOOKUP(L230,$Q$39:$Z$40,2))</f>
        <v>0</v>
      </c>
      <c r="G230" s="113">
        <f>SUM($F$30:$F$32)</f>
        <v>0</v>
      </c>
      <c r="H230" s="103">
        <f>SUM($F$30:$F$32)+$J$51</f>
        <v>0</v>
      </c>
      <c r="I230" s="103">
        <f>SUM($F$30:$F$32)+$J$51+$J$60</f>
        <v>0</v>
      </c>
      <c r="J230" s="21">
        <f t="shared" si="50"/>
        <v>0</v>
      </c>
      <c r="K230" s="21">
        <f>ROUNDDOWN(H230/365,0)</f>
        <v>0</v>
      </c>
      <c r="L230" s="21">
        <f>ROUNDDOWN(I230/365,0)</f>
        <v>0</v>
      </c>
      <c r="M230" s="346" t="s">
        <v>662</v>
      </c>
      <c r="P230" s="44"/>
      <c r="Q230" s="44"/>
      <c r="AC230" s="69"/>
      <c r="AD230" s="69"/>
      <c r="AE230" s="69"/>
      <c r="AF230" s="69"/>
      <c r="AG230" s="69"/>
    </row>
    <row r="231" spans="1:33" ht="13.5" hidden="1" x14ac:dyDescent="0.15">
      <c r="A231" s="259">
        <v>70</v>
      </c>
      <c r="B231" s="345" t="s">
        <v>653</v>
      </c>
      <c r="C231" s="21" t="s">
        <v>613</v>
      </c>
      <c r="D231" s="104">
        <f>IF(ISERROR(HLOOKUP(J231,$Q$48:$AB$49,2)),0,HLOOKUP(J231,$Q$48:$AB$49,2))</f>
        <v>0</v>
      </c>
      <c r="E231" s="104">
        <f>IF(ISERROR(HLOOKUP(K231,$Q$48:$AB$49,2)),0,HLOOKUP(K231,$Q$48:$AB$49,2))</f>
        <v>0</v>
      </c>
      <c r="F231" s="104">
        <f>IF(ISERROR(HLOOKUP(L231,$Q$48:$AB$49,2)),0,HLOOKUP(L231,$Q$48:$AB$49,2))</f>
        <v>0</v>
      </c>
      <c r="G231" s="113">
        <f>SUM($F$30:$F$32)</f>
        <v>0</v>
      </c>
      <c r="H231" s="103">
        <f>SUM($F$30:$F$32)+$J$51</f>
        <v>0</v>
      </c>
      <c r="I231" s="103">
        <f>SUM($F$30:$F$32)+$J$51+$J$60</f>
        <v>0</v>
      </c>
      <c r="J231" s="21">
        <f t="shared" si="50"/>
        <v>0</v>
      </c>
      <c r="K231" s="21">
        <f t="shared" ref="K231:L235" si="51">ROUNDDOWN(H231/365,0)</f>
        <v>0</v>
      </c>
      <c r="L231" s="21">
        <f t="shared" si="51"/>
        <v>0</v>
      </c>
      <c r="M231" s="346" t="s">
        <v>662</v>
      </c>
      <c r="P231" s="44"/>
      <c r="Q231" s="44"/>
    </row>
    <row r="232" spans="1:33" ht="13.5" hidden="1" x14ac:dyDescent="0.15">
      <c r="A232" s="259">
        <v>71</v>
      </c>
      <c r="B232" s="345" t="s">
        <v>654</v>
      </c>
      <c r="C232" s="21" t="s">
        <v>613</v>
      </c>
      <c r="D232" s="104">
        <f>IF(ISERROR(HLOOKUP(J232,$Q$48:$AA$49,2)),0,HLOOKUP(J232,$Q$48:$AA$49,2))</f>
        <v>0</v>
      </c>
      <c r="E232" s="104">
        <f>IF(ISERROR(HLOOKUP(K232,$Q$48:$AA$49,2)),0,HLOOKUP(K232,$Q$48:$AA$49,2))</f>
        <v>0</v>
      </c>
      <c r="F232" s="104">
        <f>IF(ISERROR(HLOOKUP(L232,$Q$48:$AA$49,2)),0,HLOOKUP(L232,$Q$48:$AA$49,2))</f>
        <v>0</v>
      </c>
      <c r="G232" s="113">
        <f>SUM($F$30:$F$32)</f>
        <v>0</v>
      </c>
      <c r="H232" s="103">
        <f>SUM($F$30:$F$32)+$J$51</f>
        <v>0</v>
      </c>
      <c r="I232" s="103">
        <f>SUM($F$30:$F$32)+$J$51+$J$60</f>
        <v>0</v>
      </c>
      <c r="J232" s="21">
        <f t="shared" si="50"/>
        <v>0</v>
      </c>
      <c r="K232" s="21">
        <f t="shared" si="51"/>
        <v>0</v>
      </c>
      <c r="L232" s="21">
        <f t="shared" si="51"/>
        <v>0</v>
      </c>
      <c r="M232" s="346" t="s">
        <v>662</v>
      </c>
      <c r="P232" s="44"/>
      <c r="Q232" s="44"/>
    </row>
    <row r="233" spans="1:33" ht="13.5" hidden="1" x14ac:dyDescent="0.15">
      <c r="A233" s="259">
        <v>72</v>
      </c>
      <c r="B233" s="345" t="s">
        <v>655</v>
      </c>
      <c r="C233" s="21" t="s">
        <v>527</v>
      </c>
      <c r="D233" s="104">
        <f>IF(ISERROR(HLOOKUP(J233,$Q$54:$AR$55,2)),0,HLOOKUP(J233,$Q$54:$AR$55,2))</f>
        <v>0</v>
      </c>
      <c r="E233" s="104">
        <f>IF(ISERROR(HLOOKUP(K233,$Q$54:$AR$55,2)),0,HLOOKUP(K233,$Q$54:$AR$55,2))</f>
        <v>0</v>
      </c>
      <c r="F233" s="104">
        <f>IF(ISERROR(HLOOKUP(L233,$Q$54:$AR$55,2)),0,HLOOKUP(L233,$Q$54:$AR$55,2))</f>
        <v>0</v>
      </c>
      <c r="G233" s="113">
        <f>SUM($F$27:$F$32)</f>
        <v>0</v>
      </c>
      <c r="H233" s="103">
        <f>SUM($F$27:$F$32)+$J$51</f>
        <v>0</v>
      </c>
      <c r="I233" s="103">
        <f>SUM($F$27:$F$32)+$J$51+$J$60</f>
        <v>0</v>
      </c>
      <c r="J233" s="21">
        <f t="shared" si="50"/>
        <v>0</v>
      </c>
      <c r="K233" s="21">
        <f t="shared" si="51"/>
        <v>0</v>
      </c>
      <c r="L233" s="21">
        <f t="shared" si="51"/>
        <v>0</v>
      </c>
      <c r="M233" s="346" t="s">
        <v>662</v>
      </c>
      <c r="P233" s="44"/>
      <c r="Q233" s="44"/>
    </row>
    <row r="234" spans="1:33" ht="13.5" hidden="1" x14ac:dyDescent="0.15">
      <c r="A234" s="259">
        <v>73</v>
      </c>
      <c r="B234" s="345" t="s">
        <v>663</v>
      </c>
      <c r="C234" s="21" t="s">
        <v>527</v>
      </c>
      <c r="D234" s="104">
        <f t="shared" ref="D234:F235" si="52">IF(ISERROR(HLOOKUP(J234,$Q$26:$AY$27,2)),0,HLOOKUP(J234,$Q$26:$AY$27,2))</f>
        <v>0</v>
      </c>
      <c r="E234" s="104">
        <f t="shared" si="52"/>
        <v>0</v>
      </c>
      <c r="F234" s="104">
        <f t="shared" si="52"/>
        <v>0</v>
      </c>
      <c r="G234" s="113">
        <f>SUM($F$30:$F$32)</f>
        <v>0</v>
      </c>
      <c r="H234" s="103">
        <f>SUM($F$30:$F$32)+$J$51</f>
        <v>0</v>
      </c>
      <c r="I234" s="103">
        <f>SUM($F$30:$F$32)+$J$51+$J$60</f>
        <v>0</v>
      </c>
      <c r="J234" s="21">
        <f t="shared" si="50"/>
        <v>0</v>
      </c>
      <c r="K234" s="21">
        <f t="shared" si="51"/>
        <v>0</v>
      </c>
      <c r="L234" s="21">
        <f t="shared" si="51"/>
        <v>0</v>
      </c>
      <c r="M234" s="346" t="s">
        <v>662</v>
      </c>
      <c r="P234" s="44"/>
      <c r="Q234" s="44"/>
    </row>
    <row r="235" spans="1:33" ht="13.5" hidden="1" x14ac:dyDescent="0.15">
      <c r="A235" s="259">
        <v>74</v>
      </c>
      <c r="B235" s="345" t="s">
        <v>664</v>
      </c>
      <c r="C235" s="21" t="s">
        <v>527</v>
      </c>
      <c r="D235" s="104">
        <f t="shared" si="52"/>
        <v>0</v>
      </c>
      <c r="E235" s="104">
        <f t="shared" si="52"/>
        <v>0</v>
      </c>
      <c r="F235" s="104">
        <f t="shared" si="52"/>
        <v>0</v>
      </c>
      <c r="G235" s="113">
        <f>SUM($F$30:$F$32)</f>
        <v>0</v>
      </c>
      <c r="H235" s="103">
        <f>SUM($F$30:$F$32)+$J$51</f>
        <v>0</v>
      </c>
      <c r="I235" s="103">
        <f>SUM($F$30:$F$32)+$J$51+$J$60</f>
        <v>0</v>
      </c>
      <c r="J235" s="21">
        <f t="shared" si="50"/>
        <v>0</v>
      </c>
      <c r="K235" s="21">
        <f t="shared" si="51"/>
        <v>0</v>
      </c>
      <c r="L235" s="21">
        <f t="shared" si="51"/>
        <v>0</v>
      </c>
      <c r="M235" s="346" t="s">
        <v>662</v>
      </c>
      <c r="P235" s="44"/>
      <c r="Q235" s="44"/>
    </row>
    <row r="236" spans="1:33" ht="13.5" hidden="1" x14ac:dyDescent="0.15">
      <c r="A236" s="259">
        <v>75</v>
      </c>
      <c r="B236" s="345" t="s">
        <v>665</v>
      </c>
      <c r="C236" s="21" t="s">
        <v>547</v>
      </c>
      <c r="D236" s="104">
        <f>IF(ISERROR(HLOOKUP(J236,$Q$73:$W$74,2)),0,HLOOKUP(J236,$Q$73:$W$74,2))</f>
        <v>0</v>
      </c>
      <c r="E236" s="104">
        <f>IF(ISERROR(HLOOKUP(K236,$Q$73:$W$74,2)),0,HLOOKUP(K236,$Q$73:$W$74,2))</f>
        <v>0</v>
      </c>
      <c r="F236" s="104">
        <f>IF(ISERROR(HLOOKUP(L236,$Q$73:$W$74,2)),0,HLOOKUP(L236,$Q$73:$W$74,2))</f>
        <v>0</v>
      </c>
      <c r="G236" s="113">
        <f>SUM($F$27:$F$32)</f>
        <v>0</v>
      </c>
      <c r="H236" s="103">
        <f>SUM($F$27:$F$32)+$J$51</f>
        <v>0</v>
      </c>
      <c r="I236" s="103">
        <f>SUM($F$27:$F$32)+$J$51+$J$60</f>
        <v>0</v>
      </c>
      <c r="J236" s="21">
        <f t="shared" si="50"/>
        <v>0</v>
      </c>
      <c r="K236" s="21">
        <f t="shared" ref="K236:L239" si="53">ROUNDDOWN(H236/365,0)</f>
        <v>0</v>
      </c>
      <c r="L236" s="21">
        <f t="shared" si="53"/>
        <v>0</v>
      </c>
      <c r="M236" s="346" t="s">
        <v>662</v>
      </c>
      <c r="P236" s="44"/>
      <c r="Q236" s="44"/>
    </row>
    <row r="237" spans="1:33" ht="13.5" hidden="1" x14ac:dyDescent="0.15">
      <c r="A237" s="259">
        <v>76</v>
      </c>
      <c r="B237" s="345" t="s">
        <v>689</v>
      </c>
      <c r="C237" s="21" t="s">
        <v>613</v>
      </c>
      <c r="D237" s="104">
        <f>IF(ISERROR(HLOOKUP(J237,$Q$48:$AB$49,2)),0,HLOOKUP(J237,$Q$48:$AB$49,2))</f>
        <v>0</v>
      </c>
      <c r="E237" s="104">
        <f>IF(ISERROR(HLOOKUP(K237,$Q$48:$AB$49,2)),0,HLOOKUP(K237,$Q$48:$AB$49,2))</f>
        <v>0</v>
      </c>
      <c r="F237" s="104">
        <f>IF(ISERROR(HLOOKUP(L237,$Q$48:$AB$49,2)),0,HLOOKUP(L237,$Q$48:$AB$49,2))</f>
        <v>0</v>
      </c>
      <c r="G237" s="113">
        <f>SUM($F$30:$F$32)</f>
        <v>0</v>
      </c>
      <c r="H237" s="103">
        <f>SUM($F$30:$F$32)+$J$51</f>
        <v>0</v>
      </c>
      <c r="I237" s="103">
        <f>SUM($F$30:$F$32)+$J$51+$J$60</f>
        <v>0</v>
      </c>
      <c r="J237" s="21">
        <f t="shared" si="50"/>
        <v>0</v>
      </c>
      <c r="K237" s="21">
        <f t="shared" si="53"/>
        <v>0</v>
      </c>
      <c r="L237" s="21">
        <f t="shared" si="53"/>
        <v>0</v>
      </c>
      <c r="M237" s="346" t="s">
        <v>662</v>
      </c>
      <c r="P237" s="44"/>
      <c r="Q237" s="44"/>
    </row>
    <row r="238" spans="1:33" ht="13.5" hidden="1" x14ac:dyDescent="0.15">
      <c r="A238" s="259">
        <v>77</v>
      </c>
      <c r="B238" s="345" t="s">
        <v>666</v>
      </c>
      <c r="C238" s="21" t="s">
        <v>613</v>
      </c>
      <c r="D238" s="104">
        <f>IF(ISERROR(HLOOKUP(J238,$Q$48:$AA$49,2)),0,HLOOKUP(J238,$Q$48:$AA$49,2))</f>
        <v>0</v>
      </c>
      <c r="E238" s="104">
        <f>IF(ISERROR(HLOOKUP(K238,$Q$48:$AA$49,2)),0,HLOOKUP(K238,$Q$48:$AA$49,2))</f>
        <v>0</v>
      </c>
      <c r="F238" s="104">
        <f>IF(ISERROR(HLOOKUP(L238,$Q$48:$AA$49,2)),0,HLOOKUP(L238,$Q$48:$AA$49,2))</f>
        <v>0</v>
      </c>
      <c r="G238" s="113">
        <f>SUM($F$30:$F$32)</f>
        <v>0</v>
      </c>
      <c r="H238" s="103">
        <f>SUM($F$30:$F$32)+$J$51</f>
        <v>0</v>
      </c>
      <c r="I238" s="103">
        <f>SUM($F$30:$F$32)+$J$51+$J$60</f>
        <v>0</v>
      </c>
      <c r="J238" s="21">
        <f t="shared" si="50"/>
        <v>0</v>
      </c>
      <c r="K238" s="21">
        <f t="shared" si="53"/>
        <v>0</v>
      </c>
      <c r="L238" s="21">
        <f t="shared" si="53"/>
        <v>0</v>
      </c>
      <c r="M238" s="346" t="s">
        <v>662</v>
      </c>
      <c r="P238" s="44"/>
      <c r="Q238" s="44"/>
    </row>
    <row r="239" spans="1:33" ht="13.5" hidden="1" x14ac:dyDescent="0.15">
      <c r="A239" s="259">
        <v>78</v>
      </c>
      <c r="B239" s="345" t="s">
        <v>667</v>
      </c>
      <c r="C239" s="21" t="s">
        <v>613</v>
      </c>
      <c r="D239" s="104">
        <f>IF(ISERROR(HLOOKUP(J239,$Q$57:$AA$58,2)),0,HLOOKUP(J239,$Q$57:$AA$58,2))</f>
        <v>0</v>
      </c>
      <c r="E239" s="104">
        <f>IF(ISERROR(HLOOKUP(K239,$Q$57:$AA$58,2)),0,HLOOKUP(K239,$Q$57:$AA$58,2))</f>
        <v>0</v>
      </c>
      <c r="F239" s="104">
        <f>IF(ISERROR(HLOOKUP(L239,$Q$57:$AA$58,2)),0,HLOOKUP(L239,$Q$57:$AA$58,2))</f>
        <v>0</v>
      </c>
      <c r="G239" s="113">
        <f>SUM($F$29:$F$32)</f>
        <v>0</v>
      </c>
      <c r="H239" s="103">
        <f>SUM($F$29:$F$32)+$J$51</f>
        <v>0</v>
      </c>
      <c r="I239" s="103">
        <f>SUM($F$29:$F$32)+$J$51+$J$60</f>
        <v>0</v>
      </c>
      <c r="J239" s="21">
        <f t="shared" si="50"/>
        <v>0</v>
      </c>
      <c r="K239" s="21">
        <f t="shared" si="53"/>
        <v>0</v>
      </c>
      <c r="L239" s="21">
        <f t="shared" si="53"/>
        <v>0</v>
      </c>
      <c r="M239" s="346" t="s">
        <v>662</v>
      </c>
      <c r="P239" s="44"/>
      <c r="Q239" s="44"/>
    </row>
    <row r="240" spans="1:33" s="308" customFormat="1" ht="13.5" hidden="1" x14ac:dyDescent="0.15">
      <c r="A240" s="304">
        <v>79</v>
      </c>
      <c r="B240" s="349" t="s">
        <v>668</v>
      </c>
      <c r="C240" s="308" t="s">
        <v>613</v>
      </c>
      <c r="D240" s="305">
        <f>IF(ISERROR(HLOOKUP(J240,$Q$39:$AA$40,2)),0,HLOOKUP(J240,$Q$39:$AA$40,2))</f>
        <v>0</v>
      </c>
      <c r="E240" s="305">
        <f>IF(ISERROR(HLOOKUP(K240,$Q$39:$AA$40,2)),0,HLOOKUP(K240,$Q$39:$AA$40,2))</f>
        <v>0</v>
      </c>
      <c r="F240" s="305">
        <f>IF(ISERROR(HLOOKUP(L240,$Q$39:$AA$40,2)),0,HLOOKUP(L240,$Q$39:$AA$40,2))</f>
        <v>0</v>
      </c>
      <c r="G240" s="306">
        <f>$N$240+$F$33</f>
        <v>0</v>
      </c>
      <c r="H240" s="307">
        <f>$G$240+$J$51</f>
        <v>0</v>
      </c>
      <c r="I240" s="307">
        <f>$N$240+$J$51+$J$60</f>
        <v>0</v>
      </c>
      <c r="J240" s="308">
        <f t="shared" si="50"/>
        <v>0</v>
      </c>
      <c r="K240" s="308">
        <f t="shared" ref="K240:L242" si="54">ROUNDDOWN(H240/365,0)</f>
        <v>0</v>
      </c>
      <c r="L240" s="308">
        <f t="shared" si="54"/>
        <v>0</v>
      </c>
      <c r="M240" s="352" t="s">
        <v>662</v>
      </c>
      <c r="N240" s="308">
        <f>IF($C$30&gt;=$A$36,$E$30-$C$30+1,IF($C$31&gt;=$A$36,$E$31-$C$31+1,IF($C$32&gt;=$A$36,$E$32-$C$32+1,IF($E$30&lt;&gt;0,$E$30-$A$36+1,IF($E$31&lt;&gt;0,$E$31-$A$36+1,IF($E$32&lt;&gt;0,$E$32-$A$36+1,0))))))</f>
        <v>0</v>
      </c>
      <c r="O240" s="309"/>
      <c r="P240" s="353"/>
      <c r="Q240" s="353"/>
      <c r="AD240" s="310"/>
      <c r="AE240" s="310"/>
      <c r="AF240" s="310"/>
    </row>
    <row r="241" spans="1:17" ht="13.5" hidden="1" x14ac:dyDescent="0.15">
      <c r="A241" s="259">
        <v>80</v>
      </c>
      <c r="B241" s="345" t="s">
        <v>669</v>
      </c>
      <c r="C241" s="21" t="s">
        <v>547</v>
      </c>
      <c r="D241" s="104">
        <f>IF(ISERROR(HLOOKUP(J241,$Q$73:$V$74,2)),0,HLOOKUP(J241,$Q$73:$V$74,2))</f>
        <v>0</v>
      </c>
      <c r="E241" s="104">
        <f>IF(ISERROR(HLOOKUP(K241,$Q$73:$V$74,2)),0,HLOOKUP(K241,$Q$73:$V$74,2))</f>
        <v>0</v>
      </c>
      <c r="F241" s="104">
        <f>IF(ISERROR(HLOOKUP(L241,$Q$73:$V$74,2)),0,HLOOKUP(L241,$Q$73:$V$74,2))</f>
        <v>0</v>
      </c>
      <c r="G241" s="113">
        <f>SUM($F$27:$F$32)</f>
        <v>0</v>
      </c>
      <c r="H241" s="103">
        <f>SUM($F$27:$F$32)+$J$51</f>
        <v>0</v>
      </c>
      <c r="I241" s="103">
        <f>SUM($F$27:$F$32)+$J$51+$J$60</f>
        <v>0</v>
      </c>
      <c r="J241" s="21">
        <f>ROUNDDOWN(G241/365,0)</f>
        <v>0</v>
      </c>
      <c r="K241" s="21">
        <f t="shared" si="54"/>
        <v>0</v>
      </c>
      <c r="L241" s="21">
        <f t="shared" si="54"/>
        <v>0</v>
      </c>
      <c r="M241" s="346" t="s">
        <v>662</v>
      </c>
      <c r="P241" s="44"/>
      <c r="Q241" s="44"/>
    </row>
    <row r="242" spans="1:17" ht="13.5" hidden="1" x14ac:dyDescent="0.15">
      <c r="A242" s="259" t="s">
        <v>703</v>
      </c>
      <c r="B242" s="345" t="s">
        <v>701</v>
      </c>
      <c r="C242" s="21" t="s">
        <v>702</v>
      </c>
      <c r="D242" s="148">
        <f>IF(J242&lt;=10,0.1,IF(J242&lt;=20,0.2,0.3))</f>
        <v>0.1</v>
      </c>
      <c r="E242" s="148">
        <f>IF(K242&lt;=10,0.1,IF(K242&lt;=20,0.2,0.3))</f>
        <v>0.1</v>
      </c>
      <c r="F242" s="148">
        <f>IF(L242&lt;=10,0.1,IF(L242&lt;=20,0.2,0.3))</f>
        <v>0.1</v>
      </c>
      <c r="G242" s="113">
        <f>SUM($F$30:$F$32)</f>
        <v>0</v>
      </c>
      <c r="H242" s="103">
        <f>SUM($F$30:$F$32)+$J$51</f>
        <v>0</v>
      </c>
      <c r="I242" s="103">
        <f>SUM($F$30:$F$32)+$J$51+$J$60</f>
        <v>0</v>
      </c>
      <c r="J242" s="21">
        <f>ROUNDDOWN(G242/365,0)</f>
        <v>0</v>
      </c>
      <c r="K242" s="21">
        <f t="shared" si="54"/>
        <v>0</v>
      </c>
      <c r="L242" s="21">
        <f t="shared" si="54"/>
        <v>0</v>
      </c>
      <c r="M242" s="346" t="s">
        <v>662</v>
      </c>
      <c r="P242" s="44"/>
      <c r="Q242" s="44"/>
    </row>
    <row r="243" spans="1:17" ht="13.5" hidden="1" x14ac:dyDescent="0.15">
      <c r="A243" s="259">
        <v>81</v>
      </c>
      <c r="B243" s="345" t="s">
        <v>670</v>
      </c>
      <c r="C243" s="21" t="s">
        <v>547</v>
      </c>
      <c r="D243" s="104">
        <f>IF(ISERROR(HLOOKUP(J243,$Q$73:$W$74,2)),0,HLOOKUP(J243,$Q$73:$W$74,2))</f>
        <v>0</v>
      </c>
      <c r="E243" s="104">
        <f>IF(ISERROR(HLOOKUP(K243,$Q$73:$W$74,2)),0,HLOOKUP(K243,$Q$73:$W$74,2))</f>
        <v>0</v>
      </c>
      <c r="F243" s="104">
        <f>IF(ISERROR(HLOOKUP(L243,$Q$73:$W$74,2)),0,HLOOKUP(L243,$Q$73:$W$74,2))</f>
        <v>0</v>
      </c>
      <c r="G243" s="113">
        <f>SUM($F$27:$F$33)</f>
        <v>0</v>
      </c>
      <c r="H243" s="103">
        <f>SUM($F$27:$F$33)+$J$51</f>
        <v>0</v>
      </c>
      <c r="I243" s="103">
        <f>SUM($F$27:$F$33)+$J$51+$J$60</f>
        <v>0</v>
      </c>
      <c r="J243" s="21">
        <f t="shared" si="50"/>
        <v>0</v>
      </c>
      <c r="K243" s="21">
        <f t="shared" ref="K243:K254" si="55">ROUNDDOWN(H243/365,0)</f>
        <v>0</v>
      </c>
      <c r="L243" s="21">
        <f t="shared" si="44"/>
        <v>0</v>
      </c>
      <c r="M243" s="346" t="s">
        <v>662</v>
      </c>
      <c r="P243" s="44"/>
      <c r="Q243" s="44"/>
    </row>
    <row r="244" spans="1:17" ht="13.5" hidden="1" x14ac:dyDescent="0.15">
      <c r="A244" s="259">
        <v>82</v>
      </c>
      <c r="B244" s="345" t="s">
        <v>671</v>
      </c>
      <c r="C244" s="21" t="s">
        <v>613</v>
      </c>
      <c r="D244" s="104">
        <f>IF(ISERROR(HLOOKUP(J244,$Q$42:$AA$43,2)),0,HLOOKUP(J244,$Q$42:$AA$43,2))</f>
        <v>0</v>
      </c>
      <c r="E244" s="104">
        <f>IF(ISERROR(HLOOKUP(K244,$Q$42:$AA$43,2)),0,HLOOKUP(K244,$Q$42:$AA$43,2))</f>
        <v>0</v>
      </c>
      <c r="F244" s="104">
        <f>IF(ISERROR(HLOOKUP(L244,$Q$42:$AA$43,2)),0,HLOOKUP(L244,$Q$42:$AA$43,2))</f>
        <v>0</v>
      </c>
      <c r="G244" s="113">
        <f>SUM($F$30:$F$32)</f>
        <v>0</v>
      </c>
      <c r="H244" s="103">
        <f>SUM($F$30:$F$32)+$J$51</f>
        <v>0</v>
      </c>
      <c r="I244" s="103">
        <f>SUM($F$30:$F$32)+$J$51+$J$60</f>
        <v>0</v>
      </c>
      <c r="J244" s="21">
        <f t="shared" si="50"/>
        <v>0</v>
      </c>
      <c r="K244" s="21">
        <f t="shared" si="55"/>
        <v>0</v>
      </c>
      <c r="L244" s="21">
        <f>ROUNDDOWN(I244/365,0)</f>
        <v>0</v>
      </c>
      <c r="M244" s="346" t="s">
        <v>662</v>
      </c>
      <c r="P244" s="44"/>
      <c r="Q244" s="44"/>
    </row>
    <row r="245" spans="1:17" ht="13.5" hidden="1" x14ac:dyDescent="0.15">
      <c r="A245" s="259">
        <v>83</v>
      </c>
      <c r="B245" s="345" t="s">
        <v>672</v>
      </c>
      <c r="C245" s="21"/>
      <c r="E245" s="40"/>
      <c r="J245" s="21">
        <f t="shared" si="50"/>
        <v>0</v>
      </c>
      <c r="K245" s="21">
        <f t="shared" si="55"/>
        <v>0</v>
      </c>
      <c r="L245" s="21">
        <f t="shared" si="44"/>
        <v>0</v>
      </c>
      <c r="M245" s="346" t="s">
        <v>662</v>
      </c>
      <c r="P245" s="44"/>
      <c r="Q245" s="44"/>
    </row>
    <row r="246" spans="1:17" ht="13.5" hidden="1" x14ac:dyDescent="0.15">
      <c r="A246" s="259">
        <v>84</v>
      </c>
      <c r="B246" s="108" t="s">
        <v>673</v>
      </c>
      <c r="C246" s="21" t="s">
        <v>613</v>
      </c>
      <c r="D246" s="104">
        <f>IF(ISERROR(HLOOKUP(J246,$Q$48:$AB$49,2)),0,HLOOKUP(J246,$Q$48:$AB$49,2))</f>
        <v>0</v>
      </c>
      <c r="E246" s="104">
        <f>IF(ISERROR(HLOOKUP(K246,$Q$48:$AB$49,2)),0,HLOOKUP(K246,$Q$48:$AB$49,2))</f>
        <v>0</v>
      </c>
      <c r="F246" s="104">
        <f>IF(ISERROR(HLOOKUP(L246,$Q$48:$AB$49,2)),0,HLOOKUP(L246,$Q$48:$AB$49,2))</f>
        <v>0</v>
      </c>
      <c r="G246" s="113">
        <f>SUM($F$30:$F$32)</f>
        <v>0</v>
      </c>
      <c r="H246" s="103">
        <f>SUM($F$30:$F$32)+$J$51</f>
        <v>0</v>
      </c>
      <c r="I246" s="103">
        <f>SUM($F$30:$F$32)+$J$51+$J$60</f>
        <v>0</v>
      </c>
      <c r="J246" s="21">
        <f t="shared" si="50"/>
        <v>0</v>
      </c>
      <c r="K246" s="21">
        <f t="shared" si="55"/>
        <v>0</v>
      </c>
      <c r="L246" s="21">
        <f t="shared" si="44"/>
        <v>0</v>
      </c>
      <c r="M246" s="346" t="s">
        <v>662</v>
      </c>
      <c r="N246" s="104">
        <f>IF(ISERROR(HLOOKUP(L246,$Q$48:$AB$49,2)),0,HLOOKUP(L246,$Q$48:$AB$49,2))</f>
        <v>0</v>
      </c>
      <c r="P246" s="44"/>
      <c r="Q246" s="44"/>
    </row>
    <row r="247" spans="1:17" ht="13.5" hidden="1" x14ac:dyDescent="0.15">
      <c r="A247" s="259">
        <v>85</v>
      </c>
      <c r="B247" s="108" t="s">
        <v>674</v>
      </c>
      <c r="C247" s="21" t="s">
        <v>527</v>
      </c>
      <c r="D247" s="104">
        <f>IF(ISERROR(HLOOKUP(J247,$Q$35:$AY$36,2)),0,HLOOKUP(J247,$Q$35:$AY$36,2))</f>
        <v>0</v>
      </c>
      <c r="E247" s="104">
        <f>IF(ISERROR(HLOOKUP(K247,$Q$35:$AY$36,2)),0,HLOOKUP(K247,$Q$35:$AY$36,2))</f>
        <v>0</v>
      </c>
      <c r="F247" s="104">
        <f>IF(ISERROR(HLOOKUP(L247,$Q$35:$AY$36,2)),0,HLOOKUP(L247,$Q$35:$AY$36,2))</f>
        <v>0</v>
      </c>
      <c r="G247" s="113">
        <f>SUM($F$30:$F$32)</f>
        <v>0</v>
      </c>
      <c r="H247" s="103">
        <f>SUM($F$30:$F$32)+$J$51</f>
        <v>0</v>
      </c>
      <c r="I247" s="103">
        <f>SUM($F$30:$F$32)+$J$51+$J$60</f>
        <v>0</v>
      </c>
      <c r="J247" s="21">
        <f t="shared" si="50"/>
        <v>0</v>
      </c>
      <c r="K247" s="21">
        <f t="shared" si="55"/>
        <v>0</v>
      </c>
      <c r="L247" s="21">
        <f t="shared" si="44"/>
        <v>0</v>
      </c>
      <c r="M247" s="346" t="s">
        <v>662</v>
      </c>
      <c r="P247" s="44"/>
      <c r="Q247" s="44"/>
    </row>
    <row r="248" spans="1:17" ht="13.5" hidden="1" x14ac:dyDescent="0.15">
      <c r="A248" s="259">
        <v>86</v>
      </c>
      <c r="B248" s="108" t="s">
        <v>675</v>
      </c>
      <c r="C248" s="21" t="s">
        <v>613</v>
      </c>
      <c r="D248" s="104">
        <f>IF(ISERROR(HLOOKUP(J248,$Q$60:$AC$61,2)),0,HLOOKUP(J248,$Q$60:$AC$61,2))</f>
        <v>0</v>
      </c>
      <c r="E248" s="104">
        <f>IF(ISERROR(HLOOKUP(K248,$Q$60:$AC$61,2)),0,HLOOKUP(K248,$Q$60:$AC$61,2))</f>
        <v>0</v>
      </c>
      <c r="F248" s="104">
        <f>IF(ISERROR(HLOOKUP(L248,$Q$60:$AC$61,2)),0,HLOOKUP(L248,$Q$60:$AC$61,2))</f>
        <v>0</v>
      </c>
      <c r="G248" s="113">
        <f>SUM($F$30:$F$32)</f>
        <v>0</v>
      </c>
      <c r="H248" s="103">
        <f>SUM($F$30:$F$32)+$J$51</f>
        <v>0</v>
      </c>
      <c r="I248" s="103">
        <f>SUM($F$30:$F$32)+$J$51+$J$60</f>
        <v>0</v>
      </c>
      <c r="J248" s="21">
        <f t="shared" si="50"/>
        <v>0</v>
      </c>
      <c r="K248" s="21">
        <f t="shared" si="55"/>
        <v>0</v>
      </c>
      <c r="L248" s="21">
        <f>ROUNDDOWN(I248/365,0)</f>
        <v>0</v>
      </c>
      <c r="M248" s="346" t="s">
        <v>662</v>
      </c>
      <c r="P248" s="44"/>
      <c r="Q248" s="44"/>
    </row>
    <row r="249" spans="1:17" ht="13.5" hidden="1" x14ac:dyDescent="0.15">
      <c r="A249" s="259">
        <v>87</v>
      </c>
      <c r="B249" s="108" t="s">
        <v>677</v>
      </c>
      <c r="C249" s="21"/>
      <c r="D249" s="21"/>
      <c r="J249" s="21">
        <f t="shared" si="50"/>
        <v>0</v>
      </c>
      <c r="K249" s="21">
        <f t="shared" si="55"/>
        <v>0</v>
      </c>
      <c r="L249" s="21">
        <f t="shared" si="44"/>
        <v>0</v>
      </c>
      <c r="M249" s="346" t="s">
        <v>662</v>
      </c>
      <c r="P249" s="44"/>
      <c r="Q249" s="44"/>
    </row>
    <row r="250" spans="1:17" ht="13.5" hidden="1" x14ac:dyDescent="0.15">
      <c r="A250" s="259">
        <v>88</v>
      </c>
      <c r="B250" s="108" t="s">
        <v>678</v>
      </c>
      <c r="C250" s="21" t="s">
        <v>613</v>
      </c>
      <c r="D250" s="104">
        <f>IF(ISERROR(HLOOKUP(J250,$Q$39:$AA$40,2)),0,HLOOKUP(J250,$Q$39:$AA$40,2))</f>
        <v>0</v>
      </c>
      <c r="E250" s="104">
        <f>IF(ISERROR(HLOOKUP(K250,$Q$39:$AA$40,2)),0,HLOOKUP(K250,$Q$39:$AA$40,2))</f>
        <v>0</v>
      </c>
      <c r="F250" s="104">
        <f>IF(ISERROR(HLOOKUP(L250,$Q$39:$AA$40,2)),0,HLOOKUP(L250,$Q$39:$AA$40,2))</f>
        <v>0</v>
      </c>
      <c r="G250" s="113">
        <f>SUM($F$27:$F$32)</f>
        <v>0</v>
      </c>
      <c r="H250" s="103">
        <f>SUM($F$27:$F$32)+$J$51</f>
        <v>0</v>
      </c>
      <c r="I250" s="103">
        <f>SUM($F$27:$F$32)+$J$51+$J$60</f>
        <v>0</v>
      </c>
      <c r="J250" s="21">
        <f t="shared" si="50"/>
        <v>0</v>
      </c>
      <c r="K250" s="21">
        <f t="shared" si="55"/>
        <v>0</v>
      </c>
      <c r="L250" s="21">
        <f>ROUNDDOWN(I250/365,0)</f>
        <v>0</v>
      </c>
      <c r="M250" s="346" t="s">
        <v>662</v>
      </c>
      <c r="P250" s="44"/>
      <c r="Q250" s="44"/>
    </row>
    <row r="251" spans="1:17" ht="13.5" hidden="1" x14ac:dyDescent="0.15">
      <c r="A251" s="259">
        <v>89</v>
      </c>
      <c r="B251" s="108" t="s">
        <v>679</v>
      </c>
      <c r="C251" s="21" t="s">
        <v>613</v>
      </c>
      <c r="D251" s="104">
        <f>IF(ISERROR(HLOOKUP(J251,$Q$48:$V$49,2)),0,HLOOKUP(J251,$Q$48:$V$49,2))</f>
        <v>0</v>
      </c>
      <c r="E251" s="104">
        <f>IF(ISERROR(HLOOKUP(K251,$Q$48:$V$49,2)),0,HLOOKUP(K251,$Q$48:$V$49,2))</f>
        <v>0</v>
      </c>
      <c r="F251" s="104">
        <f>IF(ISERROR(HLOOKUP(L251,$Q$48:$V$49,2)),0,HLOOKUP(L251,$Q$48:$V$49,2))</f>
        <v>0</v>
      </c>
      <c r="G251" s="113">
        <f>SUM($F$30:$F$32)</f>
        <v>0</v>
      </c>
      <c r="H251" s="103">
        <f>SUM($F$30:$F$32)+$J$51</f>
        <v>0</v>
      </c>
      <c r="I251" s="103">
        <f>SUM($F$30:$F$32)+$J$51+$J$60</f>
        <v>0</v>
      </c>
      <c r="J251" s="21">
        <f t="shared" si="50"/>
        <v>0</v>
      </c>
      <c r="K251" s="21">
        <f>ROUNDDOWN(H251/365,0)</f>
        <v>0</v>
      </c>
      <c r="L251" s="21">
        <f>ROUNDDOWN(I251/365,0)</f>
        <v>0</v>
      </c>
      <c r="M251" s="346" t="s">
        <v>662</v>
      </c>
      <c r="P251" s="44"/>
      <c r="Q251" s="44"/>
    </row>
    <row r="252" spans="1:17" ht="13.5" hidden="1" x14ac:dyDescent="0.15">
      <c r="A252" s="259">
        <v>90</v>
      </c>
      <c r="B252" s="108" t="s">
        <v>680</v>
      </c>
      <c r="C252" s="21" t="s">
        <v>527</v>
      </c>
      <c r="D252" s="104">
        <f>IF(ISERROR(HLOOKUP(J252,$Q$26:$AY$27,2)),0,HLOOKUP(J252,$Q$26:$AY$27,2))</f>
        <v>0</v>
      </c>
      <c r="E252" s="104">
        <f>IF(ISERROR(HLOOKUP(K252,$Q$26:$AY$27,2)),0,HLOOKUP(K252,$Q$26:$AY$27,2))</f>
        <v>0</v>
      </c>
      <c r="F252" s="104">
        <f>IF(ISERROR(HLOOKUP(L252,$Q$26:$AY$27,2)),0,HLOOKUP(L252,$Q$26:$AY$27,2))</f>
        <v>0</v>
      </c>
      <c r="G252" s="113">
        <f>SUM($F$30:$F$32)</f>
        <v>0</v>
      </c>
      <c r="H252" s="103">
        <f>SUM($F$30:$F$32)+$J$51</f>
        <v>0</v>
      </c>
      <c r="I252" s="103">
        <f>SUM($F$30:$F$32)+$J$51+$J$60</f>
        <v>0</v>
      </c>
      <c r="J252" s="21">
        <f t="shared" si="50"/>
        <v>0</v>
      </c>
      <c r="K252" s="21">
        <f t="shared" si="55"/>
        <v>0</v>
      </c>
      <c r="L252" s="21">
        <f t="shared" si="44"/>
        <v>0</v>
      </c>
      <c r="M252" s="346" t="s">
        <v>662</v>
      </c>
      <c r="P252" s="44"/>
      <c r="Q252" s="44"/>
    </row>
    <row r="253" spans="1:17" ht="13.5" hidden="1" x14ac:dyDescent="0.15">
      <c r="A253" s="259">
        <v>91</v>
      </c>
      <c r="B253" s="108" t="s">
        <v>681</v>
      </c>
      <c r="C253" s="21" t="s">
        <v>613</v>
      </c>
      <c r="D253" s="104">
        <f>IF(ISERROR(HLOOKUP(J253,$Q$42:$AA$43,2)),0,HLOOKUP(J253,$Q$42:$AA$43,2))</f>
        <v>0</v>
      </c>
      <c r="E253" s="104">
        <f>IF(ISERROR(HLOOKUP(K253,$Q$42:$AA$43,2)),0,HLOOKUP(K253,$Q$42:$AA$43,2))</f>
        <v>0</v>
      </c>
      <c r="F253" s="104">
        <f>IF(ISERROR(HLOOKUP(L253,$Q$42:$AA$43,2)),0,HLOOKUP(L253,$Q$42:$AA$43,2))</f>
        <v>0</v>
      </c>
      <c r="G253" s="113">
        <f>SUM($F$30:$F$32)</f>
        <v>0</v>
      </c>
      <c r="H253" s="103">
        <f>SUM($F$30:$F$32)+$J$51</f>
        <v>0</v>
      </c>
      <c r="I253" s="103">
        <f>SUM($F$30:$F$32)+$J$51+$J$60</f>
        <v>0</v>
      </c>
      <c r="J253" s="21">
        <f t="shared" si="50"/>
        <v>0</v>
      </c>
      <c r="K253" s="21">
        <f t="shared" si="55"/>
        <v>0</v>
      </c>
      <c r="L253" s="21">
        <f>ROUNDDOWN(I253/365,0)</f>
        <v>0</v>
      </c>
      <c r="M253" s="346" t="s">
        <v>662</v>
      </c>
      <c r="P253" s="44"/>
      <c r="Q253" s="44"/>
    </row>
    <row r="254" spans="1:17" ht="13.5" hidden="1" x14ac:dyDescent="0.15">
      <c r="A254" s="259">
        <v>92</v>
      </c>
      <c r="B254" s="108" t="s">
        <v>682</v>
      </c>
      <c r="C254" s="21" t="s">
        <v>613</v>
      </c>
      <c r="D254" s="104">
        <f>IF(ISERROR(HLOOKUP(J254,$Q$42:$Z$43,2)),0,HLOOKUP(J254,$Q$42:$Z$43,2))</f>
        <v>0</v>
      </c>
      <c r="E254" s="104">
        <f>IF(ISERROR(HLOOKUP(K254,$Q$42:$Z$43,2)),0,HLOOKUP(K254,$Q$42:$Z$43,2))</f>
        <v>0</v>
      </c>
      <c r="F254" s="104">
        <f>IF(ISERROR(HLOOKUP(L254,$Q$42:$Z$43,2)),0,HLOOKUP(L254,$Q$42:$Z$43,2))</f>
        <v>0</v>
      </c>
      <c r="G254" s="113">
        <f>SUM($F$30:$F$32)</f>
        <v>0</v>
      </c>
      <c r="H254" s="103">
        <f>SUM($F$30:$F$32)+$J$51</f>
        <v>0</v>
      </c>
      <c r="I254" s="103">
        <f>SUM($F$30:$F$32)+$J$51+$J$60</f>
        <v>0</v>
      </c>
      <c r="J254" s="21">
        <f t="shared" si="50"/>
        <v>0</v>
      </c>
      <c r="K254" s="21">
        <f t="shared" si="55"/>
        <v>0</v>
      </c>
      <c r="L254" s="21">
        <f>ROUNDDOWN(I254/365,0)</f>
        <v>0</v>
      </c>
      <c r="M254" s="346" t="s">
        <v>662</v>
      </c>
      <c r="P254" s="44"/>
      <c r="Q254" s="44"/>
    </row>
    <row r="255" spans="1:17" ht="13.5" hidden="1" x14ac:dyDescent="0.15">
      <c r="B255" s="10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357"/>
      <c r="N255" s="54"/>
      <c r="O255" s="258"/>
      <c r="P255" s="44"/>
      <c r="Q255" s="44"/>
    </row>
    <row r="256" spans="1:17" ht="13.5" hidden="1" x14ac:dyDescent="0.15">
      <c r="B256" s="248" t="s">
        <v>720</v>
      </c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258"/>
    </row>
    <row r="257" spans="1:40" ht="13.5" hidden="1" x14ac:dyDescent="0.15">
      <c r="A257" s="259">
        <v>1</v>
      </c>
      <c r="B257" s="51" t="s">
        <v>550</v>
      </c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258"/>
    </row>
    <row r="258" spans="1:40" ht="13.5" hidden="1" x14ac:dyDescent="0.15">
      <c r="A258" s="259" t="s">
        <v>721</v>
      </c>
      <c r="B258" s="51" t="s">
        <v>615</v>
      </c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58"/>
    </row>
    <row r="259" spans="1:40" ht="13.5" hidden="1" x14ac:dyDescent="0.15">
      <c r="A259" s="259">
        <v>2</v>
      </c>
      <c r="B259" s="338" t="s">
        <v>617</v>
      </c>
      <c r="C259" s="109"/>
      <c r="D259" s="109"/>
      <c r="E259" s="110"/>
      <c r="F259" s="358"/>
      <c r="G259" s="111"/>
      <c r="H259" s="111"/>
      <c r="I259" s="111"/>
      <c r="J259" s="46"/>
      <c r="K259" s="46"/>
      <c r="L259" s="46"/>
      <c r="M259" s="46"/>
      <c r="N259" s="9"/>
      <c r="O259" s="258"/>
    </row>
    <row r="260" spans="1:40" ht="13.5" hidden="1" x14ac:dyDescent="0.15">
      <c r="A260" s="259">
        <v>3</v>
      </c>
      <c r="B260" s="345" t="s">
        <v>645</v>
      </c>
      <c r="C260" s="104"/>
      <c r="D260" s="105"/>
      <c r="E260" s="106"/>
      <c r="F260" s="47"/>
      <c r="G260" s="47"/>
      <c r="H260" s="47"/>
      <c r="I260" s="47"/>
      <c r="J260" s="46"/>
      <c r="K260" s="46"/>
      <c r="L260" s="46"/>
      <c r="M260" s="46"/>
      <c r="N260" s="46"/>
      <c r="O260" s="258"/>
    </row>
    <row r="261" spans="1:40" ht="13.5" hidden="1" x14ac:dyDescent="0.15">
      <c r="A261" s="259">
        <v>4</v>
      </c>
      <c r="B261" s="338" t="s">
        <v>618</v>
      </c>
      <c r="C261" s="104"/>
      <c r="D261" s="104"/>
      <c r="E261" s="104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40" ht="13.5" hidden="1" x14ac:dyDescent="0.15">
      <c r="A262" s="259">
        <v>5</v>
      </c>
      <c r="B262" s="345" t="s">
        <v>646</v>
      </c>
      <c r="C262" s="104"/>
      <c r="D262" s="104"/>
      <c r="E262" s="104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40" ht="13.5" hidden="1" x14ac:dyDescent="0.15">
      <c r="A263" s="259">
        <v>6</v>
      </c>
      <c r="B263" s="345" t="s">
        <v>647</v>
      </c>
      <c r="C263" s="104"/>
      <c r="D263" s="104"/>
      <c r="E263" s="104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40" ht="13.5" hidden="1" x14ac:dyDescent="0.15">
      <c r="A264" s="259">
        <v>7</v>
      </c>
      <c r="B264" s="51" t="s">
        <v>551</v>
      </c>
      <c r="C264" s="104"/>
      <c r="D264" s="104"/>
      <c r="E264" s="104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40" ht="13.5" hidden="1" x14ac:dyDescent="0.15">
      <c r="A265" s="259">
        <v>8</v>
      </c>
      <c r="B265" s="51" t="s">
        <v>552</v>
      </c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258"/>
    </row>
    <row r="266" spans="1:40" ht="13.5" hidden="1" x14ac:dyDescent="0.15">
      <c r="A266" s="259">
        <v>9</v>
      </c>
      <c r="B266" s="51" t="s">
        <v>553</v>
      </c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58"/>
      <c r="AH266" s="69"/>
      <c r="AI266" s="69"/>
      <c r="AJ266" s="69"/>
      <c r="AK266" s="69"/>
      <c r="AL266" s="69"/>
      <c r="AM266" s="69"/>
      <c r="AN266" s="69"/>
    </row>
    <row r="267" spans="1:40" ht="13.5" hidden="1" x14ac:dyDescent="0.15">
      <c r="A267" s="259" t="s">
        <v>722</v>
      </c>
      <c r="B267" s="51" t="s">
        <v>616</v>
      </c>
      <c r="C267" s="109"/>
      <c r="D267" s="109"/>
      <c r="E267" s="110"/>
      <c r="F267" s="358"/>
      <c r="G267" s="111"/>
      <c r="H267" s="111"/>
      <c r="I267" s="111"/>
      <c r="J267" s="46"/>
      <c r="K267" s="46"/>
      <c r="L267" s="46"/>
      <c r="M267" s="46"/>
      <c r="N267" s="9"/>
      <c r="O267" s="258"/>
      <c r="AH267" s="69"/>
      <c r="AI267" s="69"/>
      <c r="AJ267" s="69"/>
      <c r="AK267" s="69"/>
      <c r="AL267" s="69"/>
      <c r="AM267" s="69"/>
      <c r="AN267" s="69"/>
    </row>
    <row r="268" spans="1:40" ht="13.5" hidden="1" x14ac:dyDescent="0.15">
      <c r="A268" s="259">
        <v>10</v>
      </c>
      <c r="B268" s="338" t="s">
        <v>619</v>
      </c>
      <c r="C268" s="104"/>
      <c r="D268" s="105"/>
      <c r="E268" s="106"/>
      <c r="F268" s="46"/>
      <c r="G268" s="46"/>
      <c r="H268" s="46"/>
      <c r="I268" s="46"/>
      <c r="J268" s="46"/>
      <c r="K268" s="46"/>
      <c r="L268" s="46"/>
      <c r="M268" s="46"/>
      <c r="N268" s="46"/>
      <c r="O268" s="258"/>
      <c r="AH268" s="69"/>
      <c r="AI268" s="69"/>
      <c r="AJ268" s="69"/>
      <c r="AK268" s="69"/>
      <c r="AL268" s="69"/>
      <c r="AM268" s="69"/>
      <c r="AN268" s="69"/>
    </row>
    <row r="269" spans="1:40" ht="13.5" hidden="1" x14ac:dyDescent="0.15">
      <c r="A269" s="259">
        <v>11</v>
      </c>
      <c r="B269" s="345" t="s">
        <v>648</v>
      </c>
      <c r="C269" s="104"/>
      <c r="D269" s="105"/>
      <c r="E269" s="106"/>
      <c r="F269" s="47"/>
      <c r="G269" s="47"/>
      <c r="H269" s="47"/>
      <c r="I269" s="47"/>
      <c r="J269" s="46"/>
      <c r="K269" s="46"/>
      <c r="L269" s="46"/>
      <c r="M269" s="46"/>
      <c r="N269" s="46"/>
      <c r="O269" s="258"/>
      <c r="AH269" s="69"/>
      <c r="AI269" s="69"/>
      <c r="AJ269" s="69"/>
      <c r="AK269" s="69"/>
      <c r="AL269" s="69"/>
      <c r="AM269" s="69"/>
      <c r="AN269" s="69"/>
    </row>
    <row r="270" spans="1:40" ht="13.5" hidden="1" x14ac:dyDescent="0.15">
      <c r="A270" s="259">
        <v>12</v>
      </c>
      <c r="B270" s="345" t="s">
        <v>649</v>
      </c>
      <c r="C270" s="104"/>
      <c r="D270" s="105"/>
      <c r="E270" s="106"/>
      <c r="F270" s="47"/>
      <c r="G270" s="111"/>
      <c r="H270" s="47"/>
      <c r="I270" s="47"/>
      <c r="J270" s="46"/>
      <c r="K270" s="46"/>
      <c r="L270" s="46"/>
      <c r="M270" s="46"/>
      <c r="N270" s="46"/>
      <c r="O270" s="258"/>
      <c r="AH270" s="69"/>
      <c r="AI270" s="69"/>
      <c r="AJ270" s="69"/>
      <c r="AK270" s="69"/>
      <c r="AL270" s="69"/>
      <c r="AM270" s="69"/>
      <c r="AN270" s="69"/>
    </row>
    <row r="271" spans="1:40" ht="13.5" hidden="1" x14ac:dyDescent="0.15">
      <c r="A271" s="259">
        <v>13</v>
      </c>
      <c r="B271" s="338" t="s">
        <v>620</v>
      </c>
      <c r="C271" s="104"/>
      <c r="D271" s="105"/>
      <c r="E271" s="106"/>
      <c r="F271" s="47"/>
      <c r="G271" s="111"/>
      <c r="H271" s="47"/>
      <c r="I271" s="47"/>
      <c r="J271" s="46"/>
      <c r="K271" s="46"/>
      <c r="L271" s="46"/>
      <c r="M271" s="46"/>
      <c r="N271" s="46"/>
      <c r="O271" s="258"/>
    </row>
    <row r="272" spans="1:40" ht="13.5" hidden="1" x14ac:dyDescent="0.15">
      <c r="A272" s="259">
        <v>14</v>
      </c>
      <c r="B272" s="345" t="s">
        <v>650</v>
      </c>
      <c r="C272" s="104"/>
      <c r="D272" s="105"/>
      <c r="E272" s="106"/>
      <c r="F272" s="47"/>
      <c r="G272" s="111"/>
      <c r="H272" s="47"/>
      <c r="I272" s="47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15</v>
      </c>
      <c r="B273" s="345" t="s">
        <v>651</v>
      </c>
      <c r="C273" s="104"/>
      <c r="D273" s="105"/>
      <c r="E273" s="106"/>
      <c r="F273" s="47"/>
      <c r="G273" s="111"/>
      <c r="H273" s="47"/>
      <c r="I273" s="47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16</v>
      </c>
      <c r="B274" s="339" t="s">
        <v>621</v>
      </c>
      <c r="C274" s="104"/>
      <c r="D274" s="105"/>
      <c r="E274" s="106"/>
      <c r="F274" s="112"/>
      <c r="G274" s="112"/>
      <c r="H274" s="112"/>
      <c r="I274" s="112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17</v>
      </c>
      <c r="B275" s="345" t="s">
        <v>652</v>
      </c>
      <c r="C275" s="104"/>
      <c r="D275" s="105"/>
      <c r="E275" s="106"/>
      <c r="F275" s="112"/>
      <c r="G275" s="112"/>
      <c r="H275" s="112"/>
      <c r="I275" s="112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18</v>
      </c>
      <c r="B276" s="345" t="s">
        <v>653</v>
      </c>
      <c r="C276" s="104"/>
      <c r="D276" s="104"/>
      <c r="E276" s="104"/>
      <c r="F276" s="112"/>
      <c r="G276" s="112"/>
      <c r="H276" s="112"/>
      <c r="I276" s="112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19</v>
      </c>
      <c r="B277" s="340" t="s">
        <v>622</v>
      </c>
      <c r="C277" s="104"/>
      <c r="D277" s="104"/>
      <c r="E277" s="104"/>
      <c r="F277" s="112"/>
      <c r="G277" s="112"/>
      <c r="H277" s="112"/>
      <c r="I277" s="112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20</v>
      </c>
      <c r="B278" s="345" t="s">
        <v>654</v>
      </c>
      <c r="C278" s="104"/>
      <c r="D278" s="104"/>
      <c r="E278" s="104"/>
      <c r="F278" s="112"/>
      <c r="G278" s="112"/>
      <c r="H278" s="112"/>
      <c r="I278" s="112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21</v>
      </c>
      <c r="B279" s="340" t="s">
        <v>623</v>
      </c>
      <c r="C279" s="104"/>
      <c r="D279" s="104"/>
      <c r="E279" s="104"/>
      <c r="F279" s="112"/>
      <c r="G279" s="112"/>
      <c r="H279" s="112"/>
      <c r="I279" s="112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22</v>
      </c>
      <c r="B280" s="345" t="s">
        <v>655</v>
      </c>
      <c r="C280" s="104"/>
      <c r="D280" s="104"/>
      <c r="E280" s="104"/>
      <c r="F280" s="112"/>
      <c r="G280" s="112"/>
      <c r="H280" s="112"/>
      <c r="I280" s="112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23</v>
      </c>
      <c r="B281" s="340" t="s">
        <v>624</v>
      </c>
      <c r="C281" s="104"/>
      <c r="D281" s="104"/>
      <c r="E281" s="104"/>
      <c r="F281" s="112"/>
      <c r="G281" s="112"/>
      <c r="H281" s="112"/>
      <c r="I281" s="112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24</v>
      </c>
      <c r="B282" s="340" t="s">
        <v>625</v>
      </c>
      <c r="C282" s="104"/>
      <c r="D282" s="104"/>
      <c r="E282" s="104"/>
      <c r="F282" s="112"/>
      <c r="G282" s="112"/>
      <c r="H282" s="112"/>
      <c r="I282" s="112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25</v>
      </c>
      <c r="B283" s="340" t="s">
        <v>626</v>
      </c>
      <c r="C283" s="104"/>
      <c r="D283" s="104"/>
      <c r="E283" s="104"/>
      <c r="F283" s="112"/>
      <c r="G283" s="112"/>
      <c r="H283" s="112"/>
      <c r="I283" s="112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26</v>
      </c>
      <c r="B284" s="51" t="s">
        <v>556</v>
      </c>
      <c r="C284" s="104"/>
      <c r="D284" s="104"/>
      <c r="E284" s="104"/>
      <c r="F284" s="112"/>
      <c r="G284" s="112"/>
      <c r="H284" s="112"/>
      <c r="I284" s="112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27</v>
      </c>
      <c r="B285" s="107" t="s">
        <v>549</v>
      </c>
      <c r="C285" s="104"/>
      <c r="D285" s="104"/>
      <c r="E285" s="104"/>
      <c r="F285" s="112"/>
      <c r="G285" s="112"/>
      <c r="H285" s="112"/>
      <c r="I285" s="112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28</v>
      </c>
      <c r="B286" s="340" t="s">
        <v>627</v>
      </c>
      <c r="C286" s="359"/>
      <c r="D286" s="111"/>
      <c r="E286" s="360"/>
      <c r="F286" s="112"/>
      <c r="G286" s="112"/>
      <c r="H286" s="112"/>
      <c r="I286" s="112"/>
      <c r="J286" s="46"/>
      <c r="K286" s="46"/>
      <c r="L286" s="46"/>
      <c r="M286" s="46"/>
      <c r="N286" s="361"/>
      <c r="O286" s="258"/>
    </row>
    <row r="287" spans="1:15" ht="13.5" hidden="1" x14ac:dyDescent="0.15">
      <c r="A287" s="259">
        <v>29</v>
      </c>
      <c r="B287" s="345" t="s">
        <v>663</v>
      </c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58"/>
    </row>
    <row r="288" spans="1:15" ht="13.5" hidden="1" x14ac:dyDescent="0.15">
      <c r="A288" s="259">
        <v>30</v>
      </c>
      <c r="B288" s="340" t="s">
        <v>628</v>
      </c>
      <c r="C288" s="109"/>
      <c r="D288" s="109"/>
      <c r="E288" s="110"/>
      <c r="F288" s="358"/>
      <c r="G288" s="111"/>
      <c r="H288" s="111"/>
      <c r="I288" s="111"/>
      <c r="J288" s="46"/>
      <c r="K288" s="46"/>
      <c r="L288" s="46"/>
      <c r="M288" s="46"/>
      <c r="N288" s="9"/>
      <c r="O288" s="258"/>
    </row>
    <row r="289" spans="1:15" ht="13.5" hidden="1" x14ac:dyDescent="0.15">
      <c r="A289" s="259">
        <v>31</v>
      </c>
      <c r="B289" s="51" t="s">
        <v>557</v>
      </c>
      <c r="C289" s="104"/>
      <c r="D289" s="105"/>
      <c r="E289" s="106"/>
      <c r="F289" s="112"/>
      <c r="G289" s="112"/>
      <c r="H289" s="112"/>
      <c r="I289" s="112"/>
      <c r="J289" s="46"/>
      <c r="K289" s="46"/>
      <c r="L289" s="46"/>
      <c r="M289" s="46"/>
      <c r="N289" s="46"/>
      <c r="O289" s="258"/>
    </row>
    <row r="290" spans="1:15" ht="13.5" hidden="1" x14ac:dyDescent="0.15">
      <c r="A290" s="259" t="s">
        <v>723</v>
      </c>
      <c r="B290" s="51" t="s">
        <v>614</v>
      </c>
      <c r="C290" s="104"/>
      <c r="D290" s="105"/>
      <c r="E290" s="106"/>
      <c r="F290" s="112"/>
      <c r="G290" s="112"/>
      <c r="H290" s="112"/>
      <c r="I290" s="112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32</v>
      </c>
      <c r="B291" s="345" t="s">
        <v>664</v>
      </c>
      <c r="C291" s="104"/>
      <c r="D291" s="105"/>
      <c r="E291" s="106"/>
      <c r="F291" s="112"/>
      <c r="G291" s="112"/>
      <c r="H291" s="112"/>
      <c r="I291" s="112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33</v>
      </c>
      <c r="B292" s="340" t="s">
        <v>629</v>
      </c>
      <c r="C292" s="104"/>
      <c r="D292" s="105"/>
      <c r="E292" s="106"/>
      <c r="F292" s="112"/>
      <c r="G292" s="112"/>
      <c r="H292" s="112"/>
      <c r="I292" s="112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34</v>
      </c>
      <c r="B293" s="345" t="s">
        <v>665</v>
      </c>
      <c r="C293" s="104"/>
      <c r="D293" s="105"/>
      <c r="E293" s="106"/>
      <c r="F293" s="112"/>
      <c r="G293" s="112"/>
      <c r="H293" s="112"/>
      <c r="I293" s="112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35</v>
      </c>
      <c r="B294" s="51" t="s">
        <v>559</v>
      </c>
      <c r="C294" s="104"/>
      <c r="D294" s="104"/>
      <c r="E294" s="104"/>
      <c r="F294" s="112"/>
      <c r="G294" s="112"/>
      <c r="H294" s="112"/>
      <c r="I294" s="112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36</v>
      </c>
      <c r="B295" s="51" t="s">
        <v>560</v>
      </c>
      <c r="C295" s="104"/>
      <c r="D295" s="104"/>
      <c r="E295" s="104"/>
      <c r="F295" s="112"/>
      <c r="G295" s="112"/>
      <c r="H295" s="112"/>
      <c r="I295" s="112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37</v>
      </c>
      <c r="B296" s="345" t="s">
        <v>689</v>
      </c>
      <c r="C296" s="104"/>
      <c r="D296" s="104"/>
      <c r="E296" s="104"/>
      <c r="F296" s="112"/>
      <c r="G296" s="112"/>
      <c r="H296" s="112"/>
      <c r="I296" s="112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38</v>
      </c>
      <c r="B297" s="345" t="s">
        <v>666</v>
      </c>
      <c r="C297" s="104"/>
      <c r="D297" s="104"/>
      <c r="E297" s="104"/>
      <c r="F297" s="112"/>
      <c r="G297" s="112"/>
      <c r="H297" s="112"/>
      <c r="I297" s="112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39</v>
      </c>
      <c r="B298" s="340" t="s">
        <v>630</v>
      </c>
      <c r="C298" s="104"/>
      <c r="D298" s="104"/>
      <c r="E298" s="104"/>
      <c r="F298" s="112"/>
      <c r="G298" s="112"/>
      <c r="H298" s="112"/>
      <c r="I298" s="112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40</v>
      </c>
      <c r="B299" s="340" t="s">
        <v>631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41</v>
      </c>
      <c r="B300" s="51" t="s">
        <v>561</v>
      </c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58"/>
    </row>
    <row r="301" spans="1:15" ht="13.5" hidden="1" x14ac:dyDescent="0.15">
      <c r="A301" s="259">
        <v>42</v>
      </c>
      <c r="B301" s="345" t="s">
        <v>667</v>
      </c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258"/>
    </row>
    <row r="302" spans="1:15" ht="13.5" hidden="1" x14ac:dyDescent="0.15">
      <c r="A302" s="259">
        <v>43</v>
      </c>
      <c r="B302" s="51" t="s">
        <v>562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258"/>
    </row>
    <row r="303" spans="1:15" ht="13.5" hidden="1" x14ac:dyDescent="0.15">
      <c r="A303" s="259">
        <v>44</v>
      </c>
      <c r="B303" s="51" t="s">
        <v>563</v>
      </c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258"/>
    </row>
    <row r="304" spans="1:15" ht="13.5" hidden="1" x14ac:dyDescent="0.15">
      <c r="A304" s="259">
        <v>45</v>
      </c>
      <c r="B304" s="51" t="s">
        <v>686</v>
      </c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258"/>
    </row>
    <row r="305" spans="1:15" ht="13.5" hidden="1" x14ac:dyDescent="0.15">
      <c r="A305" s="259">
        <v>46</v>
      </c>
      <c r="B305" s="345" t="s">
        <v>668</v>
      </c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258"/>
    </row>
    <row r="306" spans="1:15" ht="13.5" hidden="1" x14ac:dyDescent="0.15">
      <c r="A306" s="259">
        <v>47</v>
      </c>
      <c r="B306" s="345" t="s">
        <v>669</v>
      </c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258"/>
    </row>
    <row r="307" spans="1:15" ht="13.5" hidden="1" x14ac:dyDescent="0.15">
      <c r="A307" s="259" t="s">
        <v>724</v>
      </c>
      <c r="B307" s="345" t="s">
        <v>701</v>
      </c>
      <c r="C307" s="9"/>
      <c r="D307" s="9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258"/>
    </row>
    <row r="308" spans="1:15" ht="13.5" hidden="1" x14ac:dyDescent="0.15">
      <c r="A308" s="259">
        <v>48</v>
      </c>
      <c r="B308" s="51" t="s">
        <v>564</v>
      </c>
      <c r="C308" s="9"/>
      <c r="D308" s="9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258"/>
    </row>
    <row r="309" spans="1:15" ht="13.5" hidden="1" x14ac:dyDescent="0.15">
      <c r="A309" s="259">
        <v>49</v>
      </c>
      <c r="B309" s="345" t="s">
        <v>670</v>
      </c>
      <c r="C309" s="9"/>
      <c r="D309" s="9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258"/>
    </row>
    <row r="310" spans="1:15" ht="13.5" hidden="1" x14ac:dyDescent="0.15">
      <c r="A310" s="259">
        <v>50</v>
      </c>
      <c r="B310" s="340" t="s">
        <v>632</v>
      </c>
      <c r="C310" s="9"/>
      <c r="D310" s="9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258"/>
    </row>
    <row r="311" spans="1:15" ht="13.5" hidden="1" x14ac:dyDescent="0.15">
      <c r="A311" s="259">
        <v>51</v>
      </c>
      <c r="B311" s="51" t="s">
        <v>565</v>
      </c>
      <c r="C311" s="9"/>
      <c r="D311" s="9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258"/>
    </row>
    <row r="312" spans="1:15" ht="13.5" hidden="1" x14ac:dyDescent="0.15">
      <c r="A312" s="259">
        <v>52</v>
      </c>
      <c r="B312" s="51" t="s">
        <v>566</v>
      </c>
      <c r="C312" s="9"/>
      <c r="D312" s="9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258"/>
    </row>
    <row r="313" spans="1:15" ht="13.5" hidden="1" x14ac:dyDescent="0.15">
      <c r="A313" s="259">
        <v>53</v>
      </c>
      <c r="B313" s="51" t="s">
        <v>567</v>
      </c>
      <c r="C313" s="9"/>
      <c r="D313" s="9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258"/>
    </row>
    <row r="314" spans="1:15" ht="13.5" hidden="1" x14ac:dyDescent="0.15">
      <c r="A314" s="259">
        <v>54</v>
      </c>
      <c r="B314" s="51" t="s">
        <v>568</v>
      </c>
      <c r="C314" s="9"/>
      <c r="D314" s="9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258"/>
    </row>
    <row r="315" spans="1:15" ht="13.5" hidden="1" x14ac:dyDescent="0.15">
      <c r="A315" s="259">
        <v>55</v>
      </c>
      <c r="B315" s="51" t="s">
        <v>569</v>
      </c>
      <c r="C315" s="9"/>
      <c r="D315" s="9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258"/>
    </row>
    <row r="316" spans="1:15" ht="13.5" hidden="1" x14ac:dyDescent="0.15">
      <c r="A316" s="259">
        <v>56</v>
      </c>
      <c r="B316" s="340" t="s">
        <v>633</v>
      </c>
      <c r="C316" s="9"/>
      <c r="D316" s="9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258"/>
    </row>
    <row r="317" spans="1:15" ht="13.5" hidden="1" x14ac:dyDescent="0.15">
      <c r="A317" s="259">
        <v>57</v>
      </c>
      <c r="B317" s="51" t="s">
        <v>570</v>
      </c>
      <c r="C317" s="9"/>
      <c r="D317" s="9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258"/>
    </row>
    <row r="318" spans="1:15" ht="13.5" hidden="1" x14ac:dyDescent="0.15">
      <c r="A318" s="259">
        <v>58</v>
      </c>
      <c r="B318" s="51" t="s">
        <v>571</v>
      </c>
      <c r="C318" s="9"/>
      <c r="D318" s="9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258"/>
    </row>
    <row r="319" spans="1:15" ht="13.5" hidden="1" x14ac:dyDescent="0.15">
      <c r="A319" s="259">
        <v>59</v>
      </c>
      <c r="B319" s="345" t="s">
        <v>671</v>
      </c>
      <c r="C319" s="9"/>
      <c r="D319" s="9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258"/>
    </row>
    <row r="320" spans="1:15" ht="13.5" hidden="1" x14ac:dyDescent="0.15">
      <c r="A320" s="259">
        <v>60</v>
      </c>
      <c r="B320" s="51" t="s">
        <v>572</v>
      </c>
      <c r="C320" s="9"/>
      <c r="D320" s="9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258"/>
    </row>
    <row r="321" spans="1:15" ht="13.5" hidden="1" x14ac:dyDescent="0.15">
      <c r="A321" s="259">
        <v>61</v>
      </c>
      <c r="B321" s="51" t="s">
        <v>573</v>
      </c>
      <c r="C321" s="9"/>
      <c r="D321" s="9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258"/>
    </row>
    <row r="322" spans="1:15" ht="13.5" hidden="1" x14ac:dyDescent="0.15">
      <c r="A322" s="259">
        <v>62</v>
      </c>
      <c r="B322" s="51" t="s">
        <v>574</v>
      </c>
      <c r="C322" s="9"/>
      <c r="D322" s="9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258"/>
    </row>
    <row r="323" spans="1:15" ht="13.5" hidden="1" x14ac:dyDescent="0.15">
      <c r="A323" s="259">
        <v>63</v>
      </c>
      <c r="B323" s="345" t="s">
        <v>672</v>
      </c>
      <c r="C323" s="9"/>
      <c r="D323" s="9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258"/>
    </row>
    <row r="324" spans="1:15" ht="13.5" hidden="1" x14ac:dyDescent="0.15">
      <c r="A324" s="259">
        <v>64</v>
      </c>
      <c r="B324" s="51" t="s">
        <v>580</v>
      </c>
      <c r="C324" s="9"/>
      <c r="D324" s="9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258"/>
    </row>
    <row r="325" spans="1:15" ht="13.5" hidden="1" x14ac:dyDescent="0.15">
      <c r="A325" s="259">
        <v>65</v>
      </c>
      <c r="B325" s="51" t="s">
        <v>583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66</v>
      </c>
      <c r="B326" s="340" t="s">
        <v>634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67</v>
      </c>
      <c r="B327" s="51" t="s">
        <v>581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 t="s">
        <v>725</v>
      </c>
      <c r="B328" s="51" t="s">
        <v>684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68</v>
      </c>
      <c r="B329" s="108" t="s">
        <v>673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A330" s="259">
        <v>69</v>
      </c>
      <c r="B330" s="340" t="s">
        <v>635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A331" s="259">
        <v>70</v>
      </c>
      <c r="B331" s="108" t="s">
        <v>674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A332" s="259">
        <v>71</v>
      </c>
      <c r="B332" s="108" t="s">
        <v>675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A333" s="259">
        <v>72</v>
      </c>
      <c r="B333" s="108" t="s">
        <v>677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A334" s="259">
        <v>73</v>
      </c>
      <c r="B334" s="340" t="s">
        <v>636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A335" s="259">
        <v>74</v>
      </c>
      <c r="B335" s="108" t="s">
        <v>678</v>
      </c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A336" s="259">
        <v>75</v>
      </c>
      <c r="B336" s="340" t="s">
        <v>637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1:15" ht="13.5" hidden="1" x14ac:dyDescent="0.15">
      <c r="A337" s="259">
        <v>76</v>
      </c>
      <c r="B337" s="108" t="s">
        <v>679</v>
      </c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1:15" ht="13.5" hidden="1" x14ac:dyDescent="0.15">
      <c r="A338" s="259">
        <v>77</v>
      </c>
      <c r="B338" s="340" t="s">
        <v>638</v>
      </c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1:15" ht="13.5" hidden="1" x14ac:dyDescent="0.15">
      <c r="A339" s="259">
        <v>78</v>
      </c>
      <c r="B339" s="108" t="s">
        <v>680</v>
      </c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1:15" ht="13.5" hidden="1" x14ac:dyDescent="0.15">
      <c r="A340" s="259">
        <v>79</v>
      </c>
      <c r="B340" s="340" t="s">
        <v>639</v>
      </c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1:15" ht="13.5" hidden="1" x14ac:dyDescent="0.15">
      <c r="A341" s="259">
        <v>80</v>
      </c>
      <c r="B341" s="340" t="s">
        <v>640</v>
      </c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1:15" ht="13.5" hidden="1" x14ac:dyDescent="0.15">
      <c r="A342" s="259">
        <v>81</v>
      </c>
      <c r="B342" s="108" t="s">
        <v>681</v>
      </c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1:15" ht="13.5" hidden="1" x14ac:dyDescent="0.15">
      <c r="A343" s="259">
        <v>82</v>
      </c>
      <c r="B343" s="51" t="s">
        <v>584</v>
      </c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1:15" ht="13.5" hidden="1" x14ac:dyDescent="0.15">
      <c r="A344" s="259">
        <v>83</v>
      </c>
      <c r="B344" s="340" t="s">
        <v>683</v>
      </c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1:15" ht="13.5" hidden="1" x14ac:dyDescent="0.15">
      <c r="A345" s="259">
        <v>84</v>
      </c>
      <c r="B345" s="340" t="s">
        <v>699</v>
      </c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1:15" ht="13.5" hidden="1" x14ac:dyDescent="0.15">
      <c r="A346" s="259">
        <v>85</v>
      </c>
      <c r="B346" s="340" t="s">
        <v>641</v>
      </c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1:15" ht="13.5" hidden="1" x14ac:dyDescent="0.15">
      <c r="A347" s="259">
        <v>86</v>
      </c>
      <c r="B347" s="340" t="s">
        <v>642</v>
      </c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1:15" ht="13.5" hidden="1" x14ac:dyDescent="0.15">
      <c r="A348" s="259">
        <v>87</v>
      </c>
      <c r="B348" s="340" t="s">
        <v>643</v>
      </c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1:15" ht="13.5" hidden="1" x14ac:dyDescent="0.15">
      <c r="A349" s="259">
        <v>88</v>
      </c>
      <c r="B349" s="340" t="s">
        <v>644</v>
      </c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1:15" ht="13.5" hidden="1" x14ac:dyDescent="0.15">
      <c r="A350" s="259">
        <v>89</v>
      </c>
      <c r="B350" s="51" t="s">
        <v>585</v>
      </c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1:15" ht="13.5" hidden="1" x14ac:dyDescent="0.15">
      <c r="A351" s="259">
        <v>90</v>
      </c>
      <c r="B351" s="108" t="s">
        <v>682</v>
      </c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1:15" ht="13.5" hidden="1" x14ac:dyDescent="0.15">
      <c r="A352" s="259">
        <v>91</v>
      </c>
      <c r="B352" s="51" t="s">
        <v>586</v>
      </c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1:15" ht="13.5" hidden="1" x14ac:dyDescent="0.15">
      <c r="A353" s="259" t="s">
        <v>726</v>
      </c>
      <c r="B353" s="51" t="s">
        <v>685</v>
      </c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1:15" ht="13.5" hidden="1" x14ac:dyDescent="0.15">
      <c r="A354" s="259">
        <v>92</v>
      </c>
      <c r="B354" s="51" t="s">
        <v>588</v>
      </c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1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1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1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1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1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1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1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1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1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1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1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1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1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1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  <row r="825" spans="2:15" ht="13.5" hidden="1" x14ac:dyDescent="0.15">
      <c r="B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258"/>
    </row>
    <row r="826" spans="2:15" ht="13.5" hidden="1" x14ac:dyDescent="0.15">
      <c r="B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258"/>
    </row>
    <row r="827" spans="2:15" ht="13.5" hidden="1" x14ac:dyDescent="0.15">
      <c r="B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258"/>
    </row>
    <row r="828" spans="2:15" ht="13.5" hidden="1" x14ac:dyDescent="0.15">
      <c r="B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258"/>
    </row>
    <row r="829" spans="2:15" ht="13.5" hidden="1" x14ac:dyDescent="0.15">
      <c r="B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258"/>
    </row>
    <row r="830" spans="2:15" ht="13.5" hidden="1" x14ac:dyDescent="0.15">
      <c r="B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258"/>
    </row>
    <row r="831" spans="2:15" ht="13.5" hidden="1" x14ac:dyDescent="0.15">
      <c r="B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258"/>
    </row>
    <row r="832" spans="2:15" ht="13.5" hidden="1" x14ac:dyDescent="0.15">
      <c r="B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258"/>
    </row>
    <row r="833" spans="2:15" ht="13.5" hidden="1" x14ac:dyDescent="0.15">
      <c r="B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258"/>
    </row>
    <row r="834" spans="2:15" ht="13.5" hidden="1" x14ac:dyDescent="0.15">
      <c r="B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258"/>
    </row>
    <row r="835" spans="2:15" ht="13.5" hidden="1" x14ac:dyDescent="0.15">
      <c r="B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258"/>
    </row>
    <row r="836" spans="2:15" ht="13.5" hidden="1" x14ac:dyDescent="0.15">
      <c r="B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258"/>
    </row>
    <row r="837" spans="2:15" ht="13.5" hidden="1" x14ac:dyDescent="0.15">
      <c r="B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258"/>
    </row>
    <row r="838" spans="2:15" ht="13.5" hidden="1" x14ac:dyDescent="0.15">
      <c r="B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258"/>
    </row>
    <row r="839" spans="2:15" ht="13.5" hidden="1" x14ac:dyDescent="0.15">
      <c r="B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258"/>
    </row>
    <row r="840" spans="2:15" ht="13.5" hidden="1" x14ac:dyDescent="0.15">
      <c r="B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258"/>
    </row>
    <row r="841" spans="2:15" ht="13.5" hidden="1" x14ac:dyDescent="0.15">
      <c r="B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258"/>
    </row>
    <row r="842" spans="2:15" ht="13.5" hidden="1" x14ac:dyDescent="0.15">
      <c r="B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258"/>
    </row>
    <row r="843" spans="2:15" ht="13.5" hidden="1" x14ac:dyDescent="0.15">
      <c r="B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258"/>
    </row>
    <row r="844" spans="2:15" ht="13.5" hidden="1" x14ac:dyDescent="0.15">
      <c r="B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258"/>
    </row>
    <row r="845" spans="2:15" ht="13.5" hidden="1" x14ac:dyDescent="0.15">
      <c r="B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258"/>
    </row>
    <row r="846" spans="2:15" ht="13.5" hidden="1" x14ac:dyDescent="0.15">
      <c r="B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258"/>
    </row>
    <row r="847" spans="2:15" ht="13.5" hidden="1" x14ac:dyDescent="0.15">
      <c r="B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258"/>
    </row>
    <row r="848" spans="2:15" ht="13.5" hidden="1" x14ac:dyDescent="0.15">
      <c r="B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258"/>
    </row>
    <row r="849" spans="2:15" ht="13.5" hidden="1" x14ac:dyDescent="0.15">
      <c r="B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258"/>
    </row>
  </sheetData>
  <sheetProtection password="F44E" sheet="1" objects="1" scenarios="1"/>
  <mergeCells count="97">
    <mergeCell ref="F76:G76"/>
    <mergeCell ref="C76:E76"/>
    <mergeCell ref="F79:G79"/>
    <mergeCell ref="F91:G91"/>
    <mergeCell ref="C91:E91"/>
    <mergeCell ref="C84:E84"/>
    <mergeCell ref="C86:E86"/>
    <mergeCell ref="C87:E87"/>
    <mergeCell ref="F87:G87"/>
    <mergeCell ref="F88:G88"/>
    <mergeCell ref="E2:I2"/>
    <mergeCell ref="K2:N2"/>
    <mergeCell ref="D52:E52"/>
    <mergeCell ref="B4:N4"/>
    <mergeCell ref="C33:D33"/>
    <mergeCell ref="E6:H6"/>
    <mergeCell ref="H20:I20"/>
    <mergeCell ref="J20:M20"/>
    <mergeCell ref="J19:M19"/>
    <mergeCell ref="C7:J7"/>
    <mergeCell ref="C8:H8"/>
    <mergeCell ref="C9:H9"/>
    <mergeCell ref="G15:I15"/>
    <mergeCell ref="E14:F14"/>
    <mergeCell ref="F89:G89"/>
    <mergeCell ref="C89:E89"/>
    <mergeCell ref="F85:G85"/>
    <mergeCell ref="B155:N155"/>
    <mergeCell ref="K135:S135"/>
    <mergeCell ref="B135:J135"/>
    <mergeCell ref="C90:E90"/>
    <mergeCell ref="F90:G90"/>
    <mergeCell ref="F92:G92"/>
    <mergeCell ref="C92:E92"/>
    <mergeCell ref="C88:E88"/>
    <mergeCell ref="B126:E126"/>
    <mergeCell ref="F77:G77"/>
    <mergeCell ref="F86:G86"/>
    <mergeCell ref="C80:E80"/>
    <mergeCell ref="C81:E81"/>
    <mergeCell ref="F84:G84"/>
    <mergeCell ref="F80:G80"/>
    <mergeCell ref="F81:G81"/>
    <mergeCell ref="C83:E83"/>
    <mergeCell ref="C85:E85"/>
    <mergeCell ref="F82:G82"/>
    <mergeCell ref="F83:G83"/>
    <mergeCell ref="C82:E82"/>
    <mergeCell ref="P2:P3"/>
    <mergeCell ref="C77:E77"/>
    <mergeCell ref="C78:E78"/>
    <mergeCell ref="C79:E79"/>
    <mergeCell ref="J18:N18"/>
    <mergeCell ref="M6:N6"/>
    <mergeCell ref="D61:E61"/>
    <mergeCell ref="B40:N40"/>
    <mergeCell ref="G41:N41"/>
    <mergeCell ref="F78:G78"/>
    <mergeCell ref="H14:I14"/>
    <mergeCell ref="H19:I19"/>
    <mergeCell ref="L11:M11"/>
    <mergeCell ref="B75:J75"/>
    <mergeCell ref="B35:E35"/>
    <mergeCell ref="U2:U3"/>
    <mergeCell ref="X8:Y8"/>
    <mergeCell ref="X9:Y9"/>
    <mergeCell ref="V84:Z84"/>
    <mergeCell ref="P84:U84"/>
    <mergeCell ref="R20:T21"/>
    <mergeCell ref="P16:T16"/>
    <mergeCell ref="Q2:Q3"/>
    <mergeCell ref="X6:Y6"/>
    <mergeCell ref="X7:Y7"/>
    <mergeCell ref="R2:R3"/>
    <mergeCell ref="S2:S3"/>
    <mergeCell ref="T2:T3"/>
    <mergeCell ref="AG10:AH10"/>
    <mergeCell ref="AR19:AW19"/>
    <mergeCell ref="AR10:AW10"/>
    <mergeCell ref="AR12:AW12"/>
    <mergeCell ref="AR11:AW11"/>
    <mergeCell ref="AR18:AW18"/>
    <mergeCell ref="AA84:AE84"/>
    <mergeCell ref="AR20:AW20"/>
    <mergeCell ref="AR13:AW13"/>
    <mergeCell ref="AR14:AW14"/>
    <mergeCell ref="AR15:AW15"/>
    <mergeCell ref="AR16:AW16"/>
    <mergeCell ref="AR21:AW21"/>
    <mergeCell ref="AB22:AH22"/>
    <mergeCell ref="AI22:AO22"/>
    <mergeCell ref="AR17:AW17"/>
    <mergeCell ref="V156:Z156"/>
    <mergeCell ref="AA156:AE156"/>
    <mergeCell ref="U96:X96"/>
    <mergeCell ref="U95:Z95"/>
    <mergeCell ref="P156:U156"/>
  </mergeCells>
  <phoneticPr fontId="0" type="noConversion"/>
  <conditionalFormatting sqref="J125">
    <cfRule type="cellIs" dxfId="463" priority="1" stopIfTrue="1" operator="equal">
      <formula>"ATENDE TEMPO NO CARGO"</formula>
    </cfRule>
    <cfRule type="cellIs" dxfId="462" priority="2" stopIfTrue="1" operator="equal">
      <formula>"NÃO CUMPRE TEMPO NO CARGO"</formula>
    </cfRule>
  </conditionalFormatting>
  <conditionalFormatting sqref="M268:M286 M258:M264 M289:M312 C246:C248 C157:C202 N201:N202 C204:C223 C243:C244 C250:C254 C225:C241">
    <cfRule type="cellIs" dxfId="461" priority="3" stopIfTrue="1" operator="equal">
      <formula>"ANUÊNIO"</formula>
    </cfRule>
    <cfRule type="cellIs" dxfId="460" priority="4" stopIfTrue="1" operator="equal">
      <formula>"TRIÊNIO"</formula>
    </cfRule>
    <cfRule type="cellIs" dxfId="459" priority="5" stopIfTrue="1" operator="equal">
      <formula>"QUINQUÊNIO"</formula>
    </cfRule>
  </conditionalFormatting>
  <conditionalFormatting sqref="N76 N78">
    <cfRule type="cellIs" dxfId="458" priority="6" stopIfTrue="1" operator="equal">
      <formula>0</formula>
    </cfRule>
  </conditionalFormatting>
  <conditionalFormatting sqref="H77:J92 A96:N111">
    <cfRule type="cellIs" dxfId="457" priority="7" stopIfTrue="1" operator="equal">
      <formula>"SIM"</formula>
    </cfRule>
    <cfRule type="cellIs" dxfId="456" priority="8" stopIfTrue="1" operator="equal">
      <formula>"NÃO"</formula>
    </cfRule>
  </conditionalFormatting>
  <conditionalFormatting sqref="M73:M74 N70 M83:M94 M112 K95">
    <cfRule type="cellIs" dxfId="455" priority="9" stopIfTrue="1" operator="equal">
      <formula>"ATENDE"</formula>
    </cfRule>
    <cfRule type="cellIs" dxfId="454" priority="10" stopIfTrue="1" operator="equal">
      <formula>"NÃO ATENDE"</formula>
    </cfRule>
    <cfRule type="cellIs" dxfId="453" priority="11" stopIfTrue="1" operator="equal">
      <formula>"OK"</formula>
    </cfRule>
  </conditionalFormatting>
  <conditionalFormatting sqref="F71 F68:F69">
    <cfRule type="cellIs" dxfId="452" priority="12" stopIfTrue="1" operator="equal">
      <formula>"NADA A CUMPRIR"</formula>
    </cfRule>
    <cfRule type="cellIs" dxfId="451" priority="13" stopIfTrue="1" operator="equal">
      <formula>"NÃO CABE"</formula>
    </cfRule>
    <cfRule type="cellIs" dxfId="450" priority="14" stopIfTrue="1" operator="greaterThanOrEqual">
      <formula>0</formula>
    </cfRule>
  </conditionalFormatting>
  <conditionalFormatting sqref="C68">
    <cfRule type="cellIs" dxfId="449" priority="15" stopIfTrue="1" operator="equal">
      <formula>"FALTA DATA"</formula>
    </cfRule>
  </conditionalFormatting>
  <conditionalFormatting sqref="N69">
    <cfRule type="cellIs" dxfId="448" priority="16" stopIfTrue="1" operator="equal">
      <formula>"ATENDE"</formula>
    </cfRule>
    <cfRule type="cellIs" dxfId="447" priority="17" stopIfTrue="1" operator="equal">
      <formula>"NÃO ATENDE"</formula>
    </cfRule>
    <cfRule type="cellIs" dxfId="446" priority="18" stopIfTrue="1" operator="equal">
      <formula>"NÃO CABE"</formula>
    </cfRule>
  </conditionalFormatting>
  <conditionalFormatting sqref="N68">
    <cfRule type="cellIs" dxfId="445" priority="19" stopIfTrue="1" operator="equal">
      <formula>"ATENDE"</formula>
    </cfRule>
    <cfRule type="cellIs" dxfId="444" priority="20" stopIfTrue="1" operator="equal">
      <formula>"NÃO ATENDE"</formula>
    </cfRule>
    <cfRule type="cellIs" dxfId="443" priority="21" stopIfTrue="1" operator="equal">
      <formula>"NÃO CABE"</formula>
    </cfRule>
  </conditionalFormatting>
  <conditionalFormatting sqref="K8">
    <cfRule type="expression" dxfId="442" priority="22" stopIfTrue="1">
      <formula>"SE($N$8=0)"</formula>
    </cfRule>
  </conditionalFormatting>
  <conditionalFormatting sqref="K42">
    <cfRule type="expression" dxfId="441" priority="23" stopIfTrue="1">
      <formula>$E$42&lt;=0</formula>
    </cfRule>
  </conditionalFormatting>
  <conditionalFormatting sqref="M42">
    <cfRule type="expression" dxfId="440" priority="24" stopIfTrue="1">
      <formula>$E$42&lt;=0</formula>
    </cfRule>
  </conditionalFormatting>
  <conditionalFormatting sqref="O70 I67">
    <cfRule type="cellIs" dxfId="439" priority="25" stopIfTrue="1" operator="equal">
      <formula>"REVER TIPO DE ADICIONAL"</formula>
    </cfRule>
  </conditionalFormatting>
  <conditionalFormatting sqref="C69">
    <cfRule type="cellIs" dxfId="438" priority="26" stopIfTrue="1" operator="equal">
      <formula>"INÍCIO DE CARGO E/OU CARREIRA - OK"</formula>
    </cfRule>
  </conditionalFormatting>
  <conditionalFormatting sqref="I74">
    <cfRule type="cellIs" dxfId="437" priority="27" stopIfTrue="1" operator="equal">
      <formula>"NÃO SATISFAZ TEMPO DE CONTRIBUIÇÃO E/OU IDADE"</formula>
    </cfRule>
  </conditionalFormatting>
  <conditionalFormatting sqref="A77:A92">
    <cfRule type="cellIs" dxfId="436" priority="28" stopIfTrue="1" operator="equal">
      <formula>"NÃO"</formula>
    </cfRule>
    <cfRule type="cellIs" dxfId="435" priority="29" stopIfTrue="1" operator="equal">
      <formula>"SIM"</formula>
    </cfRule>
  </conditionalFormatting>
  <conditionalFormatting sqref="E70">
    <cfRule type="cellIs" dxfId="434" priority="30" stopIfTrue="1" operator="equal">
      <formula>"NÃO ATENDE LIMITE MÍNIMO DE IDADE"</formula>
    </cfRule>
    <cfRule type="cellIs" dxfId="433" priority="31" stopIfTrue="1" operator="equal">
      <formula>"REANALISAR FUNDAMENTAÇÃO E/OU MODALIDADE"</formula>
    </cfRule>
    <cfRule type="cellIs" dxfId="432" priority="32" stopIfTrue="1" operator="equal">
      <formula>"MARQUE O SEXO E/OU OBSERVE TEMPO DE CONTRIBUIÇÃO"</formula>
    </cfRule>
  </conditionalFormatting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r:id="rId1"/>
  <headerFooter alignWithMargins="0"/>
  <colBreaks count="1" manualBreakCount="1">
    <brk id="15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521"/>
  <sheetViews>
    <sheetView showGridLines="0" zoomScale="90" zoomScaleNormal="90" workbookViewId="0" xr3:uid="{78B4E459-6924-5F8B-B7BA-2DD04133E49E}">
      <selection activeCell="H5" sqref="H5"/>
    </sheetView>
  </sheetViews>
  <sheetFormatPr defaultColWidth="0" defaultRowHeight="17.45" customHeight="1" x14ac:dyDescent="0.15"/>
  <cols>
    <col min="1" max="1" width="2.6953125" style="859" customWidth="1"/>
    <col min="2" max="2" width="5.796875" style="537" customWidth="1"/>
    <col min="3" max="3" width="9.70703125" style="824" customWidth="1"/>
    <col min="4" max="4" width="3.7734375" style="824" customWidth="1"/>
    <col min="5" max="5" width="9.70703125" style="820" customWidth="1"/>
    <col min="6" max="6" width="9.9765625" style="820" customWidth="1"/>
    <col min="7" max="7" width="3.7734375" style="820" customWidth="1"/>
    <col min="8" max="8" width="11.4609375" style="820" customWidth="1"/>
    <col min="9" max="9" width="8.8984375" style="820" customWidth="1"/>
    <col min="10" max="10" width="15.640625" style="820" customWidth="1"/>
    <col min="11" max="11" width="6.3359375" style="820" customWidth="1"/>
    <col min="12" max="12" width="7.953125" style="820" customWidth="1"/>
    <col min="13" max="13" width="8.76171875" style="820" customWidth="1"/>
    <col min="14" max="14" width="13.88671875" style="820" customWidth="1"/>
    <col min="15" max="15" width="1.75" style="822" customWidth="1"/>
    <col min="16" max="17" width="8.359375" style="820" customWidth="1"/>
    <col min="18" max="18" width="9.70703125" style="820" customWidth="1"/>
    <col min="19" max="19" width="2.6953125" style="820" customWidth="1"/>
    <col min="20" max="22" width="9.70703125" style="820" hidden="1" customWidth="1"/>
    <col min="23" max="23" width="5.66015625" style="820" hidden="1" customWidth="1"/>
    <col min="24" max="24" width="5.796875" style="820" hidden="1" customWidth="1"/>
    <col min="25" max="25" width="5.66015625" style="820" hidden="1" customWidth="1"/>
    <col min="26" max="27" width="5.52734375" style="820" hidden="1" customWidth="1"/>
    <col min="28" max="29" width="5.66015625" style="820" hidden="1" customWidth="1"/>
    <col min="30" max="30" width="5.52734375" style="533" hidden="1" customWidth="1"/>
    <col min="31" max="32" width="5.93359375" style="533" hidden="1" customWidth="1"/>
    <col min="33" max="33" width="5.93359375" style="820" hidden="1" customWidth="1"/>
    <col min="34" max="35" width="5.796875" style="820" hidden="1" customWidth="1"/>
    <col min="36" max="36" width="5.93359375" style="820" hidden="1" customWidth="1"/>
    <col min="37" max="37" width="5.66015625" style="820" hidden="1" customWidth="1"/>
    <col min="38" max="38" width="5.93359375" style="820" hidden="1" customWidth="1"/>
    <col min="39" max="41" width="5.796875" style="820" hidden="1" customWidth="1"/>
    <col min="42" max="42" width="5.93359375" style="820" hidden="1" customWidth="1"/>
    <col min="43" max="43" width="5.796875" style="820" hidden="1" customWidth="1"/>
    <col min="44" max="44" width="5.93359375" style="820" hidden="1" customWidth="1"/>
    <col min="45" max="45" width="5.796875" style="820" hidden="1" customWidth="1"/>
    <col min="46" max="49" width="5.93359375" style="820" hidden="1" customWidth="1"/>
    <col min="50" max="53" width="5.66015625" style="820" hidden="1" customWidth="1"/>
    <col min="54" max="54" width="44.09375" style="820" hidden="1" customWidth="1"/>
    <col min="55" max="55" width="2.6953125" style="820" hidden="1" customWidth="1"/>
    <col min="56" max="16384" width="0" style="820" hidden="1"/>
  </cols>
  <sheetData>
    <row r="1" spans="1:53" ht="17.45" customHeight="1" thickBot="1" x14ac:dyDescent="0.2">
      <c r="A1" s="821"/>
      <c r="O1" s="1932" t="s">
        <v>790</v>
      </c>
      <c r="P1" s="1932"/>
      <c r="Q1" s="1932"/>
      <c r="R1" s="1932"/>
      <c r="BA1" s="823"/>
    </row>
    <row r="2" spans="1:53" ht="17.45" customHeight="1" x14ac:dyDescent="0.15">
      <c r="A2" s="821"/>
      <c r="B2" s="1893" t="s">
        <v>785</v>
      </c>
      <c r="C2" s="1894"/>
      <c r="D2" s="1894"/>
      <c r="E2" s="1894"/>
      <c r="F2" s="1894"/>
      <c r="G2" s="1894"/>
      <c r="H2" s="1894"/>
      <c r="I2" s="1894"/>
      <c r="J2" s="1894"/>
      <c r="K2" s="1894"/>
      <c r="L2" s="1894"/>
      <c r="M2" s="1894"/>
      <c r="N2" s="1894"/>
      <c r="O2" s="1894"/>
      <c r="P2" s="1894"/>
      <c r="Q2" s="1894"/>
      <c r="R2" s="1895"/>
      <c r="S2" s="824"/>
      <c r="T2" s="824"/>
      <c r="U2" s="824"/>
      <c r="BA2" s="823"/>
    </row>
    <row r="3" spans="1:53" ht="17.45" customHeight="1" thickBot="1" x14ac:dyDescent="0.2">
      <c r="A3" s="821"/>
      <c r="B3" s="1896"/>
      <c r="C3" s="1897"/>
      <c r="D3" s="1897"/>
      <c r="E3" s="1897"/>
      <c r="F3" s="1897"/>
      <c r="G3" s="1897"/>
      <c r="H3" s="1897"/>
      <c r="I3" s="1897"/>
      <c r="J3" s="1897"/>
      <c r="K3" s="1897"/>
      <c r="L3" s="1897"/>
      <c r="M3" s="1897"/>
      <c r="N3" s="1897"/>
      <c r="O3" s="1897"/>
      <c r="P3" s="1897"/>
      <c r="Q3" s="1897"/>
      <c r="R3" s="1898"/>
      <c r="S3" s="824"/>
      <c r="T3" s="824"/>
      <c r="U3" s="824"/>
      <c r="BA3" s="823"/>
    </row>
    <row r="4" spans="1:53" ht="17.45" customHeight="1" x14ac:dyDescent="0.15">
      <c r="A4" s="821"/>
      <c r="O4" s="554"/>
      <c r="BA4" s="823"/>
    </row>
    <row r="5" spans="1:53" ht="17.45" customHeight="1" x14ac:dyDescent="0.15">
      <c r="A5" s="821"/>
      <c r="B5" s="841" t="s">
        <v>167</v>
      </c>
      <c r="C5" s="841" t="s">
        <v>168</v>
      </c>
      <c r="D5" s="841"/>
      <c r="E5" s="841"/>
      <c r="F5" s="841"/>
      <c r="G5" s="841"/>
      <c r="H5" s="841"/>
      <c r="I5" s="841"/>
      <c r="J5" s="841"/>
      <c r="K5" s="841"/>
      <c r="L5" s="841"/>
      <c r="M5" s="841"/>
      <c r="N5" s="841"/>
      <c r="O5" s="554"/>
      <c r="BA5" s="823"/>
    </row>
    <row r="6" spans="1:53" ht="75.75" customHeight="1" x14ac:dyDescent="0.15">
      <c r="A6" s="554"/>
      <c r="B6" s="1907" t="s">
        <v>259</v>
      </c>
      <c r="C6" s="1907"/>
      <c r="D6" s="1907"/>
      <c r="E6" s="1907"/>
      <c r="F6" s="1907"/>
      <c r="G6" s="1907"/>
      <c r="H6" s="1907"/>
      <c r="I6" s="1907"/>
      <c r="J6" s="1907"/>
      <c r="K6" s="1907"/>
      <c r="L6" s="1907"/>
      <c r="M6" s="1907"/>
      <c r="N6" s="1907"/>
      <c r="O6" s="1907"/>
      <c r="P6" s="1879"/>
      <c r="Q6" s="1879"/>
      <c r="R6" s="1879"/>
      <c r="BA6" s="823"/>
    </row>
    <row r="7" spans="1:53" ht="17.45" customHeight="1" x14ac:dyDescent="0.15">
      <c r="A7" s="554"/>
      <c r="B7" s="1507"/>
      <c r="C7" s="1507"/>
      <c r="D7" s="1507"/>
      <c r="E7" s="1507"/>
      <c r="F7" s="1507"/>
      <c r="G7" s="1507"/>
      <c r="H7" s="1507"/>
      <c r="I7" s="1507"/>
      <c r="J7" s="1507"/>
      <c r="K7" s="1507"/>
      <c r="L7" s="1507"/>
      <c r="M7" s="1507"/>
      <c r="N7" s="1507"/>
      <c r="O7" s="1507"/>
      <c r="P7" s="1508"/>
      <c r="Q7" s="1508"/>
      <c r="R7" s="1508"/>
      <c r="BA7" s="823"/>
    </row>
    <row r="8" spans="1:53" ht="92.25" customHeight="1" x14ac:dyDescent="0.15">
      <c r="A8" s="554"/>
      <c r="B8" s="1907" t="s">
        <v>285</v>
      </c>
      <c r="C8" s="1907"/>
      <c r="D8" s="1907"/>
      <c r="E8" s="1907"/>
      <c r="F8" s="1907"/>
      <c r="G8" s="1907"/>
      <c r="H8" s="1907"/>
      <c r="I8" s="1907"/>
      <c r="J8" s="1907"/>
      <c r="K8" s="1907"/>
      <c r="L8" s="1907"/>
      <c r="M8" s="1907"/>
      <c r="N8" s="1907"/>
      <c r="O8" s="1907"/>
      <c r="P8" s="1879"/>
      <c r="Q8" s="1879"/>
      <c r="R8" s="1879"/>
      <c r="BA8" s="823"/>
    </row>
    <row r="9" spans="1:53" ht="17.45" customHeight="1" x14ac:dyDescent="0.15">
      <c r="A9" s="554"/>
      <c r="B9" s="1509"/>
      <c r="C9" s="1509"/>
      <c r="D9" s="1509"/>
      <c r="E9" s="1509"/>
      <c r="F9" s="1509"/>
      <c r="G9" s="1509"/>
      <c r="H9" s="1509"/>
      <c r="I9" s="1509"/>
      <c r="J9" s="1509"/>
      <c r="K9" s="1509"/>
      <c r="L9" s="1509"/>
      <c r="M9" s="1509"/>
      <c r="N9" s="1509"/>
      <c r="O9" s="1509"/>
      <c r="P9" s="1508"/>
      <c r="Q9" s="1508"/>
      <c r="R9" s="1508"/>
      <c r="BA9" s="823"/>
    </row>
    <row r="10" spans="1:53" ht="67.5" customHeight="1" x14ac:dyDescent="0.15">
      <c r="A10" s="554"/>
      <c r="B10" s="1907" t="s">
        <v>262</v>
      </c>
      <c r="C10" s="1907"/>
      <c r="D10" s="1907"/>
      <c r="E10" s="1907"/>
      <c r="F10" s="1907"/>
      <c r="G10" s="1907"/>
      <c r="H10" s="1907"/>
      <c r="I10" s="1907"/>
      <c r="J10" s="1907"/>
      <c r="K10" s="1907"/>
      <c r="L10" s="1907"/>
      <c r="M10" s="1907"/>
      <c r="N10" s="1907"/>
      <c r="O10" s="1907"/>
      <c r="P10" s="1879"/>
      <c r="Q10" s="1879"/>
      <c r="R10" s="1879"/>
      <c r="BA10" s="823"/>
    </row>
    <row r="11" spans="1:53" ht="17.45" customHeight="1" x14ac:dyDescent="0.15">
      <c r="A11" s="554"/>
      <c r="B11" s="537" t="s">
        <v>169</v>
      </c>
      <c r="C11" s="1906" t="s">
        <v>170</v>
      </c>
      <c r="D11" s="1906"/>
      <c r="E11" s="1510"/>
      <c r="F11" s="1510"/>
      <c r="G11" s="1510"/>
      <c r="H11" s="1510"/>
      <c r="J11" s="825"/>
      <c r="K11" s="537"/>
      <c r="L11" s="825"/>
      <c r="M11" s="824"/>
      <c r="N11" s="832"/>
      <c r="O11" s="554"/>
      <c r="BA11" s="823"/>
    </row>
    <row r="12" spans="1:53" ht="17.45" customHeight="1" x14ac:dyDescent="0.15">
      <c r="A12" s="554"/>
      <c r="B12" s="1905" t="s">
        <v>286</v>
      </c>
      <c r="C12" s="1889"/>
      <c r="D12" s="1889"/>
      <c r="E12" s="1889"/>
      <c r="F12" s="1889"/>
      <c r="G12" s="1889"/>
      <c r="H12" s="1889"/>
      <c r="I12" s="1889"/>
      <c r="J12" s="1889"/>
      <c r="K12" s="1889"/>
      <c r="L12" s="1889"/>
      <c r="M12" s="1889"/>
      <c r="N12" s="1889"/>
      <c r="O12" s="1889"/>
      <c r="P12" s="1889"/>
      <c r="Q12" s="1889"/>
      <c r="R12" s="1889"/>
      <c r="BA12" s="823"/>
    </row>
    <row r="13" spans="1:53" ht="17.45" customHeight="1" x14ac:dyDescent="0.15">
      <c r="A13" s="554"/>
      <c r="B13" s="1889"/>
      <c r="C13" s="1889"/>
      <c r="D13" s="1889"/>
      <c r="E13" s="1889"/>
      <c r="F13" s="1889"/>
      <c r="G13" s="1889"/>
      <c r="H13" s="1889"/>
      <c r="I13" s="1889"/>
      <c r="J13" s="1889"/>
      <c r="K13" s="1889"/>
      <c r="L13" s="1889"/>
      <c r="M13" s="1889"/>
      <c r="N13" s="1889"/>
      <c r="O13" s="1889"/>
      <c r="P13" s="1889"/>
      <c r="Q13" s="1889"/>
      <c r="R13" s="1889"/>
      <c r="BA13" s="823"/>
    </row>
    <row r="14" spans="1:53" ht="17.45" customHeight="1" x14ac:dyDescent="0.15">
      <c r="A14" s="554"/>
      <c r="B14" s="1889"/>
      <c r="C14" s="1889"/>
      <c r="D14" s="1889"/>
      <c r="E14" s="1889"/>
      <c r="F14" s="1889"/>
      <c r="G14" s="1889"/>
      <c r="H14" s="1889"/>
      <c r="I14" s="1889"/>
      <c r="J14" s="1889"/>
      <c r="K14" s="1889"/>
      <c r="L14" s="1889"/>
      <c r="M14" s="1889"/>
      <c r="N14" s="1889"/>
      <c r="O14" s="1889"/>
      <c r="P14" s="1889"/>
      <c r="Q14" s="1889"/>
      <c r="R14" s="1889"/>
      <c r="BA14" s="823"/>
    </row>
    <row r="15" spans="1:53" ht="17.45" customHeight="1" x14ac:dyDescent="0.15">
      <c r="A15" s="821"/>
      <c r="B15" s="537" t="s">
        <v>171</v>
      </c>
      <c r="C15" s="820"/>
      <c r="D15" s="1511"/>
      <c r="G15" s="1511"/>
      <c r="K15" s="537"/>
      <c r="N15" s="826"/>
      <c r="O15" s="827"/>
      <c r="BA15" s="823"/>
    </row>
    <row r="16" spans="1:53" ht="17.45" customHeight="1" x14ac:dyDescent="0.15">
      <c r="A16" s="821"/>
      <c r="B16" s="537" t="s">
        <v>172</v>
      </c>
      <c r="C16" s="537" t="s">
        <v>173</v>
      </c>
      <c r="D16" s="820"/>
      <c r="K16" s="537"/>
      <c r="L16" s="1512"/>
      <c r="M16" s="1512"/>
      <c r="N16" s="533"/>
      <c r="O16" s="827"/>
      <c r="P16" s="533"/>
      <c r="Q16" s="828"/>
      <c r="R16" s="829"/>
      <c r="BA16" s="823"/>
    </row>
    <row r="17" spans="1:53" ht="17.45" customHeight="1" x14ac:dyDescent="0.15">
      <c r="A17" s="821"/>
      <c r="B17" s="1905" t="s">
        <v>174</v>
      </c>
      <c r="C17" s="1889"/>
      <c r="D17" s="1889"/>
      <c r="E17" s="1889"/>
      <c r="F17" s="1889"/>
      <c r="G17" s="1889"/>
      <c r="H17" s="1889"/>
      <c r="I17" s="1889"/>
      <c r="J17" s="1889"/>
      <c r="K17" s="1889"/>
      <c r="L17" s="1889"/>
      <c r="M17" s="1889"/>
      <c r="N17" s="1889"/>
      <c r="O17" s="1889"/>
      <c r="P17" s="1889"/>
      <c r="Q17" s="1889"/>
      <c r="R17" s="1889"/>
      <c r="BA17" s="823"/>
    </row>
    <row r="18" spans="1:53" ht="17.45" customHeight="1" x14ac:dyDescent="0.15">
      <c r="A18" s="821"/>
      <c r="B18" s="1889"/>
      <c r="C18" s="1889"/>
      <c r="D18" s="1889"/>
      <c r="E18" s="1889"/>
      <c r="F18" s="1889"/>
      <c r="G18" s="1889"/>
      <c r="H18" s="1889"/>
      <c r="I18" s="1889"/>
      <c r="J18" s="1889"/>
      <c r="K18" s="1889"/>
      <c r="L18" s="1889"/>
      <c r="M18" s="1889"/>
      <c r="N18" s="1889"/>
      <c r="O18" s="1889"/>
      <c r="P18" s="1889"/>
      <c r="Q18" s="1889"/>
      <c r="R18" s="1889"/>
      <c r="BA18" s="823"/>
    </row>
    <row r="19" spans="1:53" ht="17.45" customHeight="1" x14ac:dyDescent="0.15">
      <c r="A19" s="821"/>
      <c r="B19" s="1889"/>
      <c r="C19" s="1889"/>
      <c r="D19" s="1889"/>
      <c r="E19" s="1889"/>
      <c r="F19" s="1889"/>
      <c r="G19" s="1889"/>
      <c r="H19" s="1889"/>
      <c r="I19" s="1889"/>
      <c r="J19" s="1889"/>
      <c r="K19" s="1889"/>
      <c r="L19" s="1889"/>
      <c r="M19" s="1889"/>
      <c r="N19" s="1889"/>
      <c r="O19" s="1889"/>
      <c r="P19" s="1889"/>
      <c r="Q19" s="1889"/>
      <c r="R19" s="1889"/>
      <c r="BA19" s="823"/>
    </row>
    <row r="20" spans="1:53" ht="17.45" customHeight="1" thickBot="1" x14ac:dyDescent="0.2">
      <c r="A20" s="821"/>
      <c r="B20" s="1513"/>
      <c r="C20" s="1508"/>
      <c r="D20" s="1508"/>
      <c r="E20" s="1508"/>
      <c r="F20" s="1508"/>
      <c r="G20" s="1508"/>
      <c r="H20" s="1508"/>
      <c r="I20" s="1508"/>
      <c r="J20" s="1508"/>
      <c r="K20" s="1508"/>
      <c r="L20" s="1508"/>
      <c r="M20" s="1508"/>
      <c r="N20" s="1508"/>
      <c r="O20" s="1508"/>
      <c r="P20" s="1508"/>
      <c r="Q20" s="1508"/>
      <c r="R20" s="1508"/>
      <c r="BA20" s="823"/>
    </row>
    <row r="21" spans="1:53" ht="17.45" customHeight="1" x14ac:dyDescent="0.15">
      <c r="A21" s="821"/>
      <c r="B21" s="1899" t="s">
        <v>312</v>
      </c>
      <c r="C21" s="1900"/>
      <c r="D21" s="1900"/>
      <c r="E21" s="1900"/>
      <c r="F21" s="1900"/>
      <c r="G21" s="1900"/>
      <c r="H21" s="1900"/>
      <c r="I21" s="1900"/>
      <c r="J21" s="1900"/>
      <c r="K21" s="1900"/>
      <c r="L21" s="1900"/>
      <c r="M21" s="1900"/>
      <c r="N21" s="1900"/>
      <c r="O21" s="1900"/>
      <c r="P21" s="1900"/>
      <c r="Q21" s="1900"/>
      <c r="R21" s="1901"/>
      <c r="BA21" s="823"/>
    </row>
    <row r="22" spans="1:53" ht="17.45" customHeight="1" thickBot="1" x14ac:dyDescent="0.2">
      <c r="A22" s="821"/>
      <c r="B22" s="1902"/>
      <c r="C22" s="1903"/>
      <c r="D22" s="1903"/>
      <c r="E22" s="1903"/>
      <c r="F22" s="1903"/>
      <c r="G22" s="1903"/>
      <c r="H22" s="1903"/>
      <c r="I22" s="1903"/>
      <c r="J22" s="1903"/>
      <c r="K22" s="1903"/>
      <c r="L22" s="1903"/>
      <c r="M22" s="1903"/>
      <c r="N22" s="1903"/>
      <c r="O22" s="1903"/>
      <c r="P22" s="1903"/>
      <c r="Q22" s="1903"/>
      <c r="R22" s="1904"/>
      <c r="BA22" s="823"/>
    </row>
    <row r="23" spans="1:53" ht="17.45" customHeight="1" x14ac:dyDescent="0.15">
      <c r="A23" s="821"/>
      <c r="N23" s="825"/>
      <c r="O23" s="554"/>
      <c r="BA23" s="823"/>
    </row>
    <row r="24" spans="1:53" ht="17.45" customHeight="1" x14ac:dyDescent="0.15">
      <c r="A24" s="821"/>
      <c r="B24" s="537" t="s">
        <v>199</v>
      </c>
      <c r="C24" s="857" t="s">
        <v>200</v>
      </c>
      <c r="D24" s="841"/>
      <c r="O24" s="830"/>
      <c r="BA24" s="823"/>
    </row>
    <row r="25" spans="1:53" ht="17.45" customHeight="1" x14ac:dyDescent="0.15">
      <c r="A25" s="821"/>
      <c r="J25" s="762"/>
      <c r="K25" s="762"/>
      <c r="L25" s="762"/>
      <c r="M25" s="762"/>
      <c r="N25" s="762"/>
      <c r="O25" s="830"/>
      <c r="P25" s="537"/>
      <c r="BA25" s="823"/>
    </row>
    <row r="26" spans="1:53" ht="17.45" customHeight="1" x14ac:dyDescent="0.15">
      <c r="A26" s="821"/>
      <c r="B26" s="537" t="s">
        <v>175</v>
      </c>
      <c r="C26" s="1882" t="s">
        <v>786</v>
      </c>
      <c r="D26" s="1919"/>
      <c r="E26" s="1919"/>
      <c r="F26" s="1919"/>
      <c r="G26" s="1919"/>
      <c r="H26" s="1919"/>
      <c r="I26" s="1919"/>
      <c r="J26" s="1919"/>
      <c r="K26" s="1919"/>
      <c r="L26" s="1919"/>
      <c r="M26" s="1919"/>
      <c r="N26" s="1919"/>
      <c r="O26" s="1919"/>
      <c r="P26" s="1919"/>
      <c r="Q26" s="1919"/>
      <c r="R26" s="1919"/>
      <c r="BA26" s="823"/>
    </row>
    <row r="27" spans="1:53" ht="17.45" customHeight="1" x14ac:dyDescent="0.15">
      <c r="A27" s="821"/>
      <c r="C27" s="1919"/>
      <c r="D27" s="1919"/>
      <c r="E27" s="1919"/>
      <c r="F27" s="1919"/>
      <c r="G27" s="1919"/>
      <c r="H27" s="1919"/>
      <c r="I27" s="1919"/>
      <c r="J27" s="1919"/>
      <c r="K27" s="1919"/>
      <c r="L27" s="1919"/>
      <c r="M27" s="1919"/>
      <c r="N27" s="1919"/>
      <c r="O27" s="1919"/>
      <c r="P27" s="1919"/>
      <c r="Q27" s="1919"/>
      <c r="R27" s="1919"/>
      <c r="BA27" s="823"/>
    </row>
    <row r="28" spans="1:53" ht="17.45" customHeight="1" x14ac:dyDescent="0.15">
      <c r="A28" s="821"/>
      <c r="C28" s="1918"/>
      <c r="D28" s="1918"/>
      <c r="E28" s="1918"/>
      <c r="F28" s="1918"/>
      <c r="G28" s="1918"/>
      <c r="H28" s="1918"/>
      <c r="I28" s="1918"/>
      <c r="J28" s="1918"/>
      <c r="K28" s="1918"/>
      <c r="L28" s="1918"/>
      <c r="M28" s="1918"/>
      <c r="N28" s="1918"/>
      <c r="O28" s="1918"/>
      <c r="P28" s="1918"/>
      <c r="Q28" s="1918"/>
      <c r="R28" s="1918"/>
      <c r="BA28" s="823"/>
    </row>
    <row r="29" spans="1:53" ht="17.45" customHeight="1" x14ac:dyDescent="0.15">
      <c r="A29" s="821"/>
      <c r="E29" s="533"/>
      <c r="H29" s="1514"/>
      <c r="I29" s="1514"/>
      <c r="J29" s="831"/>
      <c r="K29" s="831"/>
      <c r="L29" s="831"/>
      <c r="M29" s="831"/>
      <c r="N29" s="533"/>
      <c r="O29" s="830"/>
      <c r="P29" s="537"/>
      <c r="BA29" s="823"/>
    </row>
    <row r="30" spans="1:53" ht="17.45" customHeight="1" x14ac:dyDescent="0.15">
      <c r="A30" s="821"/>
      <c r="B30" s="537" t="s">
        <v>176</v>
      </c>
      <c r="C30" s="1882" t="s">
        <v>787</v>
      </c>
      <c r="D30" s="1919"/>
      <c r="E30" s="1919"/>
      <c r="F30" s="1919"/>
      <c r="G30" s="1919"/>
      <c r="H30" s="1919"/>
      <c r="I30" s="1919"/>
      <c r="J30" s="1919"/>
      <c r="K30" s="1919"/>
      <c r="L30" s="1919"/>
      <c r="M30" s="1919"/>
      <c r="N30" s="1919"/>
      <c r="O30" s="1919"/>
      <c r="P30" s="1919"/>
      <c r="Q30" s="1919"/>
      <c r="R30" s="1919"/>
      <c r="BA30" s="823"/>
    </row>
    <row r="31" spans="1:53" ht="17.45" customHeight="1" x14ac:dyDescent="0.15">
      <c r="A31" s="821"/>
      <c r="C31" s="1919"/>
      <c r="D31" s="1919"/>
      <c r="E31" s="1919"/>
      <c r="F31" s="1919"/>
      <c r="G31" s="1919"/>
      <c r="H31" s="1919"/>
      <c r="I31" s="1919"/>
      <c r="J31" s="1919"/>
      <c r="K31" s="1919"/>
      <c r="L31" s="1919"/>
      <c r="M31" s="1919"/>
      <c r="N31" s="1919"/>
      <c r="O31" s="1919"/>
      <c r="P31" s="1919"/>
      <c r="Q31" s="1919"/>
      <c r="R31" s="1919"/>
      <c r="BA31" s="823"/>
    </row>
    <row r="32" spans="1:53" ht="17.45" customHeight="1" x14ac:dyDescent="0.15">
      <c r="A32" s="821"/>
      <c r="C32" s="1918"/>
      <c r="D32" s="1918"/>
      <c r="E32" s="1918"/>
      <c r="F32" s="1918"/>
      <c r="G32" s="1918"/>
      <c r="H32" s="1918"/>
      <c r="I32" s="1918"/>
      <c r="J32" s="1918"/>
      <c r="K32" s="1918"/>
      <c r="L32" s="1918"/>
      <c r="M32" s="1918"/>
      <c r="N32" s="1918"/>
      <c r="O32" s="1918"/>
      <c r="P32" s="1918"/>
      <c r="Q32" s="1918"/>
      <c r="R32" s="1918"/>
      <c r="BA32" s="823"/>
    </row>
    <row r="33" spans="1:53" ht="17.45" customHeight="1" x14ac:dyDescent="0.15">
      <c r="A33" s="821"/>
      <c r="C33" s="1508"/>
      <c r="D33" s="1508"/>
      <c r="E33" s="1508"/>
      <c r="F33" s="1508"/>
      <c r="G33" s="1508"/>
      <c r="H33" s="1508"/>
      <c r="I33" s="1508"/>
      <c r="J33" s="1508"/>
      <c r="K33" s="1508"/>
      <c r="L33" s="1508"/>
      <c r="M33" s="1508"/>
      <c r="N33" s="1508"/>
      <c r="O33" s="1508"/>
      <c r="P33" s="1508"/>
      <c r="Q33" s="1508"/>
      <c r="R33" s="1508"/>
      <c r="BA33" s="823"/>
    </row>
    <row r="34" spans="1:53" ht="17.45" customHeight="1" x14ac:dyDescent="0.15">
      <c r="A34" s="821"/>
      <c r="B34" s="537" t="s">
        <v>177</v>
      </c>
      <c r="C34" s="1882" t="s">
        <v>288</v>
      </c>
      <c r="D34" s="1881"/>
      <c r="E34" s="1881"/>
      <c r="F34" s="1881"/>
      <c r="G34" s="1881"/>
      <c r="H34" s="1881"/>
      <c r="I34" s="1881"/>
      <c r="J34" s="1881"/>
      <c r="K34" s="1881"/>
      <c r="L34" s="1881"/>
      <c r="M34" s="1881"/>
      <c r="N34" s="1881"/>
      <c r="O34" s="1881"/>
      <c r="P34" s="1881"/>
      <c r="Q34" s="1881"/>
      <c r="R34" s="1881"/>
      <c r="BA34" s="823"/>
    </row>
    <row r="35" spans="1:53" ht="17.45" customHeight="1" x14ac:dyDescent="0.15">
      <c r="A35" s="821"/>
      <c r="C35" s="1881"/>
      <c r="D35" s="1881"/>
      <c r="E35" s="1881"/>
      <c r="F35" s="1881"/>
      <c r="G35" s="1881"/>
      <c r="H35" s="1881"/>
      <c r="I35" s="1881"/>
      <c r="J35" s="1881"/>
      <c r="K35" s="1881"/>
      <c r="L35" s="1881"/>
      <c r="M35" s="1881"/>
      <c r="N35" s="1881"/>
      <c r="O35" s="1881"/>
      <c r="P35" s="1881"/>
      <c r="Q35" s="1881"/>
      <c r="R35" s="1881"/>
      <c r="BA35" s="823"/>
    </row>
    <row r="36" spans="1:53" ht="17.45" customHeight="1" x14ac:dyDescent="0.15">
      <c r="A36" s="821"/>
      <c r="N36" s="825"/>
      <c r="O36" s="554"/>
      <c r="BA36" s="823"/>
    </row>
    <row r="37" spans="1:53" ht="17.45" customHeight="1" x14ac:dyDescent="0.15">
      <c r="A37" s="821"/>
      <c r="B37" s="537" t="s">
        <v>178</v>
      </c>
      <c r="C37" s="1914" t="s">
        <v>788</v>
      </c>
      <c r="D37" s="1911"/>
      <c r="E37" s="1911"/>
      <c r="F37" s="1911"/>
      <c r="G37" s="1911"/>
      <c r="H37" s="1911"/>
      <c r="I37" s="1911"/>
      <c r="J37" s="1911"/>
      <c r="K37" s="1911"/>
      <c r="L37" s="1911"/>
      <c r="M37" s="1911"/>
      <c r="N37" s="1911"/>
      <c r="O37" s="1911"/>
      <c r="P37" s="1911"/>
      <c r="Q37" s="1911"/>
      <c r="R37" s="1911"/>
      <c r="S37" s="1911"/>
      <c r="T37" s="537"/>
      <c r="U37" s="537"/>
      <c r="V37" s="537"/>
      <c r="W37" s="537"/>
      <c r="X37" s="537"/>
      <c r="Y37" s="537"/>
      <c r="Z37" s="537"/>
      <c r="AA37" s="537"/>
      <c r="AB37" s="537"/>
      <c r="AC37" s="537"/>
      <c r="AD37" s="537"/>
      <c r="AE37" s="537"/>
      <c r="AF37" s="537"/>
      <c r="AG37" s="537"/>
      <c r="AH37" s="537"/>
      <c r="AI37" s="537"/>
      <c r="AJ37" s="537"/>
      <c r="AK37" s="537"/>
      <c r="AL37" s="537"/>
      <c r="AM37" s="537"/>
      <c r="AN37" s="537"/>
      <c r="AO37" s="537"/>
      <c r="AP37" s="537"/>
      <c r="AQ37" s="537"/>
      <c r="AR37" s="537"/>
      <c r="AS37" s="537"/>
      <c r="AT37" s="537"/>
      <c r="AU37" s="537"/>
      <c r="AV37" s="537"/>
      <c r="AW37" s="537"/>
      <c r="AX37" s="537"/>
      <c r="AY37" s="537"/>
      <c r="BA37" s="823"/>
    </row>
    <row r="38" spans="1:53" ht="17.45" customHeight="1" x14ac:dyDescent="0.15">
      <c r="A38" s="821"/>
      <c r="C38" s="867"/>
      <c r="N38" s="825"/>
      <c r="O38" s="536"/>
      <c r="P38" s="537"/>
      <c r="Q38" s="537"/>
      <c r="R38" s="537"/>
      <c r="S38" s="537"/>
      <c r="T38" s="537"/>
      <c r="U38" s="537"/>
      <c r="V38" s="537"/>
      <c r="W38" s="537"/>
      <c r="X38" s="537"/>
      <c r="Y38" s="537"/>
      <c r="Z38" s="537"/>
      <c r="AA38" s="537"/>
      <c r="AB38" s="537"/>
      <c r="AC38" s="537"/>
      <c r="AD38" s="537"/>
      <c r="AE38" s="537"/>
      <c r="AF38" s="537"/>
      <c r="AG38" s="537"/>
      <c r="AH38" s="537"/>
      <c r="AI38" s="537"/>
      <c r="AJ38" s="537"/>
      <c r="AK38" s="537"/>
      <c r="AL38" s="537"/>
      <c r="AM38" s="537"/>
      <c r="AN38" s="537"/>
      <c r="AO38" s="537"/>
      <c r="AP38" s="537"/>
      <c r="AQ38" s="537"/>
      <c r="AR38" s="537"/>
      <c r="AS38" s="537"/>
      <c r="AT38" s="537"/>
      <c r="AU38" s="537"/>
      <c r="AV38" s="537"/>
      <c r="AW38" s="537"/>
      <c r="AX38" s="537"/>
      <c r="AY38" s="537"/>
      <c r="BA38" s="823"/>
    </row>
    <row r="39" spans="1:53" ht="17.45" customHeight="1" x14ac:dyDescent="0.15">
      <c r="A39" s="821"/>
      <c r="B39" s="537" t="s">
        <v>181</v>
      </c>
      <c r="C39" s="1914" t="s">
        <v>789</v>
      </c>
      <c r="D39" s="1911"/>
      <c r="E39" s="1911"/>
      <c r="F39" s="1911"/>
      <c r="G39" s="1911"/>
      <c r="H39" s="1911"/>
      <c r="I39" s="1911"/>
      <c r="J39" s="1911"/>
      <c r="K39" s="1911"/>
      <c r="L39" s="1911"/>
      <c r="M39" s="1911"/>
      <c r="N39" s="1911"/>
      <c r="O39" s="1911"/>
      <c r="P39" s="1911"/>
      <c r="Q39" s="1911"/>
      <c r="R39" s="1911"/>
      <c r="S39" s="1911"/>
      <c r="BA39" s="823"/>
    </row>
    <row r="40" spans="1:53" ht="17.45" customHeight="1" x14ac:dyDescent="0.15">
      <c r="A40" s="821"/>
      <c r="C40" s="832"/>
      <c r="D40" s="832"/>
      <c r="E40" s="832"/>
      <c r="F40" s="533"/>
      <c r="J40" s="851"/>
      <c r="N40" s="841"/>
      <c r="O40" s="536"/>
      <c r="P40" s="537"/>
      <c r="AG40" s="533"/>
      <c r="AH40" s="533"/>
      <c r="AI40" s="533"/>
      <c r="AJ40" s="533"/>
      <c r="AK40" s="533"/>
      <c r="AL40" s="533"/>
      <c r="AM40" s="533"/>
      <c r="AN40" s="533"/>
      <c r="AO40" s="533"/>
      <c r="AP40" s="533"/>
      <c r="AQ40" s="533"/>
      <c r="AR40" s="533"/>
      <c r="AS40" s="533"/>
      <c r="AT40" s="533"/>
      <c r="AU40" s="533"/>
      <c r="AV40" s="533"/>
      <c r="AW40" s="533"/>
      <c r="AX40" s="533"/>
      <c r="AY40" s="533"/>
      <c r="BA40" s="823"/>
    </row>
    <row r="41" spans="1:53" ht="17.45" customHeight="1" x14ac:dyDescent="0.15">
      <c r="A41" s="821"/>
      <c r="B41" s="537" t="s">
        <v>179</v>
      </c>
      <c r="C41" s="1884" t="s">
        <v>289</v>
      </c>
      <c r="D41" s="1889"/>
      <c r="E41" s="1889"/>
      <c r="F41" s="1889"/>
      <c r="G41" s="1889"/>
      <c r="H41" s="1889"/>
      <c r="I41" s="1889"/>
      <c r="J41" s="1889"/>
      <c r="K41" s="1889"/>
      <c r="L41" s="1889"/>
      <c r="M41" s="1889"/>
      <c r="N41" s="1889"/>
      <c r="O41" s="1889"/>
      <c r="P41" s="1889"/>
      <c r="Q41" s="1889"/>
      <c r="R41" s="1889"/>
      <c r="S41" s="833"/>
      <c r="T41" s="833"/>
      <c r="U41" s="833"/>
      <c r="V41" s="833"/>
      <c r="W41" s="833"/>
      <c r="X41" s="833"/>
      <c r="Y41" s="833"/>
      <c r="Z41" s="833"/>
      <c r="AA41" s="833"/>
      <c r="AB41" s="833"/>
      <c r="AC41" s="833"/>
      <c r="AD41" s="833"/>
      <c r="AE41" s="833"/>
      <c r="AF41" s="833"/>
      <c r="AG41" s="833"/>
      <c r="AH41" s="833"/>
      <c r="AI41" s="833"/>
      <c r="AJ41" s="833"/>
      <c r="AK41" s="833"/>
      <c r="AL41" s="833"/>
      <c r="AM41" s="833"/>
      <c r="AN41" s="833"/>
      <c r="AO41" s="833"/>
      <c r="AP41" s="833"/>
      <c r="AQ41" s="833"/>
      <c r="AR41" s="833"/>
      <c r="AS41" s="833"/>
      <c r="AT41" s="833"/>
      <c r="AU41" s="833"/>
      <c r="AV41" s="833"/>
      <c r="AW41" s="833"/>
      <c r="AX41" s="833"/>
      <c r="AY41" s="833"/>
      <c r="BA41" s="823"/>
    </row>
    <row r="42" spans="1:53" ht="17.45" customHeight="1" x14ac:dyDescent="0.15">
      <c r="A42" s="821"/>
      <c r="C42" s="1889"/>
      <c r="D42" s="1889"/>
      <c r="E42" s="1889"/>
      <c r="F42" s="1889"/>
      <c r="G42" s="1889"/>
      <c r="H42" s="1889"/>
      <c r="I42" s="1889"/>
      <c r="J42" s="1889"/>
      <c r="K42" s="1889"/>
      <c r="L42" s="1889"/>
      <c r="M42" s="1889"/>
      <c r="N42" s="1889"/>
      <c r="O42" s="1889"/>
      <c r="P42" s="1889"/>
      <c r="Q42" s="1889"/>
      <c r="R42" s="1889"/>
      <c r="S42" s="833"/>
      <c r="T42" s="833"/>
      <c r="U42" s="833"/>
      <c r="V42" s="833"/>
      <c r="W42" s="833"/>
      <c r="X42" s="833"/>
      <c r="Y42" s="833"/>
      <c r="Z42" s="833"/>
      <c r="AA42" s="833"/>
      <c r="AB42" s="833"/>
      <c r="AC42" s="833"/>
      <c r="AD42" s="833"/>
      <c r="AE42" s="833"/>
      <c r="AF42" s="833"/>
      <c r="AG42" s="833"/>
      <c r="AH42" s="833"/>
      <c r="AI42" s="833"/>
      <c r="AJ42" s="833"/>
      <c r="AK42" s="833"/>
      <c r="AL42" s="833"/>
      <c r="AM42" s="833"/>
      <c r="AN42" s="833"/>
      <c r="AO42" s="833"/>
      <c r="AP42" s="833"/>
      <c r="AQ42" s="833"/>
      <c r="AR42" s="833"/>
      <c r="AS42" s="833"/>
      <c r="AT42" s="833"/>
      <c r="AU42" s="833"/>
      <c r="AV42" s="833"/>
      <c r="AW42" s="833"/>
      <c r="AX42" s="833"/>
      <c r="AY42" s="833"/>
      <c r="BA42" s="823"/>
    </row>
    <row r="43" spans="1:53" ht="17.45" customHeight="1" x14ac:dyDescent="0.15">
      <c r="A43" s="821"/>
      <c r="C43" s="1889"/>
      <c r="D43" s="1889"/>
      <c r="E43" s="1889"/>
      <c r="F43" s="1889"/>
      <c r="G43" s="1889"/>
      <c r="H43" s="1889"/>
      <c r="I43" s="1889"/>
      <c r="J43" s="1889"/>
      <c r="K43" s="1889"/>
      <c r="L43" s="1889"/>
      <c r="M43" s="1889"/>
      <c r="N43" s="1889"/>
      <c r="O43" s="1889"/>
      <c r="P43" s="1889"/>
      <c r="Q43" s="1889"/>
      <c r="R43" s="1889"/>
      <c r="S43" s="833"/>
      <c r="T43" s="833"/>
      <c r="U43" s="833"/>
      <c r="V43" s="833"/>
      <c r="W43" s="833"/>
      <c r="X43" s="833"/>
      <c r="Y43" s="833"/>
      <c r="Z43" s="833"/>
      <c r="AA43" s="833"/>
      <c r="AB43" s="833"/>
      <c r="AC43" s="833"/>
      <c r="AD43" s="833"/>
      <c r="AE43" s="833"/>
      <c r="AF43" s="833"/>
      <c r="AG43" s="833"/>
      <c r="AH43" s="833"/>
      <c r="AI43" s="833"/>
      <c r="AJ43" s="833"/>
      <c r="AK43" s="833"/>
      <c r="AL43" s="833"/>
      <c r="AM43" s="833"/>
      <c r="AN43" s="833"/>
      <c r="AO43" s="833"/>
      <c r="AP43" s="833"/>
      <c r="AQ43" s="833"/>
      <c r="AR43" s="833"/>
      <c r="AS43" s="833"/>
      <c r="AT43" s="833"/>
      <c r="AU43" s="833"/>
      <c r="AV43" s="833"/>
      <c r="AW43" s="833"/>
      <c r="AX43" s="833"/>
      <c r="AY43" s="833"/>
      <c r="BA43" s="823"/>
    </row>
    <row r="44" spans="1:53" ht="17.45" customHeight="1" x14ac:dyDescent="0.15">
      <c r="A44" s="821"/>
      <c r="B44" s="537" t="s">
        <v>180</v>
      </c>
      <c r="C44" s="1884" t="s">
        <v>791</v>
      </c>
      <c r="D44" s="1918"/>
      <c r="E44" s="1918"/>
      <c r="F44" s="1918"/>
      <c r="G44" s="1918"/>
      <c r="H44" s="1918"/>
      <c r="I44" s="1918"/>
      <c r="J44" s="1918"/>
      <c r="K44" s="1918"/>
      <c r="L44" s="1918"/>
      <c r="M44" s="1918"/>
      <c r="N44" s="1918"/>
      <c r="O44" s="1918"/>
      <c r="P44" s="1918"/>
      <c r="Q44" s="1918"/>
      <c r="R44" s="1918"/>
      <c r="AD44" s="820"/>
      <c r="AE44" s="820"/>
      <c r="AF44" s="820"/>
      <c r="BA44" s="823"/>
    </row>
    <row r="45" spans="1:53" ht="17.45" customHeight="1" x14ac:dyDescent="0.15">
      <c r="A45" s="821"/>
      <c r="C45" s="1918"/>
      <c r="D45" s="1918"/>
      <c r="E45" s="1918"/>
      <c r="F45" s="1918"/>
      <c r="G45" s="1918"/>
      <c r="H45" s="1918"/>
      <c r="I45" s="1918"/>
      <c r="J45" s="1918"/>
      <c r="K45" s="1918"/>
      <c r="L45" s="1918"/>
      <c r="M45" s="1918"/>
      <c r="N45" s="1918"/>
      <c r="O45" s="1918"/>
      <c r="P45" s="1918"/>
      <c r="Q45" s="1918"/>
      <c r="R45" s="1918"/>
      <c r="AD45" s="820"/>
      <c r="AE45" s="820"/>
      <c r="AF45" s="820"/>
      <c r="BA45" s="823"/>
    </row>
    <row r="46" spans="1:53" ht="17.45" customHeight="1" x14ac:dyDescent="0.15">
      <c r="A46" s="821"/>
      <c r="C46" s="881"/>
      <c r="D46" s="832"/>
      <c r="E46" s="828"/>
      <c r="F46" s="533"/>
      <c r="J46" s="1516"/>
      <c r="N46" s="841"/>
      <c r="O46" s="554"/>
      <c r="P46" s="537"/>
      <c r="AD46" s="820"/>
      <c r="AE46" s="820"/>
      <c r="AF46" s="820"/>
      <c r="BA46" s="823"/>
    </row>
    <row r="47" spans="1:53" ht="17.45" customHeight="1" x14ac:dyDescent="0.15">
      <c r="A47" s="821"/>
      <c r="B47" s="537" t="s">
        <v>182</v>
      </c>
      <c r="C47" s="1909" t="s">
        <v>290</v>
      </c>
      <c r="D47" s="1883"/>
      <c r="E47" s="1883"/>
      <c r="F47" s="1883"/>
      <c r="G47" s="1883"/>
      <c r="H47" s="1883"/>
      <c r="I47" s="1883"/>
      <c r="J47" s="1883"/>
      <c r="K47" s="1883"/>
      <c r="L47" s="1883"/>
      <c r="M47" s="1883"/>
      <c r="N47" s="1883"/>
      <c r="O47" s="1883"/>
      <c r="P47" s="1883"/>
      <c r="Q47" s="1883"/>
      <c r="R47" s="1883"/>
      <c r="S47" s="1883"/>
      <c r="T47" s="833"/>
      <c r="U47" s="835"/>
      <c r="V47" s="833"/>
      <c r="W47" s="835"/>
      <c r="X47" s="833"/>
      <c r="Y47" s="835"/>
      <c r="Z47" s="833"/>
      <c r="AA47" s="835"/>
      <c r="AB47" s="833"/>
      <c r="AC47" s="835"/>
      <c r="AD47" s="833"/>
      <c r="AE47" s="835"/>
      <c r="AF47" s="833"/>
      <c r="AG47" s="835"/>
      <c r="AH47" s="833"/>
      <c r="AI47" s="835"/>
      <c r="AJ47" s="833"/>
      <c r="AK47" s="835"/>
      <c r="AL47" s="833"/>
      <c r="AM47" s="835"/>
      <c r="AN47" s="833"/>
      <c r="AO47" s="835"/>
      <c r="AP47" s="833"/>
      <c r="AQ47" s="835"/>
      <c r="AR47" s="833"/>
      <c r="AS47" s="835"/>
      <c r="AT47" s="833"/>
      <c r="BA47" s="823"/>
    </row>
    <row r="48" spans="1:53" ht="17.45" customHeight="1" x14ac:dyDescent="0.15">
      <c r="A48" s="821"/>
      <c r="C48" s="834"/>
      <c r="D48" s="832"/>
      <c r="E48" s="828"/>
      <c r="F48" s="533"/>
      <c r="J48" s="1516"/>
      <c r="O48" s="554"/>
      <c r="P48" s="537"/>
      <c r="Q48" s="835"/>
      <c r="R48" s="833"/>
      <c r="S48" s="835"/>
      <c r="T48" s="833"/>
      <c r="U48" s="835"/>
      <c r="V48" s="833"/>
      <c r="W48" s="835"/>
      <c r="X48" s="833"/>
      <c r="Y48" s="835"/>
      <c r="Z48" s="833"/>
      <c r="AA48" s="835"/>
      <c r="AB48" s="833"/>
      <c r="AC48" s="835"/>
      <c r="AD48" s="833"/>
      <c r="AE48" s="835"/>
      <c r="AF48" s="833"/>
      <c r="AG48" s="835"/>
      <c r="AH48" s="833"/>
      <c r="AI48" s="835"/>
      <c r="AJ48" s="833"/>
      <c r="AK48" s="835"/>
      <c r="AL48" s="833"/>
      <c r="AM48" s="835"/>
      <c r="AN48" s="833"/>
      <c r="AO48" s="835"/>
      <c r="AP48" s="833"/>
      <c r="AQ48" s="835"/>
      <c r="AR48" s="833"/>
      <c r="AS48" s="835"/>
      <c r="AT48" s="833"/>
      <c r="BA48" s="823"/>
    </row>
    <row r="49" spans="1:53" ht="17.45" customHeight="1" x14ac:dyDescent="0.15">
      <c r="A49" s="554"/>
      <c r="B49" s="537" t="s">
        <v>183</v>
      </c>
      <c r="C49" s="839" t="s">
        <v>291</v>
      </c>
      <c r="D49" s="832"/>
      <c r="E49" s="828"/>
      <c r="F49" s="533"/>
      <c r="J49" s="537"/>
      <c r="O49" s="554"/>
      <c r="AD49" s="820"/>
      <c r="AE49" s="820"/>
      <c r="AF49" s="820"/>
      <c r="AX49" s="533"/>
      <c r="BA49" s="823"/>
    </row>
    <row r="50" spans="1:53" ht="17.45" customHeight="1" x14ac:dyDescent="0.15">
      <c r="A50" s="554"/>
      <c r="B50" s="537" t="s">
        <v>185</v>
      </c>
      <c r="C50" s="1910" t="s">
        <v>792</v>
      </c>
      <c r="D50" s="1911"/>
      <c r="E50" s="1911"/>
      <c r="F50" s="1911"/>
      <c r="G50" s="1911"/>
      <c r="H50" s="1911"/>
      <c r="I50" s="1911"/>
      <c r="J50" s="1911"/>
      <c r="K50" s="1911"/>
      <c r="L50" s="1911"/>
      <c r="M50" s="1911"/>
      <c r="N50" s="1911"/>
      <c r="O50" s="1911"/>
      <c r="P50" s="1911"/>
      <c r="Q50" s="1911"/>
      <c r="R50" s="1911"/>
      <c r="S50" s="1911"/>
      <c r="AD50" s="820"/>
      <c r="AE50" s="820"/>
      <c r="AF50" s="820"/>
      <c r="AX50" s="533"/>
      <c r="BA50" s="823"/>
    </row>
    <row r="51" spans="1:53" ht="17.45" customHeight="1" x14ac:dyDescent="0.15">
      <c r="A51" s="554"/>
      <c r="C51" s="881"/>
      <c r="D51" s="832"/>
      <c r="E51" s="828"/>
      <c r="F51" s="533"/>
      <c r="J51" s="537"/>
      <c r="O51" s="554"/>
      <c r="AD51" s="820"/>
      <c r="AE51" s="820"/>
      <c r="AF51" s="820"/>
      <c r="AX51" s="533"/>
      <c r="BA51" s="823"/>
    </row>
    <row r="52" spans="1:53" ht="17.45" customHeight="1" x14ac:dyDescent="0.15">
      <c r="A52" s="554"/>
      <c r="B52" s="537" t="s">
        <v>184</v>
      </c>
      <c r="C52" s="1884" t="s">
        <v>676</v>
      </c>
      <c r="D52" s="1881"/>
      <c r="E52" s="1881"/>
      <c r="F52" s="1881"/>
      <c r="G52" s="1881"/>
      <c r="H52" s="1881"/>
      <c r="I52" s="1881"/>
      <c r="J52" s="1881"/>
      <c r="K52" s="1881"/>
      <c r="L52" s="1881"/>
      <c r="M52" s="1881"/>
      <c r="N52" s="1881"/>
      <c r="O52" s="1881"/>
      <c r="P52" s="1881"/>
      <c r="Q52" s="1881"/>
      <c r="R52" s="1881"/>
      <c r="AD52" s="820"/>
      <c r="AE52" s="820"/>
      <c r="AF52" s="820"/>
      <c r="AX52" s="533"/>
      <c r="BA52" s="823"/>
    </row>
    <row r="53" spans="1:53" ht="17.45" customHeight="1" x14ac:dyDescent="0.15">
      <c r="A53" s="554"/>
      <c r="C53" s="1881"/>
      <c r="D53" s="1881"/>
      <c r="E53" s="1881"/>
      <c r="F53" s="1881"/>
      <c r="G53" s="1881"/>
      <c r="H53" s="1881"/>
      <c r="I53" s="1881"/>
      <c r="J53" s="1881"/>
      <c r="K53" s="1881"/>
      <c r="L53" s="1881"/>
      <c r="M53" s="1881"/>
      <c r="N53" s="1881"/>
      <c r="O53" s="1881"/>
      <c r="P53" s="1881"/>
      <c r="Q53" s="1881"/>
      <c r="R53" s="1881"/>
      <c r="AD53" s="820"/>
      <c r="AE53" s="820"/>
      <c r="AF53" s="820"/>
      <c r="AX53" s="533"/>
      <c r="BA53" s="823"/>
    </row>
    <row r="54" spans="1:53" ht="17.45" customHeight="1" x14ac:dyDescent="0.15">
      <c r="A54" s="554"/>
      <c r="C54" s="839"/>
      <c r="D54" s="832"/>
      <c r="E54" s="828"/>
      <c r="F54" s="533"/>
      <c r="J54" s="537"/>
      <c r="O54" s="554"/>
      <c r="AD54" s="820"/>
      <c r="AE54" s="820"/>
      <c r="AF54" s="820"/>
      <c r="AX54" s="533"/>
      <c r="BA54" s="823"/>
    </row>
    <row r="55" spans="1:53" ht="17.45" customHeight="1" x14ac:dyDescent="0.15">
      <c r="A55" s="554"/>
      <c r="B55" s="537" t="s">
        <v>186</v>
      </c>
      <c r="C55" s="537" t="s">
        <v>226</v>
      </c>
      <c r="D55" s="832"/>
      <c r="E55" s="836"/>
      <c r="F55" s="533"/>
      <c r="H55" s="536"/>
      <c r="I55" s="554"/>
      <c r="J55" s="536"/>
      <c r="K55" s="554"/>
      <c r="L55" s="536"/>
      <c r="M55" s="554"/>
      <c r="N55" s="554"/>
      <c r="O55" s="554"/>
      <c r="P55" s="537"/>
      <c r="AU55" s="833"/>
      <c r="AV55" s="833"/>
      <c r="AW55" s="833"/>
      <c r="AX55" s="833"/>
      <c r="BA55" s="823"/>
    </row>
    <row r="56" spans="1:53" ht="17.45" customHeight="1" x14ac:dyDescent="0.15">
      <c r="A56" s="837"/>
      <c r="C56" s="838"/>
      <c r="D56" s="832"/>
      <c r="E56" s="838"/>
      <c r="F56" s="533"/>
      <c r="H56" s="828"/>
      <c r="K56" s="546"/>
      <c r="L56" s="537"/>
      <c r="M56" s="546"/>
      <c r="N56" s="537"/>
      <c r="O56" s="554"/>
      <c r="AD56" s="820"/>
      <c r="AE56" s="820"/>
      <c r="AF56" s="820"/>
      <c r="BA56" s="823"/>
    </row>
    <row r="57" spans="1:53" ht="17.45" customHeight="1" x14ac:dyDescent="0.15">
      <c r="A57" s="821"/>
      <c r="B57" s="537" t="s">
        <v>187</v>
      </c>
      <c r="C57" s="1884" t="s">
        <v>292</v>
      </c>
      <c r="D57" s="1881"/>
      <c r="E57" s="1881"/>
      <c r="F57" s="1881"/>
      <c r="G57" s="1881"/>
      <c r="H57" s="1881"/>
      <c r="I57" s="1881"/>
      <c r="J57" s="1881"/>
      <c r="K57" s="1881"/>
      <c r="L57" s="1881"/>
      <c r="M57" s="1881"/>
      <c r="N57" s="1881"/>
      <c r="O57" s="1881"/>
      <c r="P57" s="1881"/>
      <c r="Q57" s="1881"/>
      <c r="R57" s="1881"/>
      <c r="AD57" s="820"/>
      <c r="AE57" s="820"/>
      <c r="AF57" s="820"/>
      <c r="BA57" s="823"/>
    </row>
    <row r="58" spans="1:53" ht="17.45" customHeight="1" x14ac:dyDescent="0.15">
      <c r="A58" s="821"/>
      <c r="C58" s="1881"/>
      <c r="D58" s="1881"/>
      <c r="E58" s="1881"/>
      <c r="F58" s="1881"/>
      <c r="G58" s="1881"/>
      <c r="H58" s="1881"/>
      <c r="I58" s="1881"/>
      <c r="J58" s="1881"/>
      <c r="K58" s="1881"/>
      <c r="L58" s="1881"/>
      <c r="M58" s="1881"/>
      <c r="N58" s="1881"/>
      <c r="O58" s="1881"/>
      <c r="P58" s="1881"/>
      <c r="Q58" s="1881"/>
      <c r="R58" s="1881"/>
      <c r="AD58" s="820"/>
      <c r="AE58" s="820"/>
      <c r="AF58" s="820"/>
      <c r="AG58" s="833"/>
      <c r="BA58" s="823"/>
    </row>
    <row r="59" spans="1:53" ht="17.45" customHeight="1" x14ac:dyDescent="0.15">
      <c r="A59" s="821"/>
      <c r="C59" s="1515"/>
      <c r="D59" s="1515"/>
      <c r="E59" s="1515"/>
      <c r="F59" s="1515"/>
      <c r="G59" s="1515"/>
      <c r="H59" s="1515"/>
      <c r="I59" s="1515"/>
      <c r="J59" s="1515"/>
      <c r="K59" s="1515"/>
      <c r="L59" s="1515"/>
      <c r="M59" s="1515"/>
      <c r="N59" s="1515"/>
      <c r="O59" s="1515"/>
      <c r="P59" s="1515"/>
      <c r="Q59" s="1515"/>
      <c r="R59" s="1515"/>
      <c r="AD59" s="820"/>
      <c r="AE59" s="820"/>
      <c r="AF59" s="820"/>
      <c r="AG59" s="833"/>
      <c r="BA59" s="823"/>
    </row>
    <row r="60" spans="1:53" ht="17.45" customHeight="1" x14ac:dyDescent="0.15">
      <c r="A60" s="821"/>
      <c r="B60" s="840" t="s">
        <v>188</v>
      </c>
      <c r="C60" s="840" t="s">
        <v>308</v>
      </c>
      <c r="D60" s="841"/>
      <c r="E60" s="841"/>
      <c r="F60" s="841"/>
      <c r="G60" s="841"/>
      <c r="H60" s="841"/>
      <c r="I60" s="841"/>
      <c r="J60" s="841"/>
      <c r="K60" s="841"/>
      <c r="L60" s="841"/>
      <c r="M60" s="841"/>
      <c r="N60" s="841"/>
      <c r="O60" s="554"/>
      <c r="P60" s="537"/>
      <c r="Q60" s="833"/>
      <c r="R60" s="833"/>
      <c r="S60" s="833"/>
      <c r="T60" s="833"/>
      <c r="U60" s="833"/>
      <c r="V60" s="833"/>
      <c r="W60" s="833"/>
      <c r="X60" s="833"/>
      <c r="Y60" s="833"/>
      <c r="Z60" s="833"/>
      <c r="AA60" s="833"/>
      <c r="AB60" s="833"/>
      <c r="AF60" s="820"/>
      <c r="BA60" s="823"/>
    </row>
    <row r="61" spans="1:53" ht="17.45" customHeight="1" x14ac:dyDescent="0.15">
      <c r="A61" s="821"/>
      <c r="B61" s="840"/>
      <c r="C61" s="840"/>
      <c r="D61" s="841"/>
      <c r="E61" s="841"/>
      <c r="F61" s="841"/>
      <c r="G61" s="841"/>
      <c r="H61" s="841"/>
      <c r="I61" s="841"/>
      <c r="J61" s="841"/>
      <c r="K61" s="841"/>
      <c r="L61" s="841"/>
      <c r="M61" s="841"/>
      <c r="N61" s="841"/>
      <c r="O61" s="554"/>
      <c r="P61" s="537"/>
      <c r="Q61" s="833"/>
      <c r="R61" s="833"/>
      <c r="S61" s="833"/>
      <c r="T61" s="833"/>
      <c r="U61" s="833"/>
      <c r="V61" s="833"/>
      <c r="W61" s="833"/>
      <c r="X61" s="833"/>
      <c r="Y61" s="833"/>
      <c r="Z61" s="833"/>
      <c r="AA61" s="833"/>
      <c r="AB61" s="833"/>
      <c r="AF61" s="820"/>
      <c r="BA61" s="823"/>
    </row>
    <row r="62" spans="1:53" ht="17.45" customHeight="1" x14ac:dyDescent="0.15">
      <c r="A62" s="821"/>
      <c r="B62" s="537" t="s">
        <v>194</v>
      </c>
      <c r="C62" s="1882" t="s">
        <v>293</v>
      </c>
      <c r="D62" s="1881"/>
      <c r="E62" s="1881"/>
      <c r="F62" s="1881"/>
      <c r="G62" s="1881"/>
      <c r="H62" s="1881"/>
      <c r="I62" s="1881"/>
      <c r="J62" s="1881"/>
      <c r="K62" s="1881"/>
      <c r="L62" s="1881"/>
      <c r="M62" s="1881"/>
      <c r="N62" s="1881"/>
      <c r="O62" s="1881"/>
      <c r="P62" s="1881"/>
      <c r="Q62" s="1881"/>
      <c r="R62" s="1881"/>
      <c r="S62" s="833"/>
      <c r="T62" s="833"/>
      <c r="U62" s="833"/>
      <c r="V62" s="833"/>
      <c r="W62" s="833"/>
      <c r="X62" s="833"/>
      <c r="Y62" s="833"/>
      <c r="Z62" s="833"/>
      <c r="AA62" s="833"/>
      <c r="AB62" s="833"/>
      <c r="AF62" s="820"/>
      <c r="BA62" s="823"/>
    </row>
    <row r="63" spans="1:53" ht="17.45" customHeight="1" x14ac:dyDescent="0.15">
      <c r="A63" s="821"/>
      <c r="C63" s="1881"/>
      <c r="D63" s="1881"/>
      <c r="E63" s="1881"/>
      <c r="F63" s="1881"/>
      <c r="G63" s="1881"/>
      <c r="H63" s="1881"/>
      <c r="I63" s="1881"/>
      <c r="J63" s="1881"/>
      <c r="K63" s="1881"/>
      <c r="L63" s="1881"/>
      <c r="M63" s="1881"/>
      <c r="N63" s="1881"/>
      <c r="O63" s="1881"/>
      <c r="P63" s="1881"/>
      <c r="Q63" s="1881"/>
      <c r="R63" s="1881"/>
      <c r="S63" s="833"/>
      <c r="T63" s="833"/>
      <c r="U63" s="833"/>
      <c r="V63" s="833"/>
      <c r="W63" s="833"/>
      <c r="X63" s="833"/>
      <c r="Y63" s="833"/>
      <c r="Z63" s="833"/>
      <c r="AA63" s="833"/>
      <c r="AB63" s="833"/>
      <c r="AF63" s="820"/>
      <c r="BA63" s="823"/>
    </row>
    <row r="64" spans="1:53" ht="14.25" x14ac:dyDescent="0.15">
      <c r="A64" s="821"/>
      <c r="C64" s="1908" t="s">
        <v>796</v>
      </c>
      <c r="D64" s="1881"/>
      <c r="E64" s="1881"/>
      <c r="F64" s="1881"/>
      <c r="G64" s="1881"/>
      <c r="H64" s="1881"/>
      <c r="I64" s="1881"/>
      <c r="J64" s="1881"/>
      <c r="K64" s="1881"/>
      <c r="L64" s="1881"/>
      <c r="M64" s="1881"/>
      <c r="N64" s="1881"/>
      <c r="O64" s="1881"/>
      <c r="P64" s="1881"/>
      <c r="Q64" s="1881"/>
      <c r="R64" s="1881"/>
      <c r="S64" s="969"/>
      <c r="AD64" s="820"/>
      <c r="AE64" s="820"/>
      <c r="AF64" s="820"/>
      <c r="BA64" s="823"/>
    </row>
    <row r="65" spans="1:53" ht="14.25" x14ac:dyDescent="0.15">
      <c r="A65" s="821"/>
      <c r="C65" s="1881"/>
      <c r="D65" s="1881"/>
      <c r="E65" s="1881"/>
      <c r="F65" s="1881"/>
      <c r="G65" s="1881"/>
      <c r="H65" s="1881"/>
      <c r="I65" s="1881"/>
      <c r="J65" s="1881"/>
      <c r="K65" s="1881"/>
      <c r="L65" s="1881"/>
      <c r="M65" s="1881"/>
      <c r="N65" s="1881"/>
      <c r="O65" s="1881"/>
      <c r="P65" s="1881"/>
      <c r="Q65" s="1881"/>
      <c r="R65" s="1881"/>
      <c r="S65" s="969"/>
      <c r="AD65" s="820"/>
      <c r="AE65" s="820"/>
      <c r="AF65" s="820"/>
      <c r="BA65" s="823"/>
    </row>
    <row r="66" spans="1:53" ht="14.25" x14ac:dyDescent="0.15">
      <c r="A66" s="821"/>
      <c r="C66" s="1881"/>
      <c r="D66" s="1881"/>
      <c r="E66" s="1881"/>
      <c r="F66" s="1881"/>
      <c r="G66" s="1881"/>
      <c r="H66" s="1881"/>
      <c r="I66" s="1881"/>
      <c r="J66" s="1881"/>
      <c r="K66" s="1881"/>
      <c r="L66" s="1881"/>
      <c r="M66" s="1881"/>
      <c r="N66" s="1881"/>
      <c r="O66" s="1881"/>
      <c r="P66" s="1881"/>
      <c r="Q66" s="1881"/>
      <c r="R66" s="1881"/>
      <c r="S66" s="969"/>
      <c r="AD66" s="820"/>
      <c r="AE66" s="820"/>
      <c r="AF66" s="820"/>
      <c r="BA66" s="823"/>
    </row>
    <row r="67" spans="1:53" ht="14.25" x14ac:dyDescent="0.15">
      <c r="A67" s="821"/>
      <c r="C67" s="1881"/>
      <c r="D67" s="1881"/>
      <c r="E67" s="1881"/>
      <c r="F67" s="1881"/>
      <c r="G67" s="1881"/>
      <c r="H67" s="1881"/>
      <c r="I67" s="1881"/>
      <c r="J67" s="1881"/>
      <c r="K67" s="1881"/>
      <c r="L67" s="1881"/>
      <c r="M67" s="1881"/>
      <c r="N67" s="1881"/>
      <c r="O67" s="1881"/>
      <c r="P67" s="1881"/>
      <c r="Q67" s="1881"/>
      <c r="R67" s="1881"/>
      <c r="S67" s="969"/>
      <c r="AD67" s="820"/>
      <c r="AE67" s="820"/>
      <c r="AF67" s="820"/>
      <c r="BA67" s="823"/>
    </row>
    <row r="68" spans="1:53" ht="14.25" x14ac:dyDescent="0.15">
      <c r="A68" s="821"/>
      <c r="C68" s="1881"/>
      <c r="D68" s="1881"/>
      <c r="E68" s="1881"/>
      <c r="F68" s="1881"/>
      <c r="G68" s="1881"/>
      <c r="H68" s="1881"/>
      <c r="I68" s="1881"/>
      <c r="J68" s="1881"/>
      <c r="K68" s="1881"/>
      <c r="L68" s="1881"/>
      <c r="M68" s="1881"/>
      <c r="N68" s="1881"/>
      <c r="O68" s="1881"/>
      <c r="P68" s="1881"/>
      <c r="Q68" s="1881"/>
      <c r="R68" s="1881"/>
      <c r="S68" s="969"/>
      <c r="AD68" s="820"/>
      <c r="AE68" s="820"/>
      <c r="AF68" s="820"/>
      <c r="BA68" s="823"/>
    </row>
    <row r="69" spans="1:53" ht="17.45" customHeight="1" x14ac:dyDescent="0.15">
      <c r="A69" s="844"/>
      <c r="C69" s="842"/>
      <c r="D69" s="842"/>
      <c r="E69" s="843"/>
      <c r="G69" s="841"/>
      <c r="H69" s="841"/>
      <c r="I69" s="841"/>
      <c r="J69" s="841"/>
      <c r="K69" s="841"/>
      <c r="L69" s="841"/>
      <c r="M69" s="841"/>
      <c r="N69" s="841"/>
      <c r="O69" s="554"/>
      <c r="AD69" s="820"/>
      <c r="AE69" s="820"/>
      <c r="AF69" s="820"/>
      <c r="BA69" s="823"/>
    </row>
    <row r="70" spans="1:53" ht="17.45" customHeight="1" x14ac:dyDescent="0.15">
      <c r="A70" s="844"/>
      <c r="B70" s="537" t="s">
        <v>189</v>
      </c>
      <c r="C70" s="840" t="s">
        <v>294</v>
      </c>
      <c r="D70" s="841"/>
      <c r="E70" s="546"/>
      <c r="F70" s="824"/>
      <c r="H70" s="845"/>
      <c r="J70" s="533"/>
      <c r="K70" s="533"/>
      <c r="M70" s="533"/>
      <c r="O70" s="554"/>
      <c r="P70" s="537"/>
      <c r="T70" s="833"/>
      <c r="U70" s="833"/>
      <c r="V70" s="833"/>
      <c r="W70" s="833"/>
      <c r="X70" s="833"/>
      <c r="Y70" s="833"/>
      <c r="Z70" s="833"/>
      <c r="AA70" s="833"/>
      <c r="AB70" s="833"/>
      <c r="AC70" s="833"/>
      <c r="AD70" s="833"/>
      <c r="AE70" s="833"/>
      <c r="AF70" s="833"/>
      <c r="AG70" s="833"/>
      <c r="BA70" s="823"/>
    </row>
    <row r="71" spans="1:53" ht="17.45" customHeight="1" x14ac:dyDescent="0.15">
      <c r="A71" s="844"/>
      <c r="D71" s="841"/>
      <c r="E71" s="434"/>
      <c r="F71" s="824"/>
      <c r="H71" s="533"/>
      <c r="J71" s="533"/>
      <c r="M71" s="533"/>
      <c r="O71" s="536"/>
      <c r="P71" s="537"/>
      <c r="Q71" s="833"/>
      <c r="R71" s="833"/>
      <c r="S71" s="833"/>
      <c r="AD71" s="820"/>
      <c r="AE71" s="820"/>
      <c r="AF71" s="820"/>
      <c r="BA71" s="823"/>
    </row>
    <row r="72" spans="1:53" ht="17.45" customHeight="1" x14ac:dyDescent="0.15">
      <c r="A72" s="844"/>
      <c r="B72" s="537" t="s">
        <v>190</v>
      </c>
      <c r="C72" s="1922" t="s">
        <v>797</v>
      </c>
      <c r="D72" s="1883"/>
      <c r="E72" s="1883"/>
      <c r="F72" s="1883"/>
      <c r="G72" s="1883"/>
      <c r="H72" s="1883"/>
      <c r="I72" s="1883"/>
      <c r="J72" s="1883"/>
      <c r="K72" s="1883"/>
      <c r="L72" s="1883"/>
      <c r="M72" s="1883"/>
      <c r="N72" s="1883"/>
      <c r="O72" s="1883"/>
      <c r="P72" s="1883"/>
      <c r="Q72" s="1883"/>
      <c r="R72" s="1883"/>
      <c r="S72" s="1883"/>
      <c r="AD72" s="820"/>
      <c r="AE72" s="820"/>
      <c r="AF72" s="820"/>
      <c r="BA72" s="823"/>
    </row>
    <row r="73" spans="1:53" ht="9.75" customHeight="1" x14ac:dyDescent="0.15">
      <c r="A73" s="844"/>
      <c r="C73" s="1517"/>
      <c r="D73" s="1517"/>
      <c r="E73" s="1517"/>
      <c r="F73" s="1517"/>
      <c r="G73" s="1517"/>
      <c r="H73" s="1517"/>
      <c r="I73" s="1517"/>
      <c r="J73" s="1517"/>
      <c r="K73" s="1517"/>
      <c r="L73" s="1517"/>
      <c r="M73" s="1517"/>
      <c r="N73" s="1517"/>
      <c r="O73" s="1517"/>
      <c r="P73" s="1517"/>
      <c r="Q73" s="1517"/>
      <c r="R73" s="1517"/>
      <c r="BA73" s="823"/>
    </row>
    <row r="74" spans="1:53" ht="84" customHeight="1" x14ac:dyDescent="0.15">
      <c r="A74" s="844"/>
      <c r="C74" s="1891" t="s">
        <v>798</v>
      </c>
      <c r="D74" s="1892"/>
      <c r="E74" s="1892"/>
      <c r="F74" s="1892"/>
      <c r="G74" s="1892"/>
      <c r="H74" s="1892"/>
      <c r="I74" s="1892"/>
      <c r="J74" s="1892"/>
      <c r="K74" s="1892"/>
      <c r="L74" s="1892"/>
      <c r="M74" s="1892"/>
      <c r="N74" s="1892"/>
      <c r="O74" s="1892"/>
      <c r="P74" s="1892"/>
      <c r="Q74" s="1892"/>
      <c r="R74" s="1892"/>
      <c r="S74" s="1892"/>
      <c r="T74" s="833"/>
      <c r="U74" s="833"/>
      <c r="V74" s="833"/>
      <c r="W74" s="833"/>
      <c r="X74" s="833"/>
      <c r="Y74" s="833"/>
      <c r="Z74" s="833"/>
      <c r="AA74" s="833"/>
      <c r="AB74" s="833"/>
      <c r="BA74" s="823"/>
    </row>
    <row r="75" spans="1:53" ht="88.5" customHeight="1" x14ac:dyDescent="0.15">
      <c r="A75" s="844"/>
      <c r="C75" s="1912" t="s">
        <v>309</v>
      </c>
      <c r="D75" s="1913"/>
      <c r="E75" s="1913"/>
      <c r="F75" s="1913"/>
      <c r="G75" s="1913"/>
      <c r="H75" s="1913"/>
      <c r="I75" s="1913"/>
      <c r="J75" s="1913"/>
      <c r="K75" s="1913"/>
      <c r="L75" s="1913"/>
      <c r="M75" s="1913"/>
      <c r="N75" s="1913"/>
      <c r="O75" s="1913"/>
      <c r="P75" s="1913"/>
      <c r="Q75" s="1913"/>
      <c r="R75" s="1913"/>
      <c r="S75" s="1913"/>
      <c r="T75" s="833"/>
      <c r="U75" s="833"/>
      <c r="V75" s="833"/>
      <c r="W75" s="833"/>
      <c r="X75" s="833"/>
      <c r="Y75" s="833"/>
      <c r="Z75" s="833"/>
      <c r="AA75" s="833"/>
      <c r="AB75" s="833"/>
      <c r="BA75" s="823"/>
    </row>
    <row r="76" spans="1:53" ht="17.45" customHeight="1" x14ac:dyDescent="0.15">
      <c r="A76" s="844"/>
      <c r="C76" s="847"/>
      <c r="D76" s="832"/>
      <c r="E76" s="848"/>
      <c r="F76" s="533"/>
      <c r="M76" s="533"/>
      <c r="O76" s="554"/>
      <c r="P76" s="537"/>
      <c r="T76" s="833"/>
      <c r="U76" s="833"/>
      <c r="V76" s="833"/>
      <c r="W76" s="833"/>
      <c r="X76" s="833"/>
      <c r="Y76" s="833"/>
      <c r="Z76" s="833"/>
      <c r="AA76" s="833"/>
      <c r="AB76" s="833"/>
      <c r="BA76" s="823"/>
    </row>
    <row r="77" spans="1:53" ht="17.45" customHeight="1" x14ac:dyDescent="0.15">
      <c r="A77" s="844"/>
      <c r="B77" s="537" t="s">
        <v>191</v>
      </c>
      <c r="C77" s="839" t="s">
        <v>317</v>
      </c>
      <c r="D77" s="832"/>
      <c r="E77" s="836"/>
      <c r="F77" s="536"/>
      <c r="G77" s="849"/>
      <c r="H77" s="850"/>
      <c r="I77" s="554"/>
      <c r="J77" s="554"/>
      <c r="K77" s="554"/>
      <c r="L77" s="554"/>
      <c r="M77" s="536"/>
      <c r="N77" s="554"/>
      <c r="O77" s="554"/>
      <c r="P77" s="537"/>
      <c r="Q77" s="833"/>
      <c r="R77" s="833"/>
      <c r="S77" s="833"/>
      <c r="T77" s="833"/>
      <c r="U77" s="833"/>
      <c r="V77" s="833"/>
      <c r="W77" s="833"/>
      <c r="X77" s="833"/>
      <c r="Y77" s="833"/>
      <c r="Z77" s="833"/>
      <c r="AA77" s="833"/>
      <c r="BA77" s="823"/>
    </row>
    <row r="78" spans="1:53" ht="17.45" customHeight="1" x14ac:dyDescent="0.15">
      <c r="A78" s="844"/>
      <c r="C78" s="832"/>
      <c r="D78" s="832"/>
      <c r="E78" s="836"/>
      <c r="F78" s="536"/>
      <c r="G78" s="849"/>
      <c r="H78" s="850"/>
      <c r="I78" s="554"/>
      <c r="J78" s="554"/>
      <c r="K78" s="554"/>
      <c r="L78" s="554"/>
      <c r="M78" s="536"/>
      <c r="N78" s="554"/>
      <c r="O78" s="554"/>
      <c r="P78" s="537"/>
      <c r="Q78" s="833"/>
      <c r="R78" s="833"/>
      <c r="S78" s="833"/>
      <c r="T78" s="833"/>
      <c r="U78" s="833"/>
      <c r="V78" s="833"/>
      <c r="W78" s="833"/>
      <c r="X78" s="833"/>
      <c r="Y78" s="833"/>
      <c r="Z78" s="833"/>
      <c r="AA78" s="833"/>
      <c r="BA78" s="823"/>
    </row>
    <row r="79" spans="1:53" ht="17.45" customHeight="1" x14ac:dyDescent="0.15">
      <c r="A79" s="844"/>
      <c r="B79" s="537" t="s">
        <v>192</v>
      </c>
      <c r="C79" s="1884" t="s">
        <v>295</v>
      </c>
      <c r="D79" s="1881"/>
      <c r="E79" s="1881"/>
      <c r="F79" s="1881"/>
      <c r="G79" s="1881"/>
      <c r="H79" s="1881"/>
      <c r="I79" s="1881"/>
      <c r="J79" s="1881"/>
      <c r="K79" s="1881"/>
      <c r="L79" s="1881"/>
      <c r="M79" s="1881"/>
      <c r="N79" s="1881"/>
      <c r="O79" s="1881"/>
      <c r="P79" s="1881"/>
      <c r="Q79" s="1881"/>
      <c r="R79" s="1881"/>
      <c r="S79" s="833"/>
      <c r="AD79" s="820"/>
      <c r="AE79" s="820"/>
      <c r="AF79" s="820"/>
      <c r="BA79" s="823"/>
    </row>
    <row r="80" spans="1:53" ht="17.45" customHeight="1" x14ac:dyDescent="0.15">
      <c r="A80" s="844"/>
      <c r="C80" s="1881"/>
      <c r="D80" s="1881"/>
      <c r="E80" s="1881"/>
      <c r="F80" s="1881"/>
      <c r="G80" s="1881"/>
      <c r="H80" s="1881"/>
      <c r="I80" s="1881"/>
      <c r="J80" s="1881"/>
      <c r="K80" s="1881"/>
      <c r="L80" s="1881"/>
      <c r="M80" s="1881"/>
      <c r="N80" s="1881"/>
      <c r="O80" s="1881"/>
      <c r="P80" s="1881"/>
      <c r="Q80" s="1881"/>
      <c r="R80" s="1881"/>
      <c r="S80" s="833"/>
      <c r="T80" s="833"/>
      <c r="U80" s="833"/>
      <c r="V80" s="833"/>
      <c r="W80" s="833"/>
      <c r="X80" s="833"/>
      <c r="Y80" s="833"/>
      <c r="Z80" s="833"/>
      <c r="AA80" s="833"/>
      <c r="AB80" s="833"/>
      <c r="AC80" s="833"/>
      <c r="AD80" s="833"/>
      <c r="AE80" s="833"/>
      <c r="AF80" s="833"/>
      <c r="AG80" s="833"/>
      <c r="AH80" s="833"/>
      <c r="AI80" s="833"/>
      <c r="AJ80" s="833"/>
      <c r="BA80" s="823"/>
    </row>
    <row r="81" spans="1:53" ht="17.45" customHeight="1" x14ac:dyDescent="0.15">
      <c r="A81" s="844"/>
      <c r="C81" s="832"/>
      <c r="D81" s="832"/>
      <c r="E81" s="828"/>
      <c r="F81" s="533"/>
      <c r="J81" s="533"/>
      <c r="M81" s="533"/>
      <c r="O81" s="554"/>
      <c r="P81" s="537"/>
      <c r="T81" s="833"/>
      <c r="U81" s="833"/>
      <c r="V81" s="833"/>
      <c r="W81" s="833"/>
      <c r="X81" s="833"/>
      <c r="Y81" s="833"/>
      <c r="Z81" s="833"/>
      <c r="AA81" s="833"/>
      <c r="BA81" s="823"/>
    </row>
    <row r="82" spans="1:53" ht="17.45" customHeight="1" x14ac:dyDescent="0.15">
      <c r="A82" s="844"/>
      <c r="B82" s="537" t="s">
        <v>193</v>
      </c>
      <c r="C82" s="1884" t="s">
        <v>799</v>
      </c>
      <c r="D82" s="1889"/>
      <c r="E82" s="1889"/>
      <c r="F82" s="1889"/>
      <c r="G82" s="1889"/>
      <c r="H82" s="1889"/>
      <c r="I82" s="1889"/>
      <c r="J82" s="1889"/>
      <c r="K82" s="1889"/>
      <c r="L82" s="1889"/>
      <c r="M82" s="1889"/>
      <c r="N82" s="1889"/>
      <c r="O82" s="1889"/>
      <c r="P82" s="1889"/>
      <c r="Q82" s="1889"/>
      <c r="R82" s="1889"/>
      <c r="S82" s="833"/>
      <c r="T82" s="833"/>
      <c r="U82" s="833"/>
      <c r="V82" s="833"/>
      <c r="W82" s="833"/>
      <c r="X82" s="833"/>
      <c r="Y82" s="833"/>
      <c r="Z82" s="833"/>
      <c r="AA82" s="833"/>
      <c r="BA82" s="823"/>
    </row>
    <row r="83" spans="1:53" ht="17.45" customHeight="1" x14ac:dyDescent="0.15">
      <c r="A83" s="821"/>
      <c r="C83" s="1889"/>
      <c r="D83" s="1889"/>
      <c r="E83" s="1889"/>
      <c r="F83" s="1889"/>
      <c r="G83" s="1889"/>
      <c r="H83" s="1889"/>
      <c r="I83" s="1889"/>
      <c r="J83" s="1889"/>
      <c r="K83" s="1889"/>
      <c r="L83" s="1889"/>
      <c r="M83" s="1889"/>
      <c r="N83" s="1889"/>
      <c r="O83" s="1889"/>
      <c r="P83" s="1889"/>
      <c r="Q83" s="1889"/>
      <c r="R83" s="1889"/>
      <c r="S83" s="833"/>
      <c r="AD83" s="820"/>
      <c r="AE83" s="820"/>
      <c r="AF83" s="820"/>
      <c r="BA83" s="823"/>
    </row>
    <row r="84" spans="1:53" ht="14.25" x14ac:dyDescent="0.15">
      <c r="A84" s="844"/>
      <c r="C84" s="1908" t="s">
        <v>807</v>
      </c>
      <c r="D84" s="1881"/>
      <c r="E84" s="1881"/>
      <c r="F84" s="1881"/>
      <c r="G84" s="1881"/>
      <c r="H84" s="1881"/>
      <c r="I84" s="1881"/>
      <c r="J84" s="1881"/>
      <c r="K84" s="1881"/>
      <c r="L84" s="1881"/>
      <c r="M84" s="1881"/>
      <c r="N84" s="1881"/>
      <c r="O84" s="1881"/>
      <c r="P84" s="1881"/>
      <c r="Q84" s="1881"/>
      <c r="R84" s="1881"/>
      <c r="S84" s="969"/>
      <c r="T84" s="833"/>
      <c r="U84" s="833"/>
      <c r="V84" s="833"/>
      <c r="W84" s="833"/>
      <c r="X84" s="833"/>
      <c r="Y84" s="833"/>
      <c r="Z84" s="833"/>
      <c r="AA84" s="833"/>
      <c r="AB84" s="833"/>
      <c r="AD84" s="820"/>
      <c r="AE84" s="820"/>
      <c r="AF84" s="820"/>
      <c r="BA84" s="823"/>
    </row>
    <row r="85" spans="1:53" ht="14.25" x14ac:dyDescent="0.15">
      <c r="A85" s="844"/>
      <c r="C85" s="1881"/>
      <c r="D85" s="1881"/>
      <c r="E85" s="1881"/>
      <c r="F85" s="1881"/>
      <c r="G85" s="1881"/>
      <c r="H85" s="1881"/>
      <c r="I85" s="1881"/>
      <c r="J85" s="1881"/>
      <c r="K85" s="1881"/>
      <c r="L85" s="1881"/>
      <c r="M85" s="1881"/>
      <c r="N85" s="1881"/>
      <c r="O85" s="1881"/>
      <c r="P85" s="1881"/>
      <c r="Q85" s="1881"/>
      <c r="R85" s="1881"/>
      <c r="S85" s="969"/>
      <c r="T85" s="833"/>
      <c r="U85" s="833"/>
      <c r="V85" s="833"/>
      <c r="W85" s="833"/>
      <c r="X85" s="833"/>
      <c r="Y85" s="833"/>
      <c r="Z85" s="833"/>
      <c r="AA85" s="833"/>
      <c r="AB85" s="833"/>
      <c r="AD85" s="820"/>
      <c r="AE85" s="820"/>
      <c r="AF85" s="820"/>
      <c r="BA85" s="823"/>
    </row>
    <row r="86" spans="1:53" ht="14.25" x14ac:dyDescent="0.15">
      <c r="A86" s="844"/>
      <c r="C86" s="1881"/>
      <c r="D86" s="1881"/>
      <c r="E86" s="1881"/>
      <c r="F86" s="1881"/>
      <c r="G86" s="1881"/>
      <c r="H86" s="1881"/>
      <c r="I86" s="1881"/>
      <c r="J86" s="1881"/>
      <c r="K86" s="1881"/>
      <c r="L86" s="1881"/>
      <c r="M86" s="1881"/>
      <c r="N86" s="1881"/>
      <c r="O86" s="1881"/>
      <c r="P86" s="1881"/>
      <c r="Q86" s="1881"/>
      <c r="R86" s="1881"/>
      <c r="S86" s="969"/>
      <c r="T86" s="833"/>
      <c r="U86" s="833"/>
      <c r="V86" s="833"/>
      <c r="W86" s="833"/>
      <c r="X86" s="833"/>
      <c r="Y86" s="833"/>
      <c r="Z86" s="833"/>
      <c r="AA86" s="833"/>
      <c r="AB86" s="833"/>
      <c r="AD86" s="820"/>
      <c r="AE86" s="820"/>
      <c r="AF86" s="820"/>
      <c r="BA86" s="823"/>
    </row>
    <row r="87" spans="1:53" ht="14.25" x14ac:dyDescent="0.15">
      <c r="A87" s="844"/>
      <c r="C87" s="1881"/>
      <c r="D87" s="1881"/>
      <c r="E87" s="1881"/>
      <c r="F87" s="1881"/>
      <c r="G87" s="1881"/>
      <c r="H87" s="1881"/>
      <c r="I87" s="1881"/>
      <c r="J87" s="1881"/>
      <c r="K87" s="1881"/>
      <c r="L87" s="1881"/>
      <c r="M87" s="1881"/>
      <c r="N87" s="1881"/>
      <c r="O87" s="1881"/>
      <c r="P87" s="1881"/>
      <c r="Q87" s="1881"/>
      <c r="R87" s="1881"/>
      <c r="S87" s="969"/>
      <c r="T87" s="833"/>
      <c r="U87" s="833"/>
      <c r="V87" s="833"/>
      <c r="W87" s="833"/>
      <c r="X87" s="833"/>
      <c r="Y87" s="833"/>
      <c r="Z87" s="833"/>
      <c r="AA87" s="833"/>
      <c r="AB87" s="833"/>
      <c r="AD87" s="820"/>
      <c r="AE87" s="820"/>
      <c r="AF87" s="820"/>
      <c r="BA87" s="823"/>
    </row>
    <row r="88" spans="1:53" ht="14.25" x14ac:dyDescent="0.15">
      <c r="A88" s="844"/>
      <c r="C88" s="1881"/>
      <c r="D88" s="1881"/>
      <c r="E88" s="1881"/>
      <c r="F88" s="1881"/>
      <c r="G88" s="1881"/>
      <c r="H88" s="1881"/>
      <c r="I88" s="1881"/>
      <c r="J88" s="1881"/>
      <c r="K88" s="1881"/>
      <c r="L88" s="1881"/>
      <c r="M88" s="1881"/>
      <c r="N88" s="1881"/>
      <c r="O88" s="1881"/>
      <c r="P88" s="1881"/>
      <c r="Q88" s="1881"/>
      <c r="R88" s="1881"/>
      <c r="S88" s="969"/>
      <c r="T88" s="833"/>
      <c r="U88" s="833"/>
      <c r="V88" s="833"/>
      <c r="W88" s="833"/>
      <c r="X88" s="833"/>
      <c r="Y88" s="833"/>
      <c r="Z88" s="833"/>
      <c r="AA88" s="833"/>
      <c r="AB88" s="833"/>
      <c r="AD88" s="820"/>
      <c r="AE88" s="820"/>
      <c r="AF88" s="820"/>
      <c r="BA88" s="823"/>
    </row>
    <row r="89" spans="1:53" ht="14.25" x14ac:dyDescent="0.15">
      <c r="A89" s="844"/>
      <c r="C89" s="1515"/>
      <c r="D89" s="1515"/>
      <c r="E89" s="1515"/>
      <c r="F89" s="1515"/>
      <c r="G89" s="1515"/>
      <c r="H89" s="1515"/>
      <c r="I89" s="1515"/>
      <c r="J89" s="1515"/>
      <c r="K89" s="1515"/>
      <c r="L89" s="1515"/>
      <c r="M89" s="1515"/>
      <c r="N89" s="1515"/>
      <c r="O89" s="1515"/>
      <c r="P89" s="1515"/>
      <c r="Q89" s="1515"/>
      <c r="R89" s="1515"/>
      <c r="S89" s="969"/>
      <c r="T89" s="833"/>
      <c r="U89" s="833"/>
      <c r="V89" s="833"/>
      <c r="W89" s="833"/>
      <c r="X89" s="833"/>
      <c r="Y89" s="833"/>
      <c r="Z89" s="833"/>
      <c r="AA89" s="833"/>
      <c r="AB89" s="833"/>
      <c r="AD89" s="820"/>
      <c r="AE89" s="820"/>
      <c r="AF89" s="820"/>
      <c r="BA89" s="823"/>
    </row>
    <row r="90" spans="1:53" ht="17.45" customHeight="1" x14ac:dyDescent="0.15">
      <c r="A90" s="844"/>
      <c r="B90" s="537" t="s">
        <v>195</v>
      </c>
      <c r="C90" s="1884" t="s">
        <v>297</v>
      </c>
      <c r="D90" s="1889"/>
      <c r="E90" s="1889"/>
      <c r="F90" s="1889"/>
      <c r="G90" s="1889"/>
      <c r="H90" s="1889"/>
      <c r="I90" s="1889"/>
      <c r="J90" s="1889"/>
      <c r="K90" s="1889"/>
      <c r="L90" s="1889"/>
      <c r="M90" s="1889"/>
      <c r="N90" s="1889"/>
      <c r="O90" s="1889"/>
      <c r="P90" s="1889"/>
      <c r="Q90" s="1889"/>
      <c r="R90" s="1889"/>
      <c r="AD90" s="820"/>
      <c r="AE90" s="820"/>
      <c r="AF90" s="820"/>
      <c r="BA90" s="823"/>
    </row>
    <row r="91" spans="1:53" ht="17.45" customHeight="1" x14ac:dyDescent="0.15">
      <c r="A91" s="844"/>
      <c r="C91" s="1889"/>
      <c r="D91" s="1889"/>
      <c r="E91" s="1889"/>
      <c r="F91" s="1889"/>
      <c r="G91" s="1889"/>
      <c r="H91" s="1889"/>
      <c r="I91" s="1889"/>
      <c r="J91" s="1889"/>
      <c r="K91" s="1889"/>
      <c r="L91" s="1889"/>
      <c r="M91" s="1889"/>
      <c r="N91" s="1889"/>
      <c r="O91" s="1889"/>
      <c r="P91" s="1889"/>
      <c r="Q91" s="1889"/>
      <c r="R91" s="1889"/>
      <c r="S91" s="833"/>
      <c r="T91" s="833"/>
      <c r="U91" s="833"/>
      <c r="V91" s="833"/>
      <c r="W91" s="833"/>
      <c r="X91" s="833"/>
      <c r="Y91" s="833"/>
      <c r="Z91" s="833"/>
      <c r="AA91" s="833"/>
      <c r="AB91" s="833"/>
      <c r="AC91" s="833"/>
      <c r="AD91" s="833"/>
      <c r="AE91" s="833"/>
      <c r="AF91" s="833"/>
      <c r="AG91" s="833"/>
      <c r="AH91" s="833"/>
      <c r="AI91" s="833"/>
      <c r="AJ91" s="833"/>
      <c r="AK91" s="833"/>
      <c r="AL91" s="833"/>
      <c r="AM91" s="833"/>
      <c r="AN91" s="833"/>
      <c r="AO91" s="833"/>
      <c r="AP91" s="833"/>
      <c r="AQ91" s="833"/>
      <c r="AR91" s="833"/>
      <c r="BA91" s="823"/>
    </row>
    <row r="92" spans="1:53" ht="14.25" x14ac:dyDescent="0.15">
      <c r="A92" s="844"/>
      <c r="C92" s="1915" t="s">
        <v>313</v>
      </c>
      <c r="D92" s="1916"/>
      <c r="E92" s="1916"/>
      <c r="F92" s="1916"/>
      <c r="G92" s="1916"/>
      <c r="H92" s="1916"/>
      <c r="I92" s="1916"/>
      <c r="J92" s="1916"/>
      <c r="K92" s="1916"/>
      <c r="L92" s="1916"/>
      <c r="M92" s="1916"/>
      <c r="N92" s="1916"/>
      <c r="O92" s="1916"/>
      <c r="P92" s="1916"/>
      <c r="Q92" s="1916"/>
      <c r="R92" s="1916"/>
      <c r="S92" s="969"/>
      <c r="T92" s="833"/>
      <c r="U92" s="833"/>
      <c r="V92" s="833"/>
      <c r="W92" s="833"/>
      <c r="X92" s="833"/>
      <c r="Y92" s="833"/>
      <c r="Z92" s="833"/>
      <c r="AA92" s="833"/>
      <c r="AB92" s="833"/>
      <c r="AD92" s="820"/>
      <c r="AE92" s="820"/>
      <c r="AF92" s="820"/>
      <c r="BA92" s="823"/>
    </row>
    <row r="93" spans="1:53" ht="14.25" x14ac:dyDescent="0.15">
      <c r="A93" s="844"/>
      <c r="C93" s="1916"/>
      <c r="D93" s="1916"/>
      <c r="E93" s="1916"/>
      <c r="F93" s="1916"/>
      <c r="G93" s="1916"/>
      <c r="H93" s="1916"/>
      <c r="I93" s="1916"/>
      <c r="J93" s="1916"/>
      <c r="K93" s="1916"/>
      <c r="L93" s="1916"/>
      <c r="M93" s="1916"/>
      <c r="N93" s="1916"/>
      <c r="O93" s="1916"/>
      <c r="P93" s="1916"/>
      <c r="Q93" s="1916"/>
      <c r="R93" s="1916"/>
      <c r="S93" s="969"/>
      <c r="T93" s="833"/>
      <c r="U93" s="833"/>
      <c r="V93" s="833"/>
      <c r="W93" s="833"/>
      <c r="X93" s="833"/>
      <c r="Y93" s="833"/>
      <c r="Z93" s="833"/>
      <c r="AA93" s="833"/>
      <c r="AB93" s="833"/>
      <c r="AD93" s="820"/>
      <c r="AE93" s="820"/>
      <c r="AF93" s="820"/>
      <c r="BA93" s="823"/>
    </row>
    <row r="94" spans="1:53" ht="14.25" x14ac:dyDescent="0.15">
      <c r="A94" s="844"/>
      <c r="C94" s="1916"/>
      <c r="D94" s="1916"/>
      <c r="E94" s="1916"/>
      <c r="F94" s="1916"/>
      <c r="G94" s="1916"/>
      <c r="H94" s="1916"/>
      <c r="I94" s="1916"/>
      <c r="J94" s="1916"/>
      <c r="K94" s="1916"/>
      <c r="L94" s="1916"/>
      <c r="M94" s="1916"/>
      <c r="N94" s="1916"/>
      <c r="O94" s="1916"/>
      <c r="P94" s="1916"/>
      <c r="Q94" s="1916"/>
      <c r="R94" s="1916"/>
      <c r="S94" s="969"/>
      <c r="T94" s="833"/>
      <c r="U94" s="833"/>
      <c r="V94" s="833"/>
      <c r="W94" s="833"/>
      <c r="X94" s="833"/>
      <c r="Y94" s="833"/>
      <c r="Z94" s="833"/>
      <c r="AA94" s="833"/>
      <c r="AB94" s="833"/>
      <c r="AD94" s="820"/>
      <c r="AE94" s="820"/>
      <c r="AF94" s="820"/>
      <c r="BA94" s="823"/>
    </row>
    <row r="95" spans="1:53" ht="14.25" x14ac:dyDescent="0.15">
      <c r="A95" s="844"/>
      <c r="C95" s="1916"/>
      <c r="D95" s="1916"/>
      <c r="E95" s="1916"/>
      <c r="F95" s="1916"/>
      <c r="G95" s="1916"/>
      <c r="H95" s="1916"/>
      <c r="I95" s="1916"/>
      <c r="J95" s="1916"/>
      <c r="K95" s="1916"/>
      <c r="L95" s="1916"/>
      <c r="M95" s="1916"/>
      <c r="N95" s="1916"/>
      <c r="O95" s="1916"/>
      <c r="P95" s="1916"/>
      <c r="Q95" s="1916"/>
      <c r="R95" s="1916"/>
      <c r="S95" s="969"/>
      <c r="T95" s="833"/>
      <c r="U95" s="833"/>
      <c r="V95" s="833"/>
      <c r="W95" s="833"/>
      <c r="X95" s="833"/>
      <c r="Y95" s="833"/>
      <c r="Z95" s="833"/>
      <c r="AA95" s="833"/>
      <c r="AB95" s="833"/>
      <c r="AD95" s="820"/>
      <c r="AE95" s="820"/>
      <c r="AF95" s="820"/>
      <c r="BA95" s="823"/>
    </row>
    <row r="96" spans="1:53" ht="31.5" customHeight="1" x14ac:dyDescent="0.15">
      <c r="A96" s="844"/>
      <c r="C96" s="1916"/>
      <c r="D96" s="1916"/>
      <c r="E96" s="1916"/>
      <c r="F96" s="1916"/>
      <c r="G96" s="1916"/>
      <c r="H96" s="1916"/>
      <c r="I96" s="1916"/>
      <c r="J96" s="1916"/>
      <c r="K96" s="1916"/>
      <c r="L96" s="1916"/>
      <c r="M96" s="1916"/>
      <c r="N96" s="1916"/>
      <c r="O96" s="1916"/>
      <c r="P96" s="1916"/>
      <c r="Q96" s="1916"/>
      <c r="R96" s="1916"/>
      <c r="S96" s="969"/>
      <c r="T96" s="833"/>
      <c r="U96" s="833"/>
      <c r="V96" s="833"/>
      <c r="W96" s="833"/>
      <c r="X96" s="833"/>
      <c r="Y96" s="833"/>
      <c r="Z96" s="833"/>
      <c r="AA96" s="833"/>
      <c r="AB96" s="833"/>
      <c r="AD96" s="820"/>
      <c r="AE96" s="820"/>
      <c r="AF96" s="820"/>
      <c r="BA96" s="823"/>
    </row>
    <row r="97" spans="1:53" ht="17.45" customHeight="1" x14ac:dyDescent="0.15">
      <c r="A97" s="844"/>
      <c r="B97" s="820"/>
      <c r="D97" s="852"/>
      <c r="E97" s="852"/>
      <c r="F97" s="533"/>
      <c r="H97" s="537"/>
      <c r="I97" s="537"/>
      <c r="J97" s="434"/>
      <c r="K97" s="537"/>
      <c r="O97" s="554"/>
      <c r="P97" s="537"/>
      <c r="Q97" s="833"/>
      <c r="R97" s="833"/>
      <c r="S97" s="833"/>
      <c r="AB97" s="833"/>
      <c r="AD97" s="820"/>
      <c r="AE97" s="820"/>
      <c r="AF97" s="820"/>
      <c r="BA97" s="823"/>
    </row>
    <row r="98" spans="1:53" ht="17.45" customHeight="1" x14ac:dyDescent="0.15">
      <c r="A98" s="821"/>
      <c r="B98" s="537" t="s">
        <v>196</v>
      </c>
      <c r="C98" s="1884" t="s">
        <v>298</v>
      </c>
      <c r="D98" s="1889"/>
      <c r="E98" s="1889"/>
      <c r="F98" s="1889"/>
      <c r="G98" s="1889"/>
      <c r="H98" s="1889"/>
      <c r="I98" s="1889"/>
      <c r="J98" s="1889"/>
      <c r="K98" s="1889"/>
      <c r="L98" s="1889"/>
      <c r="M98" s="1889"/>
      <c r="N98" s="1889"/>
      <c r="O98" s="1889"/>
      <c r="P98" s="1889"/>
      <c r="Q98" s="1889"/>
      <c r="R98" s="1889"/>
      <c r="T98" s="833"/>
      <c r="U98" s="833"/>
      <c r="V98" s="833"/>
      <c r="W98" s="833"/>
      <c r="X98" s="833"/>
      <c r="Y98" s="833"/>
      <c r="Z98" s="833"/>
      <c r="AA98" s="833"/>
      <c r="AB98" s="853"/>
      <c r="BA98" s="823"/>
    </row>
    <row r="99" spans="1:53" ht="17.45" customHeight="1" x14ac:dyDescent="0.15">
      <c r="A99" s="844"/>
      <c r="B99" s="820"/>
      <c r="C99" s="1889"/>
      <c r="D99" s="1889"/>
      <c r="E99" s="1889"/>
      <c r="F99" s="1889"/>
      <c r="G99" s="1889"/>
      <c r="H99" s="1889"/>
      <c r="I99" s="1889"/>
      <c r="J99" s="1889"/>
      <c r="K99" s="1889"/>
      <c r="L99" s="1889"/>
      <c r="M99" s="1889"/>
      <c r="N99" s="1889"/>
      <c r="O99" s="1889"/>
      <c r="P99" s="1889"/>
      <c r="Q99" s="1889"/>
      <c r="R99" s="1889"/>
      <c r="S99" s="833"/>
      <c r="AD99" s="820"/>
      <c r="AE99" s="820"/>
      <c r="AF99" s="820"/>
      <c r="BA99" s="823"/>
    </row>
    <row r="100" spans="1:53" ht="14.25" x14ac:dyDescent="0.15">
      <c r="A100" s="844"/>
      <c r="B100" s="820"/>
      <c r="C100" s="1908" t="s">
        <v>808</v>
      </c>
      <c r="D100" s="1881"/>
      <c r="E100" s="1881"/>
      <c r="F100" s="1881"/>
      <c r="G100" s="1881"/>
      <c r="H100" s="1881"/>
      <c r="I100" s="1881"/>
      <c r="J100" s="1881"/>
      <c r="K100" s="1881"/>
      <c r="L100" s="1881"/>
      <c r="M100" s="1881"/>
      <c r="N100" s="1881"/>
      <c r="O100" s="1881"/>
      <c r="P100" s="1881"/>
      <c r="Q100" s="1881"/>
      <c r="R100" s="1881"/>
      <c r="S100" s="969"/>
      <c r="AD100" s="820"/>
      <c r="AE100" s="820"/>
      <c r="AF100" s="820"/>
      <c r="BA100" s="823"/>
    </row>
    <row r="101" spans="1:53" ht="14.25" x14ac:dyDescent="0.15">
      <c r="A101" s="844"/>
      <c r="B101" s="820"/>
      <c r="C101" s="1881"/>
      <c r="D101" s="1881"/>
      <c r="E101" s="1881"/>
      <c r="F101" s="1881"/>
      <c r="G101" s="1881"/>
      <c r="H101" s="1881"/>
      <c r="I101" s="1881"/>
      <c r="J101" s="1881"/>
      <c r="K101" s="1881"/>
      <c r="L101" s="1881"/>
      <c r="M101" s="1881"/>
      <c r="N101" s="1881"/>
      <c r="O101" s="1881"/>
      <c r="P101" s="1881"/>
      <c r="Q101" s="1881"/>
      <c r="R101" s="1881"/>
      <c r="S101" s="969"/>
      <c r="AD101" s="820"/>
      <c r="AE101" s="820"/>
      <c r="AF101" s="820"/>
      <c r="BA101" s="823"/>
    </row>
    <row r="102" spans="1:53" ht="14.25" x14ac:dyDescent="0.15">
      <c r="A102" s="844"/>
      <c r="B102" s="820"/>
      <c r="C102" s="1881"/>
      <c r="D102" s="1881"/>
      <c r="E102" s="1881"/>
      <c r="F102" s="1881"/>
      <c r="G102" s="1881"/>
      <c r="H102" s="1881"/>
      <c r="I102" s="1881"/>
      <c r="J102" s="1881"/>
      <c r="K102" s="1881"/>
      <c r="L102" s="1881"/>
      <c r="M102" s="1881"/>
      <c r="N102" s="1881"/>
      <c r="O102" s="1881"/>
      <c r="P102" s="1881"/>
      <c r="Q102" s="1881"/>
      <c r="R102" s="1881"/>
      <c r="S102" s="969"/>
      <c r="AD102" s="820"/>
      <c r="AE102" s="820"/>
      <c r="AF102" s="820"/>
      <c r="BA102" s="823"/>
    </row>
    <row r="103" spans="1:53" ht="14.25" x14ac:dyDescent="0.15">
      <c r="A103" s="844"/>
      <c r="B103" s="820"/>
      <c r="C103" s="1881"/>
      <c r="D103" s="1881"/>
      <c r="E103" s="1881"/>
      <c r="F103" s="1881"/>
      <c r="G103" s="1881"/>
      <c r="H103" s="1881"/>
      <c r="I103" s="1881"/>
      <c r="J103" s="1881"/>
      <c r="K103" s="1881"/>
      <c r="L103" s="1881"/>
      <c r="M103" s="1881"/>
      <c r="N103" s="1881"/>
      <c r="O103" s="1881"/>
      <c r="P103" s="1881"/>
      <c r="Q103" s="1881"/>
      <c r="R103" s="1881"/>
      <c r="S103" s="969"/>
      <c r="AD103" s="820"/>
      <c r="AE103" s="820"/>
      <c r="AF103" s="820"/>
      <c r="BA103" s="823"/>
    </row>
    <row r="104" spans="1:53" ht="14.25" x14ac:dyDescent="0.15">
      <c r="A104" s="844"/>
      <c r="B104" s="820"/>
      <c r="C104" s="1881"/>
      <c r="D104" s="1881"/>
      <c r="E104" s="1881"/>
      <c r="F104" s="1881"/>
      <c r="G104" s="1881"/>
      <c r="H104" s="1881"/>
      <c r="I104" s="1881"/>
      <c r="J104" s="1881"/>
      <c r="K104" s="1881"/>
      <c r="L104" s="1881"/>
      <c r="M104" s="1881"/>
      <c r="N104" s="1881"/>
      <c r="O104" s="1881"/>
      <c r="P104" s="1881"/>
      <c r="Q104" s="1881"/>
      <c r="R104" s="1881"/>
      <c r="S104" s="969"/>
      <c r="AD104" s="820"/>
      <c r="AE104" s="820"/>
      <c r="AF104" s="820"/>
      <c r="BA104" s="823"/>
    </row>
    <row r="105" spans="1:53" ht="17.45" customHeight="1" x14ac:dyDescent="0.15">
      <c r="A105" s="844"/>
      <c r="C105" s="832"/>
      <c r="D105" s="832"/>
      <c r="E105" s="828"/>
      <c r="F105" s="533"/>
      <c r="J105" s="533"/>
      <c r="M105" s="533"/>
      <c r="O105" s="554"/>
      <c r="P105" s="537"/>
      <c r="Q105" s="833"/>
      <c r="R105" s="833"/>
      <c r="S105" s="833"/>
      <c r="AD105" s="820"/>
      <c r="AE105" s="820"/>
      <c r="AF105" s="820"/>
      <c r="BA105" s="823"/>
    </row>
    <row r="106" spans="1:53" ht="17.45" customHeight="1" x14ac:dyDescent="0.15">
      <c r="A106" s="821"/>
      <c r="B106" s="537" t="s">
        <v>197</v>
      </c>
      <c r="C106" s="839" t="s">
        <v>800</v>
      </c>
      <c r="D106" s="832"/>
      <c r="E106" s="838"/>
      <c r="F106" s="533"/>
      <c r="M106" s="533"/>
      <c r="O106" s="536"/>
      <c r="AD106" s="820"/>
      <c r="AE106" s="820"/>
      <c r="AF106" s="820"/>
      <c r="AK106" s="833"/>
      <c r="AL106" s="833"/>
      <c r="AM106" s="833"/>
      <c r="AN106" s="833"/>
      <c r="BA106" s="823"/>
    </row>
    <row r="107" spans="1:53" ht="17.45" customHeight="1" x14ac:dyDescent="0.15">
      <c r="A107" s="856"/>
      <c r="B107" s="820"/>
      <c r="C107" s="847"/>
      <c r="D107" s="832"/>
      <c r="E107" s="838"/>
      <c r="F107" s="533"/>
      <c r="M107" s="533"/>
      <c r="O107" s="536"/>
      <c r="T107" s="833"/>
      <c r="U107" s="833"/>
      <c r="V107" s="833"/>
      <c r="W107" s="833"/>
      <c r="X107" s="833"/>
      <c r="Y107" s="833"/>
      <c r="Z107" s="833"/>
      <c r="AA107" s="833"/>
      <c r="AB107" s="833"/>
      <c r="AC107" s="833"/>
      <c r="BA107" s="823"/>
    </row>
    <row r="108" spans="1:53" ht="17.45" customHeight="1" x14ac:dyDescent="0.15">
      <c r="B108" s="537" t="s">
        <v>310</v>
      </c>
      <c r="C108" s="1884" t="s">
        <v>311</v>
      </c>
      <c r="D108" s="1918"/>
      <c r="E108" s="1918"/>
      <c r="F108" s="1918"/>
      <c r="G108" s="1918"/>
      <c r="H108" s="1918"/>
      <c r="I108" s="1918"/>
      <c r="J108" s="1918"/>
      <c r="K108" s="1918"/>
      <c r="L108" s="1918"/>
      <c r="M108" s="1918"/>
      <c r="N108" s="1918"/>
      <c r="O108" s="1918"/>
      <c r="P108" s="1918"/>
      <c r="Q108" s="1918"/>
      <c r="R108" s="1918"/>
      <c r="BA108" s="823"/>
    </row>
    <row r="109" spans="1:53" ht="20.25" customHeight="1" x14ac:dyDescent="0.15">
      <c r="C109" s="1918"/>
      <c r="D109" s="1918"/>
      <c r="E109" s="1918"/>
      <c r="F109" s="1918"/>
      <c r="G109" s="1918"/>
      <c r="H109" s="1918"/>
      <c r="I109" s="1918"/>
      <c r="J109" s="1918"/>
      <c r="K109" s="1918"/>
      <c r="L109" s="1918"/>
      <c r="M109" s="1918"/>
      <c r="N109" s="1918"/>
      <c r="O109" s="1918"/>
      <c r="P109" s="1918"/>
      <c r="Q109" s="1918"/>
      <c r="R109" s="1918"/>
      <c r="BA109" s="823"/>
    </row>
    <row r="110" spans="1:53" ht="24" customHeight="1" x14ac:dyDescent="0.15">
      <c r="C110" s="1918"/>
      <c r="D110" s="1918"/>
      <c r="E110" s="1918"/>
      <c r="F110" s="1918"/>
      <c r="G110" s="1918"/>
      <c r="H110" s="1918"/>
      <c r="I110" s="1918"/>
      <c r="J110" s="1918"/>
      <c r="K110" s="1918"/>
      <c r="L110" s="1918"/>
      <c r="M110" s="1918"/>
      <c r="N110" s="1918"/>
      <c r="O110" s="1918"/>
      <c r="P110" s="1918"/>
      <c r="Q110" s="1918"/>
      <c r="R110" s="1918"/>
      <c r="BA110" s="823"/>
    </row>
    <row r="111" spans="1:53" ht="17.45" customHeight="1" x14ac:dyDescent="0.15">
      <c r="B111" s="854"/>
      <c r="C111" s="847"/>
      <c r="D111" s="847"/>
      <c r="E111" s="836"/>
      <c r="F111" s="822"/>
      <c r="G111" s="822"/>
      <c r="H111" s="855"/>
      <c r="I111" s="822"/>
      <c r="J111" s="855"/>
      <c r="K111" s="822"/>
      <c r="L111" s="822"/>
      <c r="M111" s="822"/>
      <c r="N111" s="822"/>
      <c r="O111" s="554"/>
      <c r="P111" s="537"/>
      <c r="BA111" s="823"/>
    </row>
    <row r="112" spans="1:53" ht="17.45" customHeight="1" x14ac:dyDescent="0.15">
      <c r="B112" s="537" t="s">
        <v>201</v>
      </c>
      <c r="C112" s="857" t="s">
        <v>287</v>
      </c>
      <c r="D112" s="858"/>
      <c r="E112" s="858"/>
      <c r="F112" s="533"/>
      <c r="H112" s="537"/>
      <c r="I112" s="537"/>
      <c r="J112" s="546"/>
      <c r="K112" s="537"/>
      <c r="O112" s="554"/>
      <c r="P112" s="537"/>
      <c r="Q112" s="833"/>
      <c r="R112" s="833"/>
      <c r="S112" s="833"/>
      <c r="BA112" s="823"/>
    </row>
    <row r="113" spans="1:53" ht="17.45" customHeight="1" x14ac:dyDescent="0.15">
      <c r="F113" s="533"/>
      <c r="I113" s="533"/>
      <c r="M113" s="533"/>
      <c r="O113" s="554"/>
      <c r="BA113" s="823"/>
    </row>
    <row r="114" spans="1:53" ht="17.45" customHeight="1" x14ac:dyDescent="0.15">
      <c r="B114" s="537" t="s">
        <v>175</v>
      </c>
      <c r="C114" s="1882" t="s">
        <v>813</v>
      </c>
      <c r="D114" s="1919"/>
      <c r="E114" s="1919"/>
      <c r="F114" s="1919"/>
      <c r="G114" s="1919"/>
      <c r="H114" s="1919"/>
      <c r="I114" s="1919"/>
      <c r="J114" s="1919"/>
      <c r="K114" s="1919"/>
      <c r="L114" s="1919"/>
      <c r="M114" s="1919"/>
      <c r="N114" s="1919"/>
      <c r="O114" s="1919"/>
      <c r="P114" s="1919"/>
      <c r="Q114" s="1919"/>
      <c r="R114" s="1919"/>
      <c r="BA114" s="823"/>
    </row>
    <row r="115" spans="1:53" ht="17.45" customHeight="1" x14ac:dyDescent="0.15">
      <c r="C115" s="1919"/>
      <c r="D115" s="1919"/>
      <c r="E115" s="1919"/>
      <c r="F115" s="1919"/>
      <c r="G115" s="1919"/>
      <c r="H115" s="1919"/>
      <c r="I115" s="1919"/>
      <c r="J115" s="1919"/>
      <c r="K115" s="1919"/>
      <c r="L115" s="1919"/>
      <c r="M115" s="1919"/>
      <c r="N115" s="1919"/>
      <c r="O115" s="1919"/>
      <c r="P115" s="1919"/>
      <c r="Q115" s="1919"/>
      <c r="R115" s="1919"/>
      <c r="BA115" s="823"/>
    </row>
    <row r="116" spans="1:53" ht="17.45" customHeight="1" x14ac:dyDescent="0.15">
      <c r="C116" s="1919"/>
      <c r="D116" s="1919"/>
      <c r="E116" s="1919"/>
      <c r="F116" s="1919"/>
      <c r="G116" s="1919"/>
      <c r="H116" s="1919"/>
      <c r="I116" s="1919"/>
      <c r="J116" s="1919"/>
      <c r="K116" s="1919"/>
      <c r="L116" s="1919"/>
      <c r="M116" s="1919"/>
      <c r="N116" s="1919"/>
      <c r="O116" s="1919"/>
      <c r="P116" s="1919"/>
      <c r="Q116" s="1919"/>
      <c r="R116" s="1919"/>
      <c r="BA116" s="823"/>
    </row>
    <row r="117" spans="1:53" ht="17.45" customHeight="1" x14ac:dyDescent="0.15">
      <c r="F117" s="533"/>
      <c r="H117" s="537"/>
      <c r="I117" s="533"/>
      <c r="J117" s="537"/>
      <c r="M117" s="533"/>
      <c r="O117" s="554"/>
      <c r="P117" s="537"/>
      <c r="BA117" s="823"/>
    </row>
    <row r="118" spans="1:53" ht="17.45" customHeight="1" x14ac:dyDescent="0.15">
      <c r="B118" s="537" t="s">
        <v>176</v>
      </c>
      <c r="C118" s="1882" t="s">
        <v>814</v>
      </c>
      <c r="D118" s="1918"/>
      <c r="E118" s="1918"/>
      <c r="F118" s="1918"/>
      <c r="G118" s="1918"/>
      <c r="H118" s="1918"/>
      <c r="I118" s="1918"/>
      <c r="J118" s="1918"/>
      <c r="K118" s="1918"/>
      <c r="L118" s="1918"/>
      <c r="M118" s="1918"/>
      <c r="N118" s="1918"/>
      <c r="O118" s="1918"/>
      <c r="P118" s="1918"/>
      <c r="Q118" s="1918"/>
      <c r="R118" s="1918"/>
      <c r="BA118" s="823"/>
    </row>
    <row r="119" spans="1:53" ht="17.45" customHeight="1" x14ac:dyDescent="0.15">
      <c r="C119" s="1918"/>
      <c r="D119" s="1918"/>
      <c r="E119" s="1918"/>
      <c r="F119" s="1918"/>
      <c r="G119" s="1918"/>
      <c r="H119" s="1918"/>
      <c r="I119" s="1918"/>
      <c r="J119" s="1918"/>
      <c r="K119" s="1918"/>
      <c r="L119" s="1918"/>
      <c r="M119" s="1918"/>
      <c r="N119" s="1918"/>
      <c r="O119" s="1918"/>
      <c r="P119" s="1918"/>
      <c r="Q119" s="1918"/>
      <c r="R119" s="1918"/>
      <c r="BA119" s="823"/>
    </row>
    <row r="120" spans="1:53" ht="17.45" customHeight="1" x14ac:dyDescent="0.15">
      <c r="F120" s="533"/>
      <c r="H120" s="537"/>
      <c r="I120" s="533"/>
      <c r="J120" s="537"/>
      <c r="M120" s="533"/>
      <c r="O120" s="554"/>
      <c r="P120" s="537"/>
      <c r="BA120" s="823"/>
    </row>
    <row r="121" spans="1:53" ht="17.45" customHeight="1" x14ac:dyDescent="0.15">
      <c r="B121" s="537" t="s">
        <v>177</v>
      </c>
      <c r="C121" s="1882" t="s">
        <v>300</v>
      </c>
      <c r="D121" s="1889"/>
      <c r="E121" s="1889"/>
      <c r="F121" s="1889"/>
      <c r="G121" s="1889"/>
      <c r="H121" s="1889"/>
      <c r="I121" s="1889"/>
      <c r="J121" s="1889"/>
      <c r="K121" s="1889"/>
      <c r="L121" s="1889"/>
      <c r="M121" s="1889"/>
      <c r="N121" s="1889"/>
      <c r="O121" s="1889"/>
      <c r="P121" s="1889"/>
      <c r="Q121" s="1889"/>
      <c r="R121" s="1889"/>
      <c r="BA121" s="823"/>
    </row>
    <row r="122" spans="1:53" ht="17.45" customHeight="1" x14ac:dyDescent="0.15">
      <c r="C122" s="1889"/>
      <c r="D122" s="1889"/>
      <c r="E122" s="1889"/>
      <c r="F122" s="1889"/>
      <c r="G122" s="1889"/>
      <c r="H122" s="1889"/>
      <c r="I122" s="1889"/>
      <c r="J122" s="1889"/>
      <c r="K122" s="1889"/>
      <c r="L122" s="1889"/>
      <c r="M122" s="1889"/>
      <c r="N122" s="1889"/>
      <c r="O122" s="1889"/>
      <c r="P122" s="1889"/>
      <c r="Q122" s="1889"/>
      <c r="R122" s="1889"/>
      <c r="T122" s="833"/>
      <c r="U122" s="833"/>
      <c r="V122" s="833"/>
      <c r="W122" s="833"/>
      <c r="X122" s="833"/>
      <c r="Y122" s="833"/>
      <c r="Z122" s="833"/>
      <c r="AA122" s="833"/>
      <c r="BA122" s="823"/>
    </row>
    <row r="123" spans="1:53" ht="17.45" customHeight="1" x14ac:dyDescent="0.15">
      <c r="C123" s="1881"/>
      <c r="D123" s="1881"/>
      <c r="E123" s="1881"/>
      <c r="F123" s="1881"/>
      <c r="G123" s="1881"/>
      <c r="H123" s="1881"/>
      <c r="I123" s="1881"/>
      <c r="J123" s="1881"/>
      <c r="K123" s="1881"/>
      <c r="L123" s="1881"/>
      <c r="M123" s="1881"/>
      <c r="N123" s="1881"/>
      <c r="O123" s="1881"/>
      <c r="P123" s="1881"/>
      <c r="Q123" s="1881"/>
      <c r="R123" s="1881"/>
      <c r="T123" s="833"/>
      <c r="U123" s="833"/>
      <c r="V123" s="833"/>
      <c r="W123" s="833"/>
      <c r="X123" s="833"/>
      <c r="Y123" s="833"/>
      <c r="Z123" s="833"/>
      <c r="AA123" s="833"/>
      <c r="BA123" s="823"/>
    </row>
    <row r="124" spans="1:53" ht="17.45" customHeight="1" x14ac:dyDescent="0.15">
      <c r="C124" s="1515"/>
      <c r="D124" s="1515"/>
      <c r="E124" s="1515"/>
      <c r="F124" s="1515"/>
      <c r="G124" s="1515"/>
      <c r="H124" s="1515"/>
      <c r="I124" s="1515"/>
      <c r="J124" s="1515"/>
      <c r="K124" s="1515"/>
      <c r="L124" s="1515"/>
      <c r="M124" s="1515"/>
      <c r="N124" s="1515"/>
      <c r="O124" s="1515"/>
      <c r="P124" s="1515"/>
      <c r="Q124" s="1515"/>
      <c r="R124" s="1515"/>
      <c r="T124" s="833"/>
      <c r="U124" s="833"/>
      <c r="V124" s="833"/>
      <c r="W124" s="833"/>
      <c r="X124" s="833"/>
      <c r="Y124" s="833"/>
      <c r="Z124" s="833"/>
      <c r="AA124" s="833"/>
      <c r="BA124" s="823"/>
    </row>
    <row r="125" spans="1:53" ht="17.45" customHeight="1" x14ac:dyDescent="0.15">
      <c r="B125" s="537" t="s">
        <v>178</v>
      </c>
      <c r="C125" s="1882" t="s">
        <v>801</v>
      </c>
      <c r="D125" s="1881"/>
      <c r="E125" s="1881"/>
      <c r="F125" s="1881"/>
      <c r="G125" s="1881"/>
      <c r="H125" s="1881"/>
      <c r="I125" s="1881"/>
      <c r="J125" s="1881"/>
      <c r="K125" s="1881"/>
      <c r="L125" s="1881"/>
      <c r="M125" s="1881"/>
      <c r="N125" s="1881"/>
      <c r="O125" s="1881"/>
      <c r="P125" s="1881"/>
      <c r="Q125" s="1881"/>
      <c r="R125" s="1881"/>
      <c r="T125" s="833"/>
      <c r="U125" s="833"/>
      <c r="V125" s="833"/>
      <c r="W125" s="833"/>
      <c r="X125" s="833"/>
      <c r="Y125" s="833"/>
      <c r="Z125" s="833"/>
      <c r="AA125" s="833"/>
      <c r="BA125" s="823"/>
    </row>
    <row r="126" spans="1:53" ht="17.45" customHeight="1" x14ac:dyDescent="0.15">
      <c r="C126" s="1881"/>
      <c r="D126" s="1881"/>
      <c r="E126" s="1881"/>
      <c r="F126" s="1881"/>
      <c r="G126" s="1881"/>
      <c r="H126" s="1881"/>
      <c r="I126" s="1881"/>
      <c r="J126" s="1881"/>
      <c r="K126" s="1881"/>
      <c r="L126" s="1881"/>
      <c r="M126" s="1881"/>
      <c r="N126" s="1881"/>
      <c r="O126" s="1881"/>
      <c r="P126" s="1881"/>
      <c r="Q126" s="1881"/>
      <c r="R126" s="1881"/>
      <c r="AD126" s="820"/>
      <c r="AE126" s="820"/>
      <c r="AF126" s="820"/>
      <c r="BA126" s="823"/>
    </row>
    <row r="127" spans="1:53" ht="32.25" customHeight="1" x14ac:dyDescent="0.15">
      <c r="A127" s="862"/>
      <c r="B127" s="820"/>
      <c r="C127" s="1923" t="s">
        <v>802</v>
      </c>
      <c r="D127" s="1918"/>
      <c r="E127" s="1918"/>
      <c r="F127" s="1918"/>
      <c r="G127" s="1918"/>
      <c r="H127" s="1918"/>
      <c r="I127" s="1918"/>
      <c r="J127" s="1918"/>
      <c r="K127" s="1918"/>
      <c r="L127" s="1918"/>
      <c r="M127" s="1918"/>
      <c r="N127" s="1918"/>
      <c r="O127" s="1918"/>
      <c r="P127" s="1918"/>
      <c r="Q127" s="1918"/>
      <c r="R127" s="1918"/>
      <c r="S127" s="833"/>
      <c r="AD127" s="820"/>
      <c r="AE127" s="820"/>
      <c r="AF127" s="820"/>
    </row>
    <row r="128" spans="1:53" ht="19.5" customHeight="1" x14ac:dyDescent="0.15">
      <c r="A128" s="862"/>
      <c r="B128" s="820"/>
      <c r="C128" s="1920" t="s">
        <v>803</v>
      </c>
      <c r="D128" s="1921"/>
      <c r="E128" s="1921"/>
      <c r="F128" s="1921"/>
      <c r="G128" s="1921"/>
      <c r="H128" s="1921"/>
      <c r="I128" s="1921"/>
      <c r="J128" s="1921"/>
      <c r="K128" s="1921"/>
      <c r="L128" s="1921"/>
      <c r="M128" s="1921"/>
      <c r="N128" s="1921"/>
      <c r="O128" s="1921"/>
      <c r="P128" s="1921"/>
      <c r="Q128" s="1921"/>
      <c r="R128" s="1921"/>
      <c r="S128" s="833"/>
      <c r="AD128" s="820"/>
      <c r="AE128" s="820"/>
      <c r="AF128" s="820"/>
    </row>
    <row r="129" spans="1:53" ht="14.25" customHeight="1" x14ac:dyDescent="0.15">
      <c r="C129" s="965"/>
      <c r="D129" s="965"/>
      <c r="E129" s="965"/>
      <c r="F129" s="965"/>
      <c r="G129" s="965"/>
      <c r="H129" s="965"/>
      <c r="I129" s="965"/>
      <c r="J129" s="965"/>
      <c r="K129" s="965"/>
      <c r="L129" s="965"/>
      <c r="M129" s="965"/>
      <c r="N129" s="965"/>
      <c r="O129" s="965"/>
      <c r="P129" s="1515"/>
      <c r="Q129" s="1515"/>
      <c r="R129" s="1515"/>
      <c r="S129" s="833"/>
      <c r="T129" s="833"/>
      <c r="U129" s="833"/>
      <c r="V129" s="833"/>
      <c r="W129" s="833"/>
      <c r="X129" s="833"/>
      <c r="Y129" s="833"/>
      <c r="Z129" s="833"/>
      <c r="AA129" s="833"/>
      <c r="AB129" s="833"/>
      <c r="AC129" s="833"/>
      <c r="BA129" s="823"/>
    </row>
    <row r="130" spans="1:53" ht="17.45" customHeight="1" x14ac:dyDescent="0.15">
      <c r="B130" s="861" t="s">
        <v>327</v>
      </c>
      <c r="C130" s="1917" t="s">
        <v>816</v>
      </c>
      <c r="D130" s="1918"/>
      <c r="E130" s="1918"/>
      <c r="F130" s="1918"/>
      <c r="G130" s="1918"/>
      <c r="H130" s="1918"/>
      <c r="I130" s="1918"/>
      <c r="J130" s="1918"/>
      <c r="K130" s="1918"/>
      <c r="L130" s="1918"/>
      <c r="M130" s="1918"/>
      <c r="N130" s="1918"/>
      <c r="O130" s="1918"/>
      <c r="P130" s="1918"/>
      <c r="Q130" s="1918"/>
      <c r="R130" s="1918"/>
      <c r="S130" s="833"/>
      <c r="BA130" s="823"/>
    </row>
    <row r="131" spans="1:53" ht="17.45" customHeight="1" x14ac:dyDescent="0.15">
      <c r="C131" s="1918"/>
      <c r="D131" s="1918"/>
      <c r="E131" s="1918"/>
      <c r="F131" s="1918"/>
      <c r="G131" s="1918"/>
      <c r="H131" s="1918"/>
      <c r="I131" s="1918"/>
      <c r="J131" s="1918"/>
      <c r="K131" s="1918"/>
      <c r="L131" s="1918"/>
      <c r="M131" s="1918"/>
      <c r="N131" s="1918"/>
      <c r="O131" s="1918"/>
      <c r="P131" s="1918"/>
      <c r="Q131" s="1918"/>
      <c r="R131" s="1918"/>
      <c r="S131" s="833"/>
      <c r="BA131" s="823"/>
    </row>
    <row r="132" spans="1:53" ht="17.45" customHeight="1" x14ac:dyDescent="0.15">
      <c r="A132" s="821"/>
      <c r="B132" s="820"/>
      <c r="C132" s="1919" t="s">
        <v>817</v>
      </c>
      <c r="D132" s="1919"/>
      <c r="E132" s="1919"/>
      <c r="F132" s="1919"/>
      <c r="G132" s="1919"/>
      <c r="H132" s="1919"/>
      <c r="I132" s="1919"/>
      <c r="J132" s="1919"/>
      <c r="K132" s="1919"/>
      <c r="L132" s="1919"/>
      <c r="M132" s="1919"/>
      <c r="N132" s="1919"/>
      <c r="O132" s="1919"/>
      <c r="P132" s="1919"/>
      <c r="Q132" s="1919"/>
      <c r="R132" s="1919"/>
      <c r="BA132" s="823"/>
    </row>
    <row r="133" spans="1:53" ht="17.45" customHeight="1" x14ac:dyDescent="0.15">
      <c r="A133" s="821"/>
      <c r="C133" s="820"/>
      <c r="D133" s="820"/>
      <c r="O133" s="820"/>
      <c r="BA133" s="823"/>
    </row>
    <row r="134" spans="1:53" ht="17.45" customHeight="1" x14ac:dyDescent="0.15">
      <c r="A134" s="821"/>
      <c r="B134" s="537" t="s">
        <v>202</v>
      </c>
      <c r="C134" s="1924" t="s">
        <v>818</v>
      </c>
      <c r="D134" s="1919"/>
      <c r="E134" s="1919"/>
      <c r="F134" s="1919"/>
      <c r="G134" s="1919"/>
      <c r="H134" s="1919"/>
      <c r="I134" s="1919"/>
      <c r="J134" s="1919"/>
      <c r="K134" s="1919"/>
      <c r="L134" s="1919"/>
      <c r="M134" s="1919"/>
      <c r="N134" s="1919"/>
      <c r="O134" s="1919"/>
      <c r="P134" s="1919"/>
      <c r="Q134" s="1919"/>
      <c r="R134" s="1919"/>
      <c r="S134" s="833"/>
      <c r="T134" s="835"/>
      <c r="U134" s="835"/>
      <c r="V134" s="835"/>
      <c r="W134" s="835"/>
      <c r="X134" s="835"/>
      <c r="Y134" s="835"/>
      <c r="Z134" s="835"/>
      <c r="AA134" s="835"/>
      <c r="AB134" s="835"/>
      <c r="AC134" s="835"/>
      <c r="AZ134" s="533"/>
      <c r="BA134" s="865"/>
    </row>
    <row r="135" spans="1:53" ht="17.45" customHeight="1" x14ac:dyDescent="0.15">
      <c r="A135" s="821"/>
      <c r="C135" s="1919"/>
      <c r="D135" s="1919"/>
      <c r="E135" s="1919"/>
      <c r="F135" s="1919"/>
      <c r="G135" s="1919"/>
      <c r="H135" s="1919"/>
      <c r="I135" s="1919"/>
      <c r="J135" s="1919"/>
      <c r="K135" s="1919"/>
      <c r="L135" s="1919"/>
      <c r="M135" s="1919"/>
      <c r="N135" s="1919"/>
      <c r="O135" s="1919"/>
      <c r="P135" s="1919"/>
      <c r="Q135" s="1919"/>
      <c r="R135" s="1919"/>
      <c r="AZ135" s="533"/>
      <c r="BA135" s="865"/>
    </row>
    <row r="136" spans="1:53" ht="17.45" customHeight="1" x14ac:dyDescent="0.15">
      <c r="A136" s="821"/>
      <c r="C136" s="1508"/>
      <c r="D136" s="1508"/>
      <c r="E136" s="1508"/>
      <c r="F136" s="1508"/>
      <c r="G136" s="1508"/>
      <c r="H136" s="1508"/>
      <c r="I136" s="1508"/>
      <c r="J136" s="1508"/>
      <c r="K136" s="1508"/>
      <c r="L136" s="1508"/>
      <c r="M136" s="1508"/>
      <c r="N136" s="1508"/>
      <c r="O136" s="1508"/>
      <c r="P136" s="1508"/>
      <c r="Q136" s="1508"/>
      <c r="R136" s="1508"/>
      <c r="AZ136" s="533"/>
      <c r="BA136" s="865"/>
    </row>
    <row r="137" spans="1:53" ht="17.45" customHeight="1" x14ac:dyDescent="0.15">
      <c r="A137" s="821"/>
      <c r="B137" s="537" t="s">
        <v>203</v>
      </c>
      <c r="C137" s="1882" t="s">
        <v>318</v>
      </c>
      <c r="D137" s="1889"/>
      <c r="E137" s="1889"/>
      <c r="F137" s="1889"/>
      <c r="G137" s="1889"/>
      <c r="H137" s="1889"/>
      <c r="I137" s="1889"/>
      <c r="J137" s="1889"/>
      <c r="K137" s="1889"/>
      <c r="L137" s="1889"/>
      <c r="M137" s="1889"/>
      <c r="N137" s="1889"/>
      <c r="O137" s="1889"/>
      <c r="P137" s="1889"/>
      <c r="Q137" s="1889"/>
      <c r="R137" s="1889"/>
      <c r="AA137" s="833"/>
      <c r="AD137" s="820"/>
      <c r="AE137" s="820"/>
      <c r="AF137" s="820"/>
      <c r="AX137" s="533"/>
      <c r="AY137" s="533"/>
      <c r="AZ137" s="533"/>
      <c r="BA137" s="865"/>
    </row>
    <row r="138" spans="1:53" ht="17.45" customHeight="1" x14ac:dyDescent="0.15">
      <c r="A138" s="821"/>
      <c r="C138" s="1889"/>
      <c r="D138" s="1889"/>
      <c r="E138" s="1889"/>
      <c r="F138" s="1889"/>
      <c r="G138" s="1889"/>
      <c r="H138" s="1889"/>
      <c r="I138" s="1889"/>
      <c r="J138" s="1889"/>
      <c r="K138" s="1889"/>
      <c r="L138" s="1889"/>
      <c r="M138" s="1889"/>
      <c r="N138" s="1889"/>
      <c r="O138" s="1889"/>
      <c r="P138" s="1889"/>
      <c r="Q138" s="1889"/>
      <c r="R138" s="1889"/>
      <c r="AD138" s="820"/>
      <c r="AE138" s="820"/>
      <c r="AF138" s="820"/>
      <c r="AZ138" s="533"/>
      <c r="BA138" s="865"/>
    </row>
    <row r="139" spans="1:53" ht="17.45" customHeight="1" x14ac:dyDescent="0.15">
      <c r="A139" s="821"/>
      <c r="C139" s="820"/>
      <c r="E139" s="857"/>
      <c r="J139" s="554"/>
      <c r="L139" s="537"/>
      <c r="N139" s="863"/>
      <c r="O139" s="864"/>
      <c r="P139" s="537"/>
      <c r="Q139" s="835"/>
      <c r="R139" s="835"/>
      <c r="S139" s="835"/>
      <c r="T139" s="833"/>
      <c r="U139" s="833"/>
      <c r="V139" s="833"/>
      <c r="W139" s="833"/>
      <c r="X139" s="833"/>
      <c r="Y139" s="833"/>
      <c r="Z139" s="833"/>
      <c r="AA139" s="833"/>
      <c r="AB139" s="833"/>
      <c r="AD139" s="820"/>
      <c r="AE139" s="820"/>
      <c r="AF139" s="820"/>
      <c r="AS139" s="833"/>
      <c r="AT139" s="833"/>
      <c r="AU139" s="833"/>
      <c r="AV139" s="833"/>
      <c r="AW139" s="833"/>
      <c r="AX139" s="833"/>
      <c r="AY139" s="833"/>
      <c r="AZ139" s="533"/>
      <c r="BA139" s="533"/>
    </row>
    <row r="140" spans="1:53" ht="17.45" customHeight="1" x14ac:dyDescent="0.15">
      <c r="A140" s="862"/>
      <c r="B140" s="537" t="s">
        <v>179</v>
      </c>
      <c r="C140" s="1882" t="s">
        <v>301</v>
      </c>
      <c r="D140" s="1889"/>
      <c r="E140" s="1889"/>
      <c r="F140" s="1889"/>
      <c r="G140" s="1889"/>
      <c r="H140" s="1889"/>
      <c r="I140" s="1889"/>
      <c r="J140" s="1889"/>
      <c r="K140" s="1889"/>
      <c r="L140" s="1889"/>
      <c r="M140" s="1889"/>
      <c r="N140" s="1889"/>
      <c r="O140" s="1889"/>
      <c r="P140" s="1889"/>
      <c r="Q140" s="1889"/>
      <c r="R140" s="1889"/>
      <c r="T140" s="869"/>
      <c r="U140" s="868"/>
      <c r="V140" s="869"/>
      <c r="W140" s="868"/>
      <c r="X140" s="868"/>
      <c r="AA140" s="868"/>
      <c r="AB140" s="868"/>
      <c r="AX140" s="533"/>
      <c r="AY140" s="533"/>
      <c r="AZ140" s="533"/>
      <c r="BA140" s="533"/>
    </row>
    <row r="141" spans="1:53" ht="17.45" customHeight="1" x14ac:dyDescent="0.15">
      <c r="A141" s="862"/>
      <c r="C141" s="1889"/>
      <c r="D141" s="1889"/>
      <c r="E141" s="1889"/>
      <c r="F141" s="1889"/>
      <c r="G141" s="1889"/>
      <c r="H141" s="1889"/>
      <c r="I141" s="1889"/>
      <c r="J141" s="1889"/>
      <c r="K141" s="1889"/>
      <c r="L141" s="1889"/>
      <c r="M141" s="1889"/>
      <c r="N141" s="1889"/>
      <c r="O141" s="1889"/>
      <c r="P141" s="1889"/>
      <c r="Q141" s="1889"/>
      <c r="R141" s="1889"/>
      <c r="T141" s="869"/>
      <c r="U141" s="868"/>
      <c r="V141" s="869"/>
      <c r="W141" s="868"/>
      <c r="X141" s="868"/>
      <c r="AA141" s="868"/>
      <c r="AB141" s="868"/>
      <c r="AX141" s="533"/>
      <c r="AY141" s="533"/>
      <c r="AZ141" s="533"/>
      <c r="BA141" s="533"/>
    </row>
    <row r="142" spans="1:53" ht="17.45" customHeight="1" x14ac:dyDescent="0.15">
      <c r="A142" s="821"/>
      <c r="C142" s="866"/>
      <c r="D142" s="867"/>
      <c r="E142" s="868"/>
      <c r="F142" s="851"/>
      <c r="G142" s="869"/>
      <c r="H142" s="537"/>
      <c r="I142" s="537"/>
      <c r="J142" s="537"/>
      <c r="L142" s="537"/>
      <c r="M142" s="537"/>
      <c r="N142" s="844"/>
      <c r="P142" s="537"/>
      <c r="T142" s="869"/>
      <c r="U142" s="868"/>
      <c r="V142" s="869"/>
      <c r="W142" s="868"/>
      <c r="X142" s="853"/>
      <c r="Y142" s="870"/>
      <c r="Z142" s="870"/>
      <c r="AA142" s="853"/>
      <c r="AB142" s="853"/>
      <c r="AX142" s="533"/>
      <c r="AY142" s="533"/>
      <c r="AZ142" s="533"/>
      <c r="BA142" s="533"/>
    </row>
    <row r="143" spans="1:53" ht="17.45" customHeight="1" x14ac:dyDescent="0.15">
      <c r="A143" s="821"/>
      <c r="B143" s="537" t="s">
        <v>204</v>
      </c>
      <c r="C143" s="1882" t="s">
        <v>302</v>
      </c>
      <c r="D143" s="1889"/>
      <c r="E143" s="1889"/>
      <c r="F143" s="1889"/>
      <c r="G143" s="1889"/>
      <c r="H143" s="1889"/>
      <c r="I143" s="1889"/>
      <c r="J143" s="1889"/>
      <c r="K143" s="1889"/>
      <c r="L143" s="1889"/>
      <c r="M143" s="1889"/>
      <c r="N143" s="1889"/>
      <c r="O143" s="1889"/>
      <c r="P143" s="1889"/>
      <c r="Q143" s="1889"/>
      <c r="R143" s="1889"/>
      <c r="T143" s="869"/>
      <c r="U143" s="868"/>
      <c r="V143" s="869"/>
      <c r="W143" s="868"/>
      <c r="X143" s="853"/>
      <c r="Y143" s="870"/>
      <c r="Z143" s="870"/>
      <c r="AA143" s="853"/>
      <c r="AB143" s="853"/>
      <c r="AX143" s="533"/>
      <c r="AY143" s="533"/>
      <c r="AZ143" s="533"/>
      <c r="BA143" s="533"/>
    </row>
    <row r="144" spans="1:53" ht="14.25" x14ac:dyDescent="0.15">
      <c r="A144" s="821"/>
      <c r="C144" s="1889"/>
      <c r="D144" s="1889"/>
      <c r="E144" s="1889"/>
      <c r="F144" s="1889"/>
      <c r="G144" s="1889"/>
      <c r="H144" s="1889"/>
      <c r="I144" s="1889"/>
      <c r="J144" s="1889"/>
      <c r="K144" s="1889"/>
      <c r="L144" s="1889"/>
      <c r="M144" s="1889"/>
      <c r="N144" s="1889"/>
      <c r="O144" s="1889"/>
      <c r="P144" s="1889"/>
      <c r="Q144" s="1889"/>
      <c r="R144" s="1889"/>
      <c r="S144" s="833"/>
      <c r="T144" s="869"/>
      <c r="U144" s="868"/>
      <c r="V144" s="869"/>
      <c r="W144" s="868"/>
      <c r="X144" s="853"/>
      <c r="Y144" s="870"/>
      <c r="Z144" s="870"/>
      <c r="AA144" s="853"/>
      <c r="AB144" s="853"/>
      <c r="AX144" s="533"/>
      <c r="AY144" s="533"/>
      <c r="AZ144" s="533"/>
      <c r="BA144" s="533"/>
    </row>
    <row r="145" spans="1:53" ht="17.45" customHeight="1" x14ac:dyDescent="0.15">
      <c r="A145" s="821"/>
      <c r="B145" s="840" t="s">
        <v>205</v>
      </c>
      <c r="C145" s="1925" t="s">
        <v>319</v>
      </c>
      <c r="D145" s="1883"/>
      <c r="E145" s="1883"/>
      <c r="F145" s="1883"/>
      <c r="G145" s="1883"/>
      <c r="H145" s="1883"/>
      <c r="I145" s="1883"/>
      <c r="J145" s="1883"/>
      <c r="K145" s="1883"/>
      <c r="L145" s="1883"/>
      <c r="M145" s="1883"/>
      <c r="N145" s="1883"/>
      <c r="O145" s="1883"/>
      <c r="P145" s="1883"/>
      <c r="Q145" s="1883"/>
      <c r="R145" s="1883"/>
      <c r="S145" s="1883"/>
      <c r="T145" s="869"/>
      <c r="U145" s="868"/>
      <c r="V145" s="869"/>
      <c r="W145" s="868"/>
      <c r="X145" s="853"/>
      <c r="Y145" s="870"/>
      <c r="Z145" s="870"/>
      <c r="AA145" s="853"/>
      <c r="AB145" s="853"/>
      <c r="AX145" s="533"/>
      <c r="AY145" s="533"/>
      <c r="AZ145" s="533"/>
      <c r="BA145" s="533"/>
    </row>
    <row r="146" spans="1:53" ht="17.45" customHeight="1" x14ac:dyDescent="0.15">
      <c r="A146" s="821"/>
      <c r="B146" s="840"/>
      <c r="C146" s="820"/>
      <c r="D146" s="546"/>
      <c r="J146" s="537"/>
      <c r="M146" s="537"/>
      <c r="N146" s="533"/>
      <c r="O146" s="533"/>
      <c r="P146" s="869"/>
      <c r="Q146" s="824"/>
      <c r="S146" s="868"/>
      <c r="T146" s="869"/>
      <c r="U146" s="868"/>
      <c r="V146" s="869"/>
      <c r="W146" s="868"/>
      <c r="X146" s="853"/>
      <c r="Y146" s="870"/>
      <c r="Z146" s="870"/>
      <c r="AA146" s="853"/>
      <c r="AB146" s="853"/>
      <c r="AX146" s="533"/>
      <c r="AY146" s="533"/>
      <c r="AZ146" s="533"/>
      <c r="BA146" s="533"/>
    </row>
    <row r="147" spans="1:53" ht="17.45" customHeight="1" x14ac:dyDescent="0.15">
      <c r="A147" s="821"/>
      <c r="B147" s="537" t="s">
        <v>180</v>
      </c>
      <c r="C147" s="1882" t="s">
        <v>819</v>
      </c>
      <c r="D147" s="1889"/>
      <c r="E147" s="1889"/>
      <c r="F147" s="1889"/>
      <c r="G147" s="1889"/>
      <c r="H147" s="1889"/>
      <c r="I147" s="1889"/>
      <c r="J147" s="1889"/>
      <c r="K147" s="1889"/>
      <c r="L147" s="1889"/>
      <c r="M147" s="1889"/>
      <c r="N147" s="1889"/>
      <c r="O147" s="1889"/>
      <c r="P147" s="1889"/>
      <c r="Q147" s="1889"/>
      <c r="R147" s="1889"/>
      <c r="S147" s="868"/>
      <c r="T147" s="869"/>
      <c r="U147" s="868"/>
      <c r="V147" s="869"/>
      <c r="W147" s="868"/>
      <c r="X147" s="853"/>
      <c r="Y147" s="870"/>
      <c r="Z147" s="870"/>
      <c r="AA147" s="853"/>
      <c r="AB147" s="853"/>
      <c r="AX147" s="533"/>
      <c r="AY147" s="533"/>
      <c r="AZ147" s="533"/>
      <c r="BA147" s="533"/>
    </row>
    <row r="148" spans="1:53" ht="17.45" customHeight="1" x14ac:dyDescent="0.15">
      <c r="A148" s="821"/>
      <c r="B148" s="820"/>
      <c r="C148" s="1889"/>
      <c r="D148" s="1889"/>
      <c r="E148" s="1889"/>
      <c r="F148" s="1889"/>
      <c r="G148" s="1889"/>
      <c r="H148" s="1889"/>
      <c r="I148" s="1889"/>
      <c r="J148" s="1889"/>
      <c r="K148" s="1889"/>
      <c r="L148" s="1889"/>
      <c r="M148" s="1889"/>
      <c r="N148" s="1889"/>
      <c r="O148" s="1889"/>
      <c r="P148" s="1889"/>
      <c r="Q148" s="1889"/>
      <c r="R148" s="1889"/>
      <c r="S148" s="868"/>
      <c r="T148" s="869"/>
      <c r="U148" s="868"/>
      <c r="V148" s="869"/>
      <c r="W148" s="868"/>
      <c r="X148" s="853"/>
      <c r="Y148" s="870"/>
      <c r="Z148" s="870"/>
      <c r="AA148" s="853"/>
      <c r="AB148" s="853"/>
      <c r="AX148" s="533"/>
      <c r="AY148" s="533"/>
      <c r="AZ148" s="533"/>
      <c r="BA148" s="533"/>
    </row>
    <row r="149" spans="1:53" ht="17.45" customHeight="1" x14ac:dyDescent="0.15">
      <c r="A149" s="821"/>
      <c r="B149" s="820"/>
      <c r="C149" s="820"/>
      <c r="D149" s="820"/>
      <c r="O149" s="820"/>
      <c r="S149" s="868"/>
      <c r="T149" s="869"/>
      <c r="U149" s="868"/>
      <c r="V149" s="869"/>
      <c r="W149" s="868"/>
      <c r="X149" s="853"/>
      <c r="Y149" s="870"/>
      <c r="Z149" s="870"/>
      <c r="AA149" s="853"/>
      <c r="AB149" s="853"/>
      <c r="AX149" s="533"/>
      <c r="AY149" s="533"/>
      <c r="AZ149" s="533"/>
      <c r="BA149" s="533"/>
    </row>
    <row r="150" spans="1:53" ht="17.45" customHeight="1" x14ac:dyDescent="0.15">
      <c r="A150" s="821"/>
      <c r="B150" s="537" t="s">
        <v>206</v>
      </c>
      <c r="C150" s="1882" t="s">
        <v>820</v>
      </c>
      <c r="D150" s="1889"/>
      <c r="E150" s="1889"/>
      <c r="F150" s="1889"/>
      <c r="G150" s="1889"/>
      <c r="H150" s="1889"/>
      <c r="I150" s="1889"/>
      <c r="J150" s="1889"/>
      <c r="K150" s="1889"/>
      <c r="L150" s="1889"/>
      <c r="M150" s="1889"/>
      <c r="N150" s="1889"/>
      <c r="O150" s="1889"/>
      <c r="P150" s="1889"/>
      <c r="Q150" s="1889"/>
      <c r="R150" s="1889"/>
      <c r="S150" s="868"/>
      <c r="T150" s="869"/>
      <c r="U150" s="868"/>
      <c r="V150" s="869"/>
      <c r="W150" s="868"/>
      <c r="X150" s="853"/>
      <c r="Y150" s="870"/>
      <c r="Z150" s="870"/>
      <c r="AA150" s="853"/>
      <c r="AB150" s="853"/>
      <c r="AX150" s="533"/>
      <c r="AY150" s="533"/>
      <c r="AZ150" s="533"/>
      <c r="BA150" s="533"/>
    </row>
    <row r="151" spans="1:53" ht="17.45" customHeight="1" x14ac:dyDescent="0.15">
      <c r="A151" s="821"/>
      <c r="B151" s="820"/>
      <c r="C151" s="1889"/>
      <c r="D151" s="1889"/>
      <c r="E151" s="1889"/>
      <c r="F151" s="1889"/>
      <c r="G151" s="1889"/>
      <c r="H151" s="1889"/>
      <c r="I151" s="1889"/>
      <c r="J151" s="1889"/>
      <c r="K151" s="1889"/>
      <c r="L151" s="1889"/>
      <c r="M151" s="1889"/>
      <c r="N151" s="1889"/>
      <c r="O151" s="1889"/>
      <c r="P151" s="1889"/>
      <c r="Q151" s="1889"/>
      <c r="R151" s="1889"/>
      <c r="S151" s="868"/>
      <c r="T151" s="869"/>
      <c r="U151" s="868"/>
      <c r="V151" s="869"/>
      <c r="W151" s="868"/>
      <c r="X151" s="853"/>
      <c r="Y151" s="870"/>
      <c r="Z151" s="870"/>
      <c r="AA151" s="853"/>
      <c r="AB151" s="853"/>
      <c r="AX151" s="533"/>
      <c r="AY151" s="533"/>
      <c r="AZ151" s="533"/>
      <c r="BA151" s="533"/>
    </row>
    <row r="152" spans="1:53" ht="17.45" customHeight="1" x14ac:dyDescent="0.15">
      <c r="A152" s="821"/>
      <c r="B152" s="820"/>
      <c r="C152" s="1508"/>
      <c r="D152" s="1508"/>
      <c r="E152" s="1508"/>
      <c r="F152" s="1508"/>
      <c r="G152" s="1508"/>
      <c r="H152" s="1508"/>
      <c r="I152" s="1508"/>
      <c r="J152" s="1508"/>
      <c r="K152" s="1508"/>
      <c r="L152" s="1508"/>
      <c r="M152" s="1508"/>
      <c r="N152" s="1508"/>
      <c r="O152" s="1508"/>
      <c r="P152" s="1508"/>
      <c r="Q152" s="1508"/>
      <c r="R152" s="1508"/>
      <c r="S152" s="868"/>
      <c r="T152" s="869"/>
      <c r="U152" s="868"/>
      <c r="V152" s="869"/>
      <c r="W152" s="868"/>
      <c r="X152" s="853"/>
      <c r="Y152" s="870"/>
      <c r="Z152" s="870"/>
      <c r="AA152" s="853"/>
      <c r="AB152" s="853"/>
      <c r="AX152" s="533"/>
      <c r="AY152" s="533"/>
      <c r="AZ152" s="533"/>
      <c r="BA152" s="533"/>
    </row>
    <row r="153" spans="1:53" ht="17.45" customHeight="1" x14ac:dyDescent="0.15">
      <c r="A153" s="821"/>
      <c r="B153" s="537" t="s">
        <v>183</v>
      </c>
      <c r="C153" s="1926" t="s">
        <v>1</v>
      </c>
      <c r="D153" s="1889"/>
      <c r="E153" s="1889"/>
      <c r="F153" s="1889"/>
      <c r="G153" s="1889"/>
      <c r="H153" s="1889"/>
      <c r="I153" s="1889"/>
      <c r="J153" s="1889"/>
      <c r="K153" s="1889"/>
      <c r="L153" s="1889"/>
      <c r="M153" s="1889"/>
      <c r="N153" s="1889"/>
      <c r="O153" s="1889"/>
      <c r="P153" s="1889"/>
      <c r="Q153" s="1889"/>
      <c r="R153" s="1889"/>
      <c r="S153" s="868"/>
      <c r="T153" s="869"/>
      <c r="U153" s="868"/>
      <c r="V153" s="869"/>
      <c r="W153" s="868"/>
      <c r="X153" s="853"/>
      <c r="Y153" s="870"/>
      <c r="Z153" s="870"/>
      <c r="AA153" s="853"/>
      <c r="AB153" s="853"/>
      <c r="AX153" s="533"/>
      <c r="AY153" s="533"/>
      <c r="AZ153" s="533"/>
      <c r="BA153" s="533"/>
    </row>
    <row r="154" spans="1:53" ht="17.45" customHeight="1" x14ac:dyDescent="0.15">
      <c r="A154" s="821"/>
      <c r="C154" s="1889"/>
      <c r="D154" s="1889"/>
      <c r="E154" s="1889"/>
      <c r="F154" s="1889"/>
      <c r="G154" s="1889"/>
      <c r="H154" s="1889"/>
      <c r="I154" s="1889"/>
      <c r="J154" s="1889"/>
      <c r="K154" s="1889"/>
      <c r="L154" s="1889"/>
      <c r="M154" s="1889"/>
      <c r="N154" s="1889"/>
      <c r="O154" s="1889"/>
      <c r="P154" s="1889"/>
      <c r="Q154" s="1889"/>
      <c r="R154" s="1889"/>
      <c r="S154" s="868"/>
      <c r="T154" s="869"/>
      <c r="U154" s="868"/>
      <c r="V154" s="869"/>
      <c r="W154" s="868"/>
      <c r="X154" s="853"/>
      <c r="Y154" s="870"/>
      <c r="Z154" s="870"/>
      <c r="AA154" s="853"/>
      <c r="AB154" s="853"/>
      <c r="AX154" s="533"/>
      <c r="AY154" s="533"/>
      <c r="AZ154" s="533"/>
      <c r="BA154" s="533"/>
    </row>
    <row r="155" spans="1:53" ht="17.45" customHeight="1" x14ac:dyDescent="0.15">
      <c r="A155" s="821"/>
      <c r="C155" s="1889"/>
      <c r="D155" s="1889"/>
      <c r="E155" s="1889"/>
      <c r="F155" s="1889"/>
      <c r="G155" s="1889"/>
      <c r="H155" s="1889"/>
      <c r="I155" s="1889"/>
      <c r="J155" s="1889"/>
      <c r="K155" s="1889"/>
      <c r="L155" s="1889"/>
      <c r="M155" s="1889"/>
      <c r="N155" s="1889"/>
      <c r="O155" s="1889"/>
      <c r="P155" s="1889"/>
      <c r="Q155" s="1889"/>
      <c r="R155" s="1889"/>
      <c r="S155" s="868"/>
      <c r="T155" s="869"/>
      <c r="U155" s="868"/>
      <c r="V155" s="869"/>
      <c r="W155" s="868"/>
      <c r="X155" s="853"/>
      <c r="Y155" s="870"/>
      <c r="Z155" s="870"/>
      <c r="AA155" s="853"/>
      <c r="AB155" s="853"/>
      <c r="AX155" s="533"/>
      <c r="AY155" s="533"/>
      <c r="AZ155" s="533"/>
      <c r="BA155" s="533"/>
    </row>
    <row r="156" spans="1:53" ht="17.45" customHeight="1" x14ac:dyDescent="0.15">
      <c r="A156" s="821"/>
      <c r="C156" s="1508"/>
      <c r="D156" s="1508"/>
      <c r="E156" s="1508"/>
      <c r="F156" s="1508"/>
      <c r="G156" s="1508"/>
      <c r="H156" s="1508"/>
      <c r="I156" s="1508"/>
      <c r="J156" s="1508"/>
      <c r="K156" s="1508"/>
      <c r="L156" s="1508"/>
      <c r="M156" s="1508"/>
      <c r="N156" s="1508"/>
      <c r="O156" s="1508"/>
      <c r="P156" s="1508"/>
      <c r="Q156" s="1508"/>
      <c r="R156" s="1508"/>
      <c r="S156" s="868"/>
      <c r="T156" s="869"/>
      <c r="U156" s="868"/>
      <c r="V156" s="869"/>
      <c r="W156" s="868"/>
      <c r="X156" s="853"/>
      <c r="Y156" s="870"/>
      <c r="Z156" s="870"/>
      <c r="AA156" s="853"/>
      <c r="AB156" s="853"/>
      <c r="AX156" s="533"/>
      <c r="AY156" s="533"/>
      <c r="AZ156" s="533"/>
      <c r="BA156" s="533"/>
    </row>
    <row r="157" spans="1:53" ht="17.45" customHeight="1" x14ac:dyDescent="0.15">
      <c r="A157" s="821"/>
      <c r="B157" s="537" t="s">
        <v>184</v>
      </c>
      <c r="C157" s="1925" t="s">
        <v>2</v>
      </c>
      <c r="D157" s="1883"/>
      <c r="E157" s="1883"/>
      <c r="F157" s="1883"/>
      <c r="G157" s="1883"/>
      <c r="H157" s="1883"/>
      <c r="I157" s="1883"/>
      <c r="J157" s="1883"/>
      <c r="K157" s="1883"/>
      <c r="L157" s="1883"/>
      <c r="M157" s="1883"/>
      <c r="N157" s="1883"/>
      <c r="O157" s="1883"/>
      <c r="P157" s="1883"/>
      <c r="Q157" s="1883"/>
      <c r="R157" s="1883"/>
      <c r="S157" s="1883"/>
      <c r="T157" s="869"/>
      <c r="U157" s="868"/>
      <c r="V157" s="869"/>
      <c r="W157" s="868"/>
      <c r="X157" s="853"/>
      <c r="Y157" s="870"/>
      <c r="Z157" s="870"/>
      <c r="AA157" s="853"/>
      <c r="AB157" s="853"/>
      <c r="AX157" s="533"/>
      <c r="AY157" s="533"/>
      <c r="AZ157" s="533"/>
      <c r="BA157" s="533"/>
    </row>
    <row r="158" spans="1:53" ht="17.45" customHeight="1" x14ac:dyDescent="0.15">
      <c r="A158" s="821"/>
      <c r="C158" s="537"/>
      <c r="D158" s="1508"/>
      <c r="E158" s="1508"/>
      <c r="F158" s="1508"/>
      <c r="G158" s="1508"/>
      <c r="H158" s="1508"/>
      <c r="I158" s="1508"/>
      <c r="J158" s="1508"/>
      <c r="K158" s="1508"/>
      <c r="L158" s="1508"/>
      <c r="M158" s="1508"/>
      <c r="N158" s="1508"/>
      <c r="O158" s="1508"/>
      <c r="P158" s="1508"/>
      <c r="Q158" s="1508"/>
      <c r="R158" s="1508"/>
      <c r="S158" s="868"/>
      <c r="T158" s="869"/>
      <c r="U158" s="868"/>
      <c r="V158" s="869"/>
      <c r="W158" s="868"/>
      <c r="X158" s="853"/>
      <c r="Y158" s="870"/>
      <c r="Z158" s="870"/>
      <c r="AA158" s="853"/>
      <c r="AB158" s="853"/>
      <c r="AX158" s="533"/>
      <c r="AY158" s="533"/>
      <c r="AZ158" s="533"/>
      <c r="BA158" s="533"/>
    </row>
    <row r="159" spans="1:53" ht="17.45" customHeight="1" x14ac:dyDescent="0.15">
      <c r="A159" s="821"/>
      <c r="B159" s="537" t="s">
        <v>187</v>
      </c>
      <c r="C159" s="1925" t="s">
        <v>16</v>
      </c>
      <c r="D159" s="1883"/>
      <c r="E159" s="1883"/>
      <c r="F159" s="1883"/>
      <c r="G159" s="1883"/>
      <c r="H159" s="1883"/>
      <c r="I159" s="1883"/>
      <c r="J159" s="1883"/>
      <c r="K159" s="1883"/>
      <c r="L159" s="1883"/>
      <c r="M159" s="1883"/>
      <c r="N159" s="1883"/>
      <c r="O159" s="1883"/>
      <c r="P159" s="1883"/>
      <c r="Q159" s="1883"/>
      <c r="R159" s="1883"/>
      <c r="S159" s="1883"/>
      <c r="T159" s="869"/>
      <c r="U159" s="868"/>
      <c r="V159" s="869"/>
      <c r="W159" s="868"/>
      <c r="X159" s="853"/>
      <c r="Y159" s="870"/>
      <c r="Z159" s="870"/>
      <c r="AA159" s="853"/>
      <c r="AB159" s="853"/>
      <c r="AX159" s="533"/>
      <c r="AY159" s="533"/>
      <c r="AZ159" s="533"/>
      <c r="BA159" s="533"/>
    </row>
    <row r="160" spans="1:53" ht="17.45" customHeight="1" x14ac:dyDescent="0.15">
      <c r="A160" s="821"/>
      <c r="C160" s="820"/>
      <c r="D160" s="820"/>
      <c r="M160" s="854"/>
      <c r="N160" s="533"/>
      <c r="O160" s="554"/>
      <c r="P160" s="869"/>
      <c r="Q160" s="824"/>
      <c r="S160" s="868"/>
      <c r="T160" s="869"/>
      <c r="U160" s="868"/>
      <c r="V160" s="869"/>
      <c r="W160" s="868"/>
      <c r="X160" s="853"/>
      <c r="Y160" s="870"/>
      <c r="Z160" s="870"/>
      <c r="AA160" s="853"/>
      <c r="AB160" s="853"/>
      <c r="AX160" s="533"/>
      <c r="AY160" s="533"/>
      <c r="AZ160" s="533"/>
      <c r="BA160" s="533"/>
    </row>
    <row r="161" spans="1:53" ht="17.45" customHeight="1" x14ac:dyDescent="0.15">
      <c r="A161" s="821"/>
      <c r="B161" s="537" t="s">
        <v>207</v>
      </c>
      <c r="C161" s="537" t="s">
        <v>17</v>
      </c>
      <c r="D161" s="820"/>
      <c r="M161" s="854"/>
      <c r="N161" s="533"/>
      <c r="O161" s="554"/>
      <c r="P161" s="869"/>
      <c r="Q161" s="824"/>
      <c r="S161" s="868"/>
      <c r="T161" s="869"/>
      <c r="U161" s="868"/>
      <c r="V161" s="869"/>
      <c r="W161" s="868"/>
      <c r="X161" s="853"/>
      <c r="Y161" s="870"/>
      <c r="Z161" s="870"/>
      <c r="AA161" s="853"/>
      <c r="AB161" s="853"/>
      <c r="AX161" s="533"/>
      <c r="AY161" s="533"/>
      <c r="AZ161" s="533"/>
      <c r="BA161" s="533"/>
    </row>
    <row r="162" spans="1:53" ht="17.45" customHeight="1" x14ac:dyDescent="0.15">
      <c r="A162" s="821"/>
      <c r="B162" s="820"/>
      <c r="C162" s="820"/>
      <c r="D162" s="820"/>
      <c r="O162" s="820"/>
      <c r="S162" s="868"/>
      <c r="T162" s="869"/>
      <c r="U162" s="868"/>
      <c r="V162" s="869"/>
      <c r="W162" s="868"/>
      <c r="X162" s="853"/>
      <c r="Y162" s="870"/>
      <c r="Z162" s="870"/>
      <c r="AA162" s="853"/>
      <c r="AB162" s="853"/>
      <c r="AX162" s="533"/>
      <c r="AY162" s="533"/>
      <c r="AZ162" s="533"/>
      <c r="BA162" s="533"/>
    </row>
    <row r="163" spans="1:53" ht="17.45" customHeight="1" x14ac:dyDescent="0.15">
      <c r="A163" s="821"/>
      <c r="B163" s="537" t="s">
        <v>210</v>
      </c>
      <c r="C163" s="1882" t="s">
        <v>303</v>
      </c>
      <c r="D163" s="1889"/>
      <c r="E163" s="1889"/>
      <c r="F163" s="1889"/>
      <c r="G163" s="1889"/>
      <c r="H163" s="1889"/>
      <c r="I163" s="1889"/>
      <c r="J163" s="1889"/>
      <c r="K163" s="1889"/>
      <c r="L163" s="1889"/>
      <c r="M163" s="1889"/>
      <c r="N163" s="1889"/>
      <c r="O163" s="1889"/>
      <c r="P163" s="1889"/>
      <c r="Q163" s="1889"/>
      <c r="R163" s="1889"/>
      <c r="S163" s="868"/>
      <c r="T163" s="869"/>
      <c r="U163" s="868"/>
      <c r="V163" s="869"/>
      <c r="W163" s="868"/>
      <c r="X163" s="853"/>
      <c r="Y163" s="870"/>
      <c r="Z163" s="870"/>
      <c r="AA163" s="853"/>
      <c r="AB163" s="853"/>
      <c r="AX163" s="533"/>
      <c r="AY163" s="533"/>
      <c r="AZ163" s="533"/>
      <c r="BA163" s="533"/>
    </row>
    <row r="164" spans="1:53" ht="17.45" customHeight="1" x14ac:dyDescent="0.15">
      <c r="A164" s="821"/>
      <c r="B164" s="820"/>
      <c r="C164" s="1889"/>
      <c r="D164" s="1889"/>
      <c r="E164" s="1889"/>
      <c r="F164" s="1889"/>
      <c r="G164" s="1889"/>
      <c r="H164" s="1889"/>
      <c r="I164" s="1889"/>
      <c r="J164" s="1889"/>
      <c r="K164" s="1889"/>
      <c r="L164" s="1889"/>
      <c r="M164" s="1889"/>
      <c r="N164" s="1889"/>
      <c r="O164" s="1889"/>
      <c r="P164" s="1889"/>
      <c r="Q164" s="1889"/>
      <c r="R164" s="1889"/>
      <c r="S164" s="868"/>
      <c r="T164" s="869"/>
      <c r="U164" s="868"/>
      <c r="V164" s="869"/>
      <c r="W164" s="868"/>
      <c r="X164" s="853"/>
      <c r="Y164" s="870"/>
      <c r="Z164" s="870"/>
      <c r="AA164" s="853"/>
      <c r="AB164" s="853"/>
      <c r="AX164" s="533"/>
      <c r="AY164" s="533"/>
      <c r="AZ164" s="533"/>
      <c r="BA164" s="533"/>
    </row>
    <row r="165" spans="1:53" ht="17.45" customHeight="1" x14ac:dyDescent="0.15">
      <c r="A165" s="821"/>
      <c r="B165" s="820"/>
      <c r="C165" s="1508"/>
      <c r="D165" s="1508"/>
      <c r="E165" s="1508"/>
      <c r="F165" s="1508"/>
      <c r="G165" s="1508"/>
      <c r="H165" s="1508"/>
      <c r="I165" s="1508"/>
      <c r="J165" s="1508"/>
      <c r="K165" s="1508"/>
      <c r="L165" s="1508"/>
      <c r="M165" s="1508"/>
      <c r="N165" s="1508"/>
      <c r="O165" s="1508"/>
      <c r="P165" s="1508"/>
      <c r="Q165" s="1508"/>
      <c r="R165" s="1508"/>
      <c r="S165" s="868"/>
      <c r="T165" s="869"/>
      <c r="U165" s="868"/>
      <c r="V165" s="869"/>
      <c r="W165" s="868"/>
      <c r="X165" s="853"/>
      <c r="Y165" s="870"/>
      <c r="Z165" s="870"/>
      <c r="AA165" s="853"/>
      <c r="AB165" s="853"/>
      <c r="AX165" s="533"/>
      <c r="AY165" s="533"/>
      <c r="AZ165" s="533"/>
      <c r="BA165" s="533"/>
    </row>
    <row r="166" spans="1:53" ht="17.45" customHeight="1" x14ac:dyDescent="0.15">
      <c r="A166" s="821"/>
      <c r="B166" s="537" t="s">
        <v>189</v>
      </c>
      <c r="C166" s="1882" t="s">
        <v>304</v>
      </c>
      <c r="D166" s="1881"/>
      <c r="E166" s="1881"/>
      <c r="F166" s="1881"/>
      <c r="G166" s="1881"/>
      <c r="H166" s="1881"/>
      <c r="I166" s="1881"/>
      <c r="J166" s="1881"/>
      <c r="K166" s="1881"/>
      <c r="L166" s="1881"/>
      <c r="M166" s="1881"/>
      <c r="N166" s="1881"/>
      <c r="O166" s="1881"/>
      <c r="P166" s="1881"/>
      <c r="Q166" s="1881"/>
      <c r="R166" s="1881"/>
      <c r="S166" s="868"/>
      <c r="T166" s="869"/>
      <c r="U166" s="868"/>
      <c r="V166" s="869"/>
      <c r="W166" s="868"/>
      <c r="X166" s="853"/>
      <c r="Y166" s="870"/>
      <c r="Z166" s="870"/>
      <c r="AA166" s="853"/>
      <c r="AB166" s="853"/>
      <c r="AX166" s="533"/>
      <c r="AY166" s="533"/>
      <c r="AZ166" s="533"/>
      <c r="BA166" s="533"/>
    </row>
    <row r="167" spans="1:53" ht="17.45" customHeight="1" x14ac:dyDescent="0.15">
      <c r="A167" s="821"/>
      <c r="B167" s="820"/>
      <c r="C167" s="1881"/>
      <c r="D167" s="1881"/>
      <c r="E167" s="1881"/>
      <c r="F167" s="1881"/>
      <c r="G167" s="1881"/>
      <c r="H167" s="1881"/>
      <c r="I167" s="1881"/>
      <c r="J167" s="1881"/>
      <c r="K167" s="1881"/>
      <c r="L167" s="1881"/>
      <c r="M167" s="1881"/>
      <c r="N167" s="1881"/>
      <c r="O167" s="1881"/>
      <c r="P167" s="1881"/>
      <c r="Q167" s="1881"/>
      <c r="R167" s="1881"/>
      <c r="S167" s="868"/>
      <c r="T167" s="869"/>
      <c r="U167" s="868"/>
      <c r="V167" s="869"/>
      <c r="W167" s="868"/>
      <c r="X167" s="853"/>
      <c r="Y167" s="870"/>
      <c r="Z167" s="870"/>
      <c r="AA167" s="853"/>
      <c r="AB167" s="853"/>
      <c r="AX167" s="533"/>
      <c r="AY167" s="533"/>
      <c r="AZ167" s="533"/>
      <c r="BA167" s="533"/>
    </row>
    <row r="168" spans="1:53" ht="17.45" customHeight="1" x14ac:dyDescent="0.15">
      <c r="A168" s="821"/>
      <c r="B168" s="820"/>
      <c r="C168" s="1881"/>
      <c r="D168" s="1881"/>
      <c r="E168" s="1881"/>
      <c r="F168" s="1881"/>
      <c r="G168" s="1881"/>
      <c r="H168" s="1881"/>
      <c r="I168" s="1881"/>
      <c r="J168" s="1881"/>
      <c r="K168" s="1881"/>
      <c r="L168" s="1881"/>
      <c r="M168" s="1881"/>
      <c r="N168" s="1881"/>
      <c r="O168" s="1881"/>
      <c r="P168" s="1881"/>
      <c r="Q168" s="1881"/>
      <c r="R168" s="1881"/>
      <c r="S168" s="868"/>
      <c r="T168" s="869"/>
      <c r="U168" s="868"/>
      <c r="V168" s="869"/>
      <c r="W168" s="868"/>
      <c r="X168" s="853"/>
      <c r="Y168" s="870"/>
      <c r="Z168" s="870"/>
      <c r="AA168" s="853"/>
      <c r="AB168" s="853"/>
      <c r="AX168" s="533"/>
      <c r="AY168" s="533"/>
      <c r="AZ168" s="533"/>
      <c r="BA168" s="533"/>
    </row>
    <row r="169" spans="1:53" ht="17.45" customHeight="1" x14ac:dyDescent="0.15">
      <c r="A169" s="821"/>
      <c r="B169" s="820"/>
      <c r="C169" s="820"/>
      <c r="D169" s="820"/>
      <c r="O169" s="820"/>
      <c r="S169" s="868"/>
      <c r="T169" s="869"/>
      <c r="U169" s="868"/>
      <c r="V169" s="869"/>
      <c r="W169" s="868"/>
      <c r="X169" s="853"/>
      <c r="Y169" s="870"/>
      <c r="Z169" s="870"/>
      <c r="AA169" s="853"/>
      <c r="AB169" s="853"/>
      <c r="AX169" s="533"/>
      <c r="AY169" s="533"/>
      <c r="AZ169" s="533"/>
      <c r="BA169" s="533"/>
    </row>
    <row r="170" spans="1:53" ht="17.45" customHeight="1" x14ac:dyDescent="0.15">
      <c r="A170" s="821"/>
      <c r="B170" s="537" t="s">
        <v>212</v>
      </c>
      <c r="C170" s="1882" t="s">
        <v>18</v>
      </c>
      <c r="D170" s="1889"/>
      <c r="E170" s="1889"/>
      <c r="F170" s="1889"/>
      <c r="G170" s="1889"/>
      <c r="H170" s="1889"/>
      <c r="I170" s="1889"/>
      <c r="J170" s="1889"/>
      <c r="K170" s="1889"/>
      <c r="L170" s="1889"/>
      <c r="M170" s="1889"/>
      <c r="N170" s="1889"/>
      <c r="O170" s="1889"/>
      <c r="P170" s="1889"/>
      <c r="Q170" s="1889"/>
      <c r="R170" s="1889"/>
      <c r="S170" s="868"/>
      <c r="T170" s="869"/>
      <c r="U170" s="868"/>
      <c r="V170" s="869"/>
      <c r="W170" s="868"/>
      <c r="X170" s="853"/>
      <c r="Y170" s="870"/>
      <c r="Z170" s="870"/>
      <c r="AA170" s="853"/>
      <c r="AB170" s="853"/>
      <c r="AX170" s="533"/>
      <c r="AY170" s="533"/>
      <c r="AZ170" s="533"/>
      <c r="BA170" s="533"/>
    </row>
    <row r="171" spans="1:53" ht="17.45" customHeight="1" x14ac:dyDescent="0.15">
      <c r="A171" s="821"/>
      <c r="C171" s="1889"/>
      <c r="D171" s="1889"/>
      <c r="E171" s="1889"/>
      <c r="F171" s="1889"/>
      <c r="G171" s="1889"/>
      <c r="H171" s="1889"/>
      <c r="I171" s="1889"/>
      <c r="J171" s="1889"/>
      <c r="K171" s="1889"/>
      <c r="L171" s="1889"/>
      <c r="M171" s="1889"/>
      <c r="N171" s="1889"/>
      <c r="O171" s="1889"/>
      <c r="P171" s="1889"/>
      <c r="Q171" s="1889"/>
      <c r="R171" s="1889"/>
      <c r="S171" s="868"/>
      <c r="T171" s="869"/>
      <c r="U171" s="868"/>
      <c r="V171" s="869"/>
      <c r="W171" s="868"/>
      <c r="X171" s="853"/>
      <c r="Y171" s="870"/>
      <c r="Z171" s="870"/>
      <c r="AA171" s="853"/>
      <c r="AB171" s="853"/>
      <c r="AX171" s="533"/>
      <c r="AY171" s="533"/>
      <c r="AZ171" s="533"/>
      <c r="BA171" s="533"/>
    </row>
    <row r="172" spans="1:53" ht="17.45" customHeight="1" x14ac:dyDescent="0.15">
      <c r="A172" s="821"/>
      <c r="C172" s="1889"/>
      <c r="D172" s="1889"/>
      <c r="E172" s="1889"/>
      <c r="F172" s="1889"/>
      <c r="G172" s="1889"/>
      <c r="H172" s="1889"/>
      <c r="I172" s="1889"/>
      <c r="J172" s="1889"/>
      <c r="K172" s="1889"/>
      <c r="L172" s="1889"/>
      <c r="M172" s="1889"/>
      <c r="N172" s="1889"/>
      <c r="O172" s="1889"/>
      <c r="P172" s="1889"/>
      <c r="Q172" s="1889"/>
      <c r="R172" s="1889"/>
      <c r="S172" s="868"/>
      <c r="T172" s="869"/>
      <c r="U172" s="868"/>
      <c r="V172" s="869"/>
      <c r="W172" s="868"/>
      <c r="X172" s="853"/>
      <c r="Y172" s="870"/>
      <c r="Z172" s="870"/>
      <c r="AA172" s="853"/>
      <c r="AB172" s="853"/>
      <c r="AX172" s="533"/>
      <c r="AY172" s="533"/>
      <c r="AZ172" s="533"/>
      <c r="BA172" s="533"/>
    </row>
    <row r="173" spans="1:53" ht="17.45" customHeight="1" x14ac:dyDescent="0.15">
      <c r="A173" s="821"/>
      <c r="C173" s="1881"/>
      <c r="D173" s="1881"/>
      <c r="E173" s="1881"/>
      <c r="F173" s="1881"/>
      <c r="G173" s="1881"/>
      <c r="H173" s="1881"/>
      <c r="I173" s="1881"/>
      <c r="J173" s="1881"/>
      <c r="K173" s="1881"/>
      <c r="L173" s="1881"/>
      <c r="M173" s="1881"/>
      <c r="N173" s="1881"/>
      <c r="O173" s="1881"/>
      <c r="P173" s="1881"/>
      <c r="Q173" s="1881"/>
      <c r="R173" s="1881"/>
      <c r="S173" s="868"/>
      <c r="T173" s="869"/>
      <c r="U173" s="868"/>
      <c r="V173" s="869"/>
      <c r="W173" s="868"/>
      <c r="X173" s="853"/>
      <c r="Y173" s="870"/>
      <c r="Z173" s="870"/>
      <c r="AA173" s="853"/>
      <c r="AB173" s="853"/>
      <c r="AX173" s="533"/>
      <c r="AY173" s="533"/>
      <c r="AZ173" s="533"/>
      <c r="BA173" s="533"/>
    </row>
    <row r="174" spans="1:53" ht="17.45" customHeight="1" x14ac:dyDescent="0.15">
      <c r="A174" s="821"/>
      <c r="C174" s="537"/>
      <c r="D174" s="1508"/>
      <c r="E174" s="1508"/>
      <c r="F174" s="1508"/>
      <c r="G174" s="1508"/>
      <c r="H174" s="1508"/>
      <c r="I174" s="1508"/>
      <c r="J174" s="1508"/>
      <c r="K174" s="1508"/>
      <c r="L174" s="1508"/>
      <c r="M174" s="1508"/>
      <c r="N174" s="1508"/>
      <c r="O174" s="1508"/>
      <c r="P174" s="1508"/>
      <c r="Q174" s="1508"/>
      <c r="R174" s="1508"/>
      <c r="S174" s="868"/>
      <c r="T174" s="869"/>
      <c r="U174" s="868"/>
      <c r="V174" s="869"/>
      <c r="W174" s="868"/>
      <c r="X174" s="853"/>
      <c r="Y174" s="870"/>
      <c r="Z174" s="870"/>
      <c r="AA174" s="853"/>
      <c r="AB174" s="853"/>
      <c r="AX174" s="533"/>
      <c r="AY174" s="533"/>
      <c r="AZ174" s="533"/>
      <c r="BA174" s="533"/>
    </row>
    <row r="175" spans="1:53" ht="17.45" customHeight="1" x14ac:dyDescent="0.15">
      <c r="A175" s="821"/>
      <c r="B175" s="537" t="s">
        <v>211</v>
      </c>
      <c r="C175" s="1882" t="s">
        <v>19</v>
      </c>
      <c r="D175" s="1889"/>
      <c r="E175" s="1889"/>
      <c r="F175" s="1889"/>
      <c r="G175" s="1889"/>
      <c r="H175" s="1889"/>
      <c r="I175" s="1889"/>
      <c r="J175" s="1889"/>
      <c r="K175" s="1889"/>
      <c r="L175" s="1889"/>
      <c r="M175" s="1889"/>
      <c r="N175" s="1889"/>
      <c r="O175" s="1889"/>
      <c r="P175" s="1889"/>
      <c r="Q175" s="1889"/>
      <c r="R175" s="1889"/>
      <c r="S175" s="868"/>
      <c r="T175" s="869"/>
      <c r="U175" s="868"/>
      <c r="V175" s="869"/>
      <c r="W175" s="868"/>
      <c r="X175" s="853"/>
      <c r="Y175" s="870"/>
      <c r="Z175" s="870"/>
      <c r="AA175" s="853"/>
      <c r="AB175" s="853"/>
      <c r="AX175" s="533"/>
      <c r="AY175" s="533"/>
      <c r="AZ175" s="533"/>
      <c r="BA175" s="533"/>
    </row>
    <row r="176" spans="1:53" ht="17.45" customHeight="1" x14ac:dyDescent="0.15">
      <c r="A176" s="821"/>
      <c r="C176" s="1889"/>
      <c r="D176" s="1889"/>
      <c r="E176" s="1889"/>
      <c r="F176" s="1889"/>
      <c r="G176" s="1889"/>
      <c r="H176" s="1889"/>
      <c r="I176" s="1889"/>
      <c r="J176" s="1889"/>
      <c r="K176" s="1889"/>
      <c r="L176" s="1889"/>
      <c r="M176" s="1889"/>
      <c r="N176" s="1889"/>
      <c r="O176" s="1889"/>
      <c r="P176" s="1889"/>
      <c r="Q176" s="1889"/>
      <c r="R176" s="1889"/>
      <c r="S176" s="868"/>
      <c r="T176" s="869"/>
      <c r="U176" s="868"/>
      <c r="V176" s="869"/>
      <c r="W176" s="868"/>
      <c r="X176" s="853"/>
      <c r="Y176" s="870"/>
      <c r="Z176" s="870"/>
      <c r="AA176" s="853"/>
      <c r="AB176" s="853"/>
      <c r="AX176" s="533"/>
      <c r="AY176" s="533"/>
      <c r="AZ176" s="533"/>
      <c r="BA176" s="533"/>
    </row>
    <row r="177" spans="1:53" ht="17.45" customHeight="1" x14ac:dyDescent="0.15">
      <c r="A177" s="821"/>
      <c r="C177" s="1889"/>
      <c r="D177" s="1889"/>
      <c r="E177" s="1889"/>
      <c r="F177" s="1889"/>
      <c r="G177" s="1889"/>
      <c r="H177" s="1889"/>
      <c r="I177" s="1889"/>
      <c r="J177" s="1889"/>
      <c r="K177" s="1889"/>
      <c r="L177" s="1889"/>
      <c r="M177" s="1889"/>
      <c r="N177" s="1889"/>
      <c r="O177" s="1889"/>
      <c r="P177" s="1889"/>
      <c r="Q177" s="1889"/>
      <c r="R177" s="1889"/>
      <c r="S177" s="868"/>
      <c r="T177" s="869"/>
      <c r="U177" s="868"/>
      <c r="V177" s="869"/>
      <c r="W177" s="868"/>
      <c r="X177" s="853"/>
      <c r="Y177" s="870"/>
      <c r="Z177" s="870"/>
      <c r="AA177" s="853"/>
      <c r="AB177" s="853"/>
      <c r="AX177" s="533"/>
      <c r="AY177" s="533"/>
      <c r="AZ177" s="533"/>
      <c r="BA177" s="533"/>
    </row>
    <row r="178" spans="1:53" ht="17.45" customHeight="1" x14ac:dyDescent="0.15">
      <c r="A178" s="821"/>
      <c r="C178" s="1881"/>
      <c r="D178" s="1881"/>
      <c r="E178" s="1881"/>
      <c r="F178" s="1881"/>
      <c r="G178" s="1881"/>
      <c r="H178" s="1881"/>
      <c r="I178" s="1881"/>
      <c r="J178" s="1881"/>
      <c r="K178" s="1881"/>
      <c r="L178" s="1881"/>
      <c r="M178" s="1881"/>
      <c r="N178" s="1881"/>
      <c r="O178" s="1881"/>
      <c r="P178" s="1881"/>
      <c r="Q178" s="1881"/>
      <c r="R178" s="1881"/>
      <c r="S178" s="868"/>
      <c r="T178" s="869"/>
      <c r="U178" s="868"/>
      <c r="V178" s="869"/>
      <c r="W178" s="868"/>
      <c r="X178" s="853"/>
      <c r="Y178" s="870"/>
      <c r="Z178" s="870"/>
      <c r="AA178" s="853"/>
      <c r="AB178" s="853"/>
      <c r="AX178" s="533"/>
      <c r="AY178" s="533"/>
      <c r="AZ178" s="533"/>
      <c r="BA178" s="533"/>
    </row>
    <row r="179" spans="1:53" ht="17.45" customHeight="1" x14ac:dyDescent="0.15">
      <c r="A179" s="821"/>
      <c r="C179" s="537"/>
      <c r="D179" s="1508"/>
      <c r="E179" s="1508"/>
      <c r="F179" s="1508"/>
      <c r="G179" s="1508"/>
      <c r="H179" s="1508"/>
      <c r="I179" s="1508"/>
      <c r="J179" s="1508"/>
      <c r="K179" s="1508"/>
      <c r="L179" s="1508"/>
      <c r="M179" s="1508"/>
      <c r="N179" s="1508"/>
      <c r="O179" s="1508"/>
      <c r="P179" s="1508"/>
      <c r="Q179" s="1508"/>
      <c r="R179" s="1508"/>
      <c r="S179" s="868"/>
      <c r="T179" s="869"/>
      <c r="U179" s="868"/>
      <c r="V179" s="869"/>
      <c r="W179" s="868"/>
      <c r="X179" s="853"/>
      <c r="Y179" s="870"/>
      <c r="Z179" s="870"/>
      <c r="AA179" s="853"/>
      <c r="AB179" s="853"/>
      <c r="AX179" s="533"/>
      <c r="AY179" s="533"/>
      <c r="AZ179" s="533"/>
      <c r="BA179" s="533"/>
    </row>
    <row r="180" spans="1:53" ht="17.45" customHeight="1" x14ac:dyDescent="0.15">
      <c r="A180" s="821"/>
      <c r="B180" s="537" t="s">
        <v>192</v>
      </c>
      <c r="C180" s="1882" t="s">
        <v>21</v>
      </c>
      <c r="D180" s="1882"/>
      <c r="E180" s="1882"/>
      <c r="F180" s="1882"/>
      <c r="G180" s="1882"/>
      <c r="H180" s="1882"/>
      <c r="I180" s="1882"/>
      <c r="J180" s="1882"/>
      <c r="K180" s="1882"/>
      <c r="L180" s="1882"/>
      <c r="M180" s="1882"/>
      <c r="N180" s="1882"/>
      <c r="O180" s="1882"/>
      <c r="P180" s="1882"/>
      <c r="Q180" s="1882"/>
      <c r="R180" s="1882"/>
      <c r="S180" s="868"/>
      <c r="T180" s="869"/>
      <c r="U180" s="868"/>
      <c r="V180" s="869"/>
      <c r="W180" s="868"/>
      <c r="X180" s="853"/>
      <c r="Y180" s="870"/>
      <c r="Z180" s="870"/>
      <c r="AA180" s="853"/>
      <c r="AB180" s="853"/>
      <c r="AX180" s="533"/>
      <c r="AY180" s="533"/>
      <c r="AZ180" s="533"/>
      <c r="BA180" s="533"/>
    </row>
    <row r="181" spans="1:53" ht="17.45" customHeight="1" x14ac:dyDescent="0.15">
      <c r="A181" s="821"/>
      <c r="B181" s="820"/>
      <c r="C181" s="1882"/>
      <c r="D181" s="1882"/>
      <c r="E181" s="1882"/>
      <c r="F181" s="1882"/>
      <c r="G181" s="1882"/>
      <c r="H181" s="1882"/>
      <c r="I181" s="1882"/>
      <c r="J181" s="1882"/>
      <c r="K181" s="1882"/>
      <c r="L181" s="1882"/>
      <c r="M181" s="1882"/>
      <c r="N181" s="1882"/>
      <c r="O181" s="1882"/>
      <c r="P181" s="1882"/>
      <c r="Q181" s="1882"/>
      <c r="R181" s="1882"/>
      <c r="S181" s="868"/>
      <c r="T181" s="869"/>
      <c r="U181" s="868"/>
      <c r="V181" s="869"/>
      <c r="W181" s="868"/>
      <c r="X181" s="853"/>
      <c r="Y181" s="870"/>
      <c r="Z181" s="870"/>
      <c r="AA181" s="853"/>
      <c r="AB181" s="853"/>
      <c r="AX181" s="533"/>
      <c r="AY181" s="533"/>
      <c r="AZ181" s="533"/>
      <c r="BA181" s="533"/>
    </row>
    <row r="182" spans="1:53" ht="17.45" customHeight="1" x14ac:dyDescent="0.15">
      <c r="A182" s="821"/>
      <c r="C182" s="1882"/>
      <c r="D182" s="1882"/>
      <c r="E182" s="1882"/>
      <c r="F182" s="1882"/>
      <c r="G182" s="1882"/>
      <c r="H182" s="1882"/>
      <c r="I182" s="1882"/>
      <c r="J182" s="1882"/>
      <c r="K182" s="1882"/>
      <c r="L182" s="1882"/>
      <c r="M182" s="1882"/>
      <c r="N182" s="1882"/>
      <c r="O182" s="1882"/>
      <c r="P182" s="1882"/>
      <c r="Q182" s="1882"/>
      <c r="R182" s="1882"/>
      <c r="S182" s="868"/>
      <c r="T182" s="869"/>
      <c r="U182" s="868"/>
      <c r="V182" s="869"/>
      <c r="W182" s="868"/>
      <c r="X182" s="853"/>
      <c r="Y182" s="870"/>
      <c r="Z182" s="870"/>
      <c r="AA182" s="853"/>
      <c r="AB182" s="853"/>
      <c r="AX182" s="533"/>
      <c r="AY182" s="533"/>
      <c r="AZ182" s="533"/>
      <c r="BA182" s="533"/>
    </row>
    <row r="183" spans="1:53" ht="17.45" customHeight="1" x14ac:dyDescent="0.15">
      <c r="A183" s="821"/>
      <c r="C183" s="860"/>
      <c r="D183" s="860"/>
      <c r="E183" s="860"/>
      <c r="F183" s="860"/>
      <c r="G183" s="860"/>
      <c r="H183" s="860"/>
      <c r="I183" s="860"/>
      <c r="J183" s="860"/>
      <c r="K183" s="860"/>
      <c r="L183" s="860"/>
      <c r="M183" s="860"/>
      <c r="N183" s="860"/>
      <c r="O183" s="860"/>
      <c r="P183" s="860"/>
      <c r="Q183" s="860"/>
      <c r="R183" s="860"/>
      <c r="S183" s="868"/>
      <c r="T183" s="869"/>
      <c r="U183" s="868"/>
      <c r="V183" s="869"/>
      <c r="W183" s="868"/>
      <c r="X183" s="853"/>
      <c r="Y183" s="870"/>
      <c r="Z183" s="870"/>
      <c r="AA183" s="853"/>
      <c r="AB183" s="853"/>
      <c r="AX183" s="533"/>
      <c r="AY183" s="533"/>
      <c r="AZ183" s="533"/>
      <c r="BA183" s="533"/>
    </row>
    <row r="184" spans="1:53" ht="17.45" customHeight="1" x14ac:dyDescent="0.15">
      <c r="A184" s="821"/>
      <c r="B184" s="537" t="s">
        <v>193</v>
      </c>
      <c r="C184" s="1882" t="s">
        <v>22</v>
      </c>
      <c r="D184" s="1889"/>
      <c r="E184" s="1889"/>
      <c r="F184" s="1889"/>
      <c r="G184" s="1889"/>
      <c r="H184" s="1889"/>
      <c r="I184" s="1889"/>
      <c r="J184" s="1889"/>
      <c r="K184" s="1889"/>
      <c r="L184" s="1889"/>
      <c r="M184" s="1889"/>
      <c r="N184" s="1889"/>
      <c r="O184" s="1889"/>
      <c r="P184" s="1889"/>
      <c r="Q184" s="1889"/>
      <c r="R184" s="1889"/>
      <c r="S184" s="868"/>
      <c r="T184" s="869"/>
      <c r="U184" s="868"/>
      <c r="V184" s="869"/>
      <c r="W184" s="868"/>
      <c r="X184" s="853"/>
      <c r="Y184" s="870"/>
      <c r="Z184" s="870"/>
      <c r="AA184" s="853"/>
      <c r="AB184" s="853"/>
      <c r="AX184" s="533"/>
      <c r="AY184" s="533"/>
      <c r="AZ184" s="533"/>
      <c r="BA184" s="533"/>
    </row>
    <row r="185" spans="1:53" ht="17.45" customHeight="1" x14ac:dyDescent="0.15">
      <c r="A185" s="821"/>
      <c r="C185" s="1889"/>
      <c r="D185" s="1889"/>
      <c r="E185" s="1889"/>
      <c r="F185" s="1889"/>
      <c r="G185" s="1889"/>
      <c r="H185" s="1889"/>
      <c r="I185" s="1889"/>
      <c r="J185" s="1889"/>
      <c r="K185" s="1889"/>
      <c r="L185" s="1889"/>
      <c r="M185" s="1889"/>
      <c r="N185" s="1889"/>
      <c r="O185" s="1889"/>
      <c r="P185" s="1889"/>
      <c r="Q185" s="1889"/>
      <c r="R185" s="1889"/>
      <c r="S185" s="868"/>
      <c r="T185" s="869"/>
      <c r="U185" s="868"/>
      <c r="V185" s="869"/>
      <c r="W185" s="868"/>
      <c r="X185" s="853"/>
      <c r="Y185" s="870"/>
      <c r="Z185" s="870"/>
      <c r="AA185" s="853"/>
      <c r="AB185" s="853"/>
      <c r="AX185" s="533"/>
      <c r="AY185" s="533"/>
      <c r="AZ185" s="533"/>
      <c r="BA185" s="533"/>
    </row>
    <row r="186" spans="1:53" ht="17.45" customHeight="1" x14ac:dyDescent="0.15">
      <c r="A186" s="821"/>
      <c r="C186" s="1889"/>
      <c r="D186" s="1889"/>
      <c r="E186" s="1889"/>
      <c r="F186" s="1889"/>
      <c r="G186" s="1889"/>
      <c r="H186" s="1889"/>
      <c r="I186" s="1889"/>
      <c r="J186" s="1889"/>
      <c r="K186" s="1889"/>
      <c r="L186" s="1889"/>
      <c r="M186" s="1889"/>
      <c r="N186" s="1889"/>
      <c r="O186" s="1889"/>
      <c r="P186" s="1889"/>
      <c r="Q186" s="1889"/>
      <c r="R186" s="1889"/>
      <c r="S186" s="868"/>
      <c r="T186" s="869"/>
      <c r="U186" s="868"/>
      <c r="V186" s="869"/>
      <c r="W186" s="868"/>
      <c r="X186" s="853"/>
      <c r="Y186" s="870"/>
      <c r="Z186" s="870"/>
      <c r="AA186" s="853"/>
      <c r="AB186" s="853"/>
      <c r="AX186" s="533"/>
      <c r="AY186" s="533"/>
      <c r="AZ186" s="533"/>
      <c r="BA186" s="533"/>
    </row>
    <row r="187" spans="1:53" ht="17.45" customHeight="1" x14ac:dyDescent="0.15">
      <c r="A187" s="821"/>
      <c r="B187" s="820"/>
      <c r="C187" s="1889"/>
      <c r="D187" s="1889"/>
      <c r="E187" s="1889"/>
      <c r="F187" s="1889"/>
      <c r="G187" s="1889"/>
      <c r="H187" s="1889"/>
      <c r="I187" s="1889"/>
      <c r="J187" s="1889"/>
      <c r="K187" s="1889"/>
      <c r="L187" s="1889"/>
      <c r="M187" s="1889"/>
      <c r="N187" s="1889"/>
      <c r="O187" s="1889"/>
      <c r="P187" s="1889"/>
      <c r="Q187" s="1889"/>
      <c r="R187" s="1889"/>
      <c r="S187" s="868"/>
      <c r="T187" s="869"/>
      <c r="U187" s="868"/>
      <c r="V187" s="869"/>
      <c r="W187" s="868"/>
      <c r="X187" s="853"/>
      <c r="Y187" s="870"/>
      <c r="Z187" s="870"/>
      <c r="AA187" s="853"/>
      <c r="AB187" s="853"/>
      <c r="AX187" s="533"/>
      <c r="AY187" s="533"/>
      <c r="AZ187" s="533"/>
      <c r="BA187" s="533"/>
    </row>
    <row r="188" spans="1:53" ht="17.45" customHeight="1" x14ac:dyDescent="0.15">
      <c r="A188" s="821"/>
      <c r="B188" s="820"/>
      <c r="C188" s="1889"/>
      <c r="D188" s="1889"/>
      <c r="E188" s="1889"/>
      <c r="F188" s="1889"/>
      <c r="G188" s="1889"/>
      <c r="H188" s="1889"/>
      <c r="I188" s="1889"/>
      <c r="J188" s="1889"/>
      <c r="K188" s="1889"/>
      <c r="L188" s="1889"/>
      <c r="M188" s="1889"/>
      <c r="N188" s="1889"/>
      <c r="O188" s="1889"/>
      <c r="P188" s="1889"/>
      <c r="Q188" s="1889"/>
      <c r="R188" s="1889"/>
      <c r="S188" s="868"/>
      <c r="T188" s="869"/>
      <c r="U188" s="868"/>
      <c r="V188" s="869"/>
      <c r="W188" s="868"/>
      <c r="X188" s="853"/>
      <c r="Y188" s="870"/>
      <c r="Z188" s="870"/>
      <c r="AA188" s="853"/>
      <c r="AB188" s="853"/>
      <c r="AX188" s="533"/>
      <c r="AY188" s="533"/>
      <c r="AZ188" s="533"/>
      <c r="BA188" s="533"/>
    </row>
    <row r="189" spans="1:53" ht="17.45" customHeight="1" x14ac:dyDescent="0.15">
      <c r="A189" s="821"/>
      <c r="B189" s="820"/>
      <c r="C189" s="1881"/>
      <c r="D189" s="1881"/>
      <c r="E189" s="1881"/>
      <c r="F189" s="1881"/>
      <c r="G189" s="1881"/>
      <c r="H189" s="1881"/>
      <c r="I189" s="1881"/>
      <c r="J189" s="1881"/>
      <c r="K189" s="1881"/>
      <c r="L189" s="1881"/>
      <c r="M189" s="1881"/>
      <c r="N189" s="1881"/>
      <c r="O189" s="1881"/>
      <c r="P189" s="1881"/>
      <c r="Q189" s="1881"/>
      <c r="R189" s="1881"/>
      <c r="S189" s="868"/>
      <c r="T189" s="869"/>
      <c r="U189" s="868"/>
      <c r="V189" s="869"/>
      <c r="W189" s="868"/>
      <c r="X189" s="853"/>
      <c r="Y189" s="870"/>
      <c r="Z189" s="870"/>
      <c r="AA189" s="853"/>
      <c r="AB189" s="853"/>
      <c r="AX189" s="533"/>
      <c r="AY189" s="533"/>
      <c r="AZ189" s="533"/>
      <c r="BA189" s="533"/>
    </row>
    <row r="190" spans="1:53" ht="17.45" customHeight="1" x14ac:dyDescent="0.15">
      <c r="A190" s="821"/>
      <c r="B190" s="820"/>
      <c r="C190" s="1508"/>
      <c r="D190" s="1508"/>
      <c r="E190" s="1508"/>
      <c r="F190" s="1508"/>
      <c r="G190" s="1508"/>
      <c r="H190" s="1508"/>
      <c r="I190" s="1508"/>
      <c r="J190" s="1508"/>
      <c r="K190" s="1508"/>
      <c r="L190" s="1508"/>
      <c r="M190" s="1508"/>
      <c r="N190" s="1508"/>
      <c r="O190" s="1508"/>
      <c r="P190" s="1508"/>
      <c r="Q190" s="1508"/>
      <c r="R190" s="1508"/>
      <c r="S190" s="868"/>
      <c r="T190" s="869"/>
      <c r="U190" s="868"/>
      <c r="V190" s="869"/>
      <c r="W190" s="868"/>
      <c r="X190" s="853"/>
      <c r="Y190" s="870"/>
      <c r="Z190" s="870"/>
      <c r="AA190" s="853"/>
      <c r="AB190" s="853"/>
      <c r="AX190" s="533"/>
      <c r="AY190" s="533"/>
      <c r="AZ190" s="533"/>
      <c r="BA190" s="533"/>
    </row>
    <row r="191" spans="1:53" ht="17.45" customHeight="1" x14ac:dyDescent="0.15">
      <c r="A191" s="821"/>
      <c r="B191" s="537" t="s">
        <v>213</v>
      </c>
      <c r="C191" s="1882" t="s">
        <v>24</v>
      </c>
      <c r="D191" s="1889"/>
      <c r="E191" s="1889"/>
      <c r="F191" s="1889"/>
      <c r="G191" s="1889"/>
      <c r="H191" s="1889"/>
      <c r="I191" s="1889"/>
      <c r="J191" s="1889"/>
      <c r="K191" s="1889"/>
      <c r="L191" s="1889"/>
      <c r="M191" s="1889"/>
      <c r="N191" s="1889"/>
      <c r="O191" s="1889"/>
      <c r="P191" s="1889"/>
      <c r="Q191" s="1889"/>
      <c r="R191" s="1889"/>
      <c r="S191" s="868"/>
      <c r="T191" s="869"/>
      <c r="U191" s="868"/>
      <c r="V191" s="869"/>
      <c r="W191" s="868"/>
      <c r="X191" s="853"/>
      <c r="Y191" s="870"/>
      <c r="Z191" s="870"/>
      <c r="AA191" s="853"/>
      <c r="AB191" s="853"/>
      <c r="AX191" s="533"/>
      <c r="AY191" s="533"/>
      <c r="AZ191" s="533"/>
      <c r="BA191" s="533"/>
    </row>
    <row r="192" spans="1:53" ht="17.45" customHeight="1" x14ac:dyDescent="0.15">
      <c r="A192" s="821"/>
      <c r="B192" s="820"/>
      <c r="C192" s="1889"/>
      <c r="D192" s="1889"/>
      <c r="E192" s="1889"/>
      <c r="F192" s="1889"/>
      <c r="G192" s="1889"/>
      <c r="H192" s="1889"/>
      <c r="I192" s="1889"/>
      <c r="J192" s="1889"/>
      <c r="K192" s="1889"/>
      <c r="L192" s="1889"/>
      <c r="M192" s="1889"/>
      <c r="N192" s="1889"/>
      <c r="O192" s="1889"/>
      <c r="P192" s="1889"/>
      <c r="Q192" s="1889"/>
      <c r="R192" s="1889"/>
      <c r="S192" s="868"/>
      <c r="T192" s="869"/>
      <c r="U192" s="868"/>
      <c r="V192" s="869"/>
      <c r="W192" s="868"/>
      <c r="X192" s="853"/>
      <c r="Y192" s="870"/>
      <c r="Z192" s="870"/>
      <c r="AA192" s="853"/>
      <c r="AB192" s="853"/>
      <c r="AX192" s="533"/>
      <c r="AY192" s="533"/>
      <c r="AZ192" s="533"/>
      <c r="BA192" s="533"/>
    </row>
    <row r="193" spans="1:53" ht="17.45" customHeight="1" x14ac:dyDescent="0.15">
      <c r="A193" s="821"/>
      <c r="B193" s="820"/>
      <c r="C193" s="1881"/>
      <c r="D193" s="1881"/>
      <c r="E193" s="1881"/>
      <c r="F193" s="1881"/>
      <c r="G193" s="1881"/>
      <c r="H193" s="1881"/>
      <c r="I193" s="1881"/>
      <c r="J193" s="1881"/>
      <c r="K193" s="1881"/>
      <c r="L193" s="1881"/>
      <c r="M193" s="1881"/>
      <c r="N193" s="1881"/>
      <c r="O193" s="1881"/>
      <c r="P193" s="1881"/>
      <c r="Q193" s="1881"/>
      <c r="R193" s="1881"/>
      <c r="S193" s="868"/>
      <c r="T193" s="869"/>
      <c r="U193" s="868"/>
      <c r="V193" s="869"/>
      <c r="W193" s="868"/>
      <c r="X193" s="853"/>
      <c r="Y193" s="870"/>
      <c r="Z193" s="870"/>
      <c r="AA193" s="853"/>
      <c r="AB193" s="853"/>
      <c r="AX193" s="533"/>
      <c r="AY193" s="533"/>
      <c r="AZ193" s="533"/>
      <c r="BA193" s="533"/>
    </row>
    <row r="194" spans="1:53" ht="17.45" customHeight="1" x14ac:dyDescent="0.15">
      <c r="A194" s="821"/>
      <c r="B194" s="820"/>
      <c r="C194" s="1508"/>
      <c r="D194" s="1508"/>
      <c r="E194" s="1508"/>
      <c r="F194" s="1508"/>
      <c r="G194" s="1508"/>
      <c r="H194" s="1508"/>
      <c r="I194" s="1508"/>
      <c r="J194" s="1508"/>
      <c r="K194" s="1508"/>
      <c r="L194" s="1508"/>
      <c r="M194" s="1508"/>
      <c r="N194" s="1508"/>
      <c r="O194" s="1508"/>
      <c r="P194" s="1508"/>
      <c r="Q194" s="1508"/>
      <c r="R194" s="1508"/>
      <c r="S194" s="868"/>
      <c r="T194" s="869"/>
      <c r="U194" s="868"/>
      <c r="V194" s="869"/>
      <c r="W194" s="868"/>
      <c r="X194" s="853"/>
      <c r="Y194" s="870"/>
      <c r="Z194" s="870"/>
      <c r="AA194" s="853"/>
      <c r="AB194" s="853"/>
      <c r="AX194" s="533"/>
      <c r="AY194" s="533"/>
      <c r="AZ194" s="533"/>
      <c r="BA194" s="533"/>
    </row>
    <row r="195" spans="1:53" ht="17.45" customHeight="1" x14ac:dyDescent="0.15">
      <c r="A195" s="821"/>
      <c r="B195" s="537" t="s">
        <v>214</v>
      </c>
      <c r="C195" s="1882" t="s">
        <v>305</v>
      </c>
      <c r="D195" s="1889"/>
      <c r="E195" s="1889"/>
      <c r="F195" s="1889"/>
      <c r="G195" s="1889"/>
      <c r="H195" s="1889"/>
      <c r="I195" s="1889"/>
      <c r="J195" s="1889"/>
      <c r="K195" s="1889"/>
      <c r="L195" s="1889"/>
      <c r="M195" s="1889"/>
      <c r="N195" s="1889"/>
      <c r="O195" s="1889"/>
      <c r="P195" s="1889"/>
      <c r="Q195" s="1889"/>
      <c r="R195" s="1889"/>
      <c r="S195" s="868"/>
      <c r="T195" s="869"/>
      <c r="U195" s="868"/>
      <c r="V195" s="869"/>
      <c r="W195" s="868"/>
      <c r="X195" s="853"/>
      <c r="Y195" s="870"/>
      <c r="Z195" s="870"/>
      <c r="AA195" s="853"/>
      <c r="AB195" s="853"/>
      <c r="AX195" s="533"/>
      <c r="AY195" s="533"/>
      <c r="AZ195" s="533"/>
      <c r="BA195" s="533"/>
    </row>
    <row r="196" spans="1:53" ht="17.45" customHeight="1" x14ac:dyDescent="0.15">
      <c r="A196" s="821"/>
      <c r="C196" s="1889"/>
      <c r="D196" s="1889"/>
      <c r="E196" s="1889"/>
      <c r="F196" s="1889"/>
      <c r="G196" s="1889"/>
      <c r="H196" s="1889"/>
      <c r="I196" s="1889"/>
      <c r="J196" s="1889"/>
      <c r="K196" s="1889"/>
      <c r="L196" s="1889"/>
      <c r="M196" s="1889"/>
      <c r="N196" s="1889"/>
      <c r="O196" s="1889"/>
      <c r="P196" s="1889"/>
      <c r="Q196" s="1889"/>
      <c r="R196" s="1889"/>
      <c r="S196" s="868"/>
      <c r="T196" s="869"/>
      <c r="U196" s="868"/>
      <c r="V196" s="869"/>
      <c r="W196" s="868"/>
      <c r="X196" s="853"/>
      <c r="Y196" s="870"/>
      <c r="Z196" s="870"/>
      <c r="AA196" s="853"/>
      <c r="AB196" s="853"/>
      <c r="AX196" s="533"/>
      <c r="AY196" s="533"/>
      <c r="AZ196" s="533"/>
      <c r="BA196" s="533"/>
    </row>
    <row r="197" spans="1:53" ht="17.45" customHeight="1" x14ac:dyDescent="0.15">
      <c r="A197" s="821"/>
      <c r="C197" s="1889"/>
      <c r="D197" s="1889"/>
      <c r="E197" s="1889"/>
      <c r="F197" s="1889"/>
      <c r="G197" s="1889"/>
      <c r="H197" s="1889"/>
      <c r="I197" s="1889"/>
      <c r="J197" s="1889"/>
      <c r="K197" s="1889"/>
      <c r="L197" s="1889"/>
      <c r="M197" s="1889"/>
      <c r="N197" s="1889"/>
      <c r="O197" s="1889"/>
      <c r="P197" s="1889"/>
      <c r="Q197" s="1889"/>
      <c r="R197" s="1889"/>
      <c r="S197" s="868"/>
      <c r="T197" s="869"/>
      <c r="U197" s="868"/>
      <c r="V197" s="869"/>
      <c r="W197" s="868"/>
      <c r="X197" s="853"/>
      <c r="Y197" s="870"/>
      <c r="Z197" s="870"/>
      <c r="AA197" s="853"/>
      <c r="AB197" s="853"/>
      <c r="AX197" s="533"/>
      <c r="AY197" s="533"/>
      <c r="AZ197" s="533"/>
      <c r="BA197" s="533"/>
    </row>
    <row r="198" spans="1:53" ht="17.45" customHeight="1" x14ac:dyDescent="0.15">
      <c r="A198" s="821"/>
      <c r="C198" s="1508"/>
      <c r="D198" s="1508"/>
      <c r="E198" s="1508"/>
      <c r="F198" s="1508"/>
      <c r="G198" s="1508"/>
      <c r="H198" s="1508"/>
      <c r="I198" s="1508"/>
      <c r="J198" s="1508"/>
      <c r="K198" s="1508"/>
      <c r="L198" s="1508"/>
      <c r="M198" s="1508"/>
      <c r="N198" s="1508"/>
      <c r="O198" s="1508"/>
      <c r="P198" s="1508"/>
      <c r="Q198" s="1508"/>
      <c r="R198" s="1508"/>
      <c r="S198" s="868"/>
      <c r="T198" s="869"/>
      <c r="U198" s="868"/>
      <c r="V198" s="869"/>
      <c r="W198" s="868"/>
      <c r="X198" s="853"/>
      <c r="Y198" s="870"/>
      <c r="Z198" s="870"/>
      <c r="AA198" s="853"/>
      <c r="AB198" s="853"/>
      <c r="AX198" s="533"/>
      <c r="AY198" s="533"/>
      <c r="AZ198" s="533"/>
      <c r="BA198" s="533"/>
    </row>
    <row r="199" spans="1:53" ht="17.45" customHeight="1" x14ac:dyDescent="0.15">
      <c r="A199" s="821"/>
      <c r="B199" s="537" t="s">
        <v>215</v>
      </c>
      <c r="C199" s="1882" t="s">
        <v>804</v>
      </c>
      <c r="D199" s="1881"/>
      <c r="E199" s="1881"/>
      <c r="F199" s="1881"/>
      <c r="G199" s="1881"/>
      <c r="H199" s="1881"/>
      <c r="I199" s="1881"/>
      <c r="J199" s="1881"/>
      <c r="K199" s="1881"/>
      <c r="L199" s="1881"/>
      <c r="M199" s="1881"/>
      <c r="N199" s="1881"/>
      <c r="O199" s="1881"/>
      <c r="P199" s="1881"/>
      <c r="Q199" s="1881"/>
      <c r="R199" s="1881"/>
      <c r="S199" s="868"/>
      <c r="T199" s="869"/>
      <c r="U199" s="868"/>
      <c r="V199" s="869"/>
      <c r="W199" s="868"/>
      <c r="X199" s="853"/>
      <c r="Y199" s="870"/>
      <c r="Z199" s="870"/>
      <c r="AA199" s="853"/>
      <c r="AB199" s="853"/>
      <c r="AX199" s="533"/>
      <c r="AY199" s="533"/>
      <c r="AZ199" s="533"/>
      <c r="BA199" s="533"/>
    </row>
    <row r="200" spans="1:53" ht="33.75" customHeight="1" x14ac:dyDescent="0.15">
      <c r="A200" s="821"/>
      <c r="B200" s="820"/>
      <c r="C200" s="1881"/>
      <c r="D200" s="1881"/>
      <c r="E200" s="1881"/>
      <c r="F200" s="1881"/>
      <c r="G200" s="1881"/>
      <c r="H200" s="1881"/>
      <c r="I200" s="1881"/>
      <c r="J200" s="1881"/>
      <c r="K200" s="1881"/>
      <c r="L200" s="1881"/>
      <c r="M200" s="1881"/>
      <c r="N200" s="1881"/>
      <c r="O200" s="1881"/>
      <c r="P200" s="1881"/>
      <c r="Q200" s="1881"/>
      <c r="R200" s="1881"/>
      <c r="S200" s="868"/>
      <c r="T200" s="869"/>
      <c r="U200" s="868"/>
      <c r="V200" s="869"/>
      <c r="W200" s="868"/>
      <c r="X200" s="853"/>
      <c r="Y200" s="870"/>
      <c r="Z200" s="870"/>
      <c r="AA200" s="853"/>
      <c r="AB200" s="853"/>
      <c r="AX200" s="533"/>
      <c r="AY200" s="533"/>
      <c r="AZ200" s="533"/>
      <c r="BA200" s="533"/>
    </row>
    <row r="201" spans="1:53" ht="17.45" customHeight="1" x14ac:dyDescent="0.15">
      <c r="A201" s="821"/>
      <c r="B201" s="820"/>
      <c r="C201" s="1508"/>
      <c r="D201" s="1508"/>
      <c r="E201" s="1508"/>
      <c r="F201" s="1508"/>
      <c r="G201" s="1508"/>
      <c r="H201" s="1508"/>
      <c r="I201" s="1508"/>
      <c r="J201" s="1508"/>
      <c r="K201" s="1508"/>
      <c r="L201" s="1508"/>
      <c r="M201" s="1508"/>
      <c r="N201" s="1508"/>
      <c r="O201" s="1508"/>
      <c r="P201" s="1508"/>
      <c r="Q201" s="1508"/>
      <c r="R201" s="1508"/>
      <c r="S201" s="868"/>
      <c r="T201" s="869"/>
      <c r="U201" s="868"/>
      <c r="V201" s="869"/>
      <c r="W201" s="868"/>
      <c r="X201" s="853"/>
      <c r="Y201" s="870"/>
      <c r="Z201" s="870"/>
      <c r="AA201" s="853"/>
      <c r="AB201" s="853"/>
      <c r="AX201" s="533"/>
      <c r="AY201" s="533"/>
      <c r="AZ201" s="533"/>
      <c r="BA201" s="533"/>
    </row>
    <row r="202" spans="1:53" ht="17.45" customHeight="1" x14ac:dyDescent="0.15">
      <c r="A202" s="821"/>
      <c r="B202" s="537" t="s">
        <v>216</v>
      </c>
      <c r="C202" s="1882" t="s">
        <v>320</v>
      </c>
      <c r="D202" s="1889"/>
      <c r="E202" s="1889"/>
      <c r="F202" s="1889"/>
      <c r="G202" s="1889"/>
      <c r="H202" s="1889"/>
      <c r="I202" s="1889"/>
      <c r="J202" s="1889"/>
      <c r="K202" s="1889"/>
      <c r="L202" s="1889"/>
      <c r="M202" s="1889"/>
      <c r="N202" s="1889"/>
      <c r="O202" s="1889"/>
      <c r="P202" s="1889"/>
      <c r="Q202" s="1889"/>
      <c r="R202" s="1889"/>
      <c r="S202" s="868"/>
      <c r="T202" s="869"/>
      <c r="U202" s="868"/>
      <c r="V202" s="869"/>
      <c r="W202" s="868"/>
      <c r="X202" s="853"/>
      <c r="Y202" s="870"/>
      <c r="Z202" s="870"/>
      <c r="AA202" s="853"/>
      <c r="AB202" s="853"/>
      <c r="AX202" s="533"/>
      <c r="AY202" s="533"/>
      <c r="AZ202" s="533"/>
      <c r="BA202" s="533"/>
    </row>
    <row r="203" spans="1:53" ht="17.45" customHeight="1" x14ac:dyDescent="0.15">
      <c r="A203" s="821"/>
      <c r="C203" s="1889"/>
      <c r="D203" s="1889"/>
      <c r="E203" s="1889"/>
      <c r="F203" s="1889"/>
      <c r="G203" s="1889"/>
      <c r="H203" s="1889"/>
      <c r="I203" s="1889"/>
      <c r="J203" s="1889"/>
      <c r="K203" s="1889"/>
      <c r="L203" s="1889"/>
      <c r="M203" s="1889"/>
      <c r="N203" s="1889"/>
      <c r="O203" s="1889"/>
      <c r="P203" s="1889"/>
      <c r="Q203" s="1889"/>
      <c r="R203" s="1889"/>
      <c r="S203" s="868"/>
      <c r="T203" s="869"/>
      <c r="U203" s="868"/>
      <c r="V203" s="869"/>
      <c r="W203" s="868"/>
      <c r="X203" s="853"/>
      <c r="Y203" s="870"/>
      <c r="Z203" s="870"/>
      <c r="AA203" s="853"/>
      <c r="AB203" s="853"/>
      <c r="AX203" s="533"/>
      <c r="AY203" s="533"/>
      <c r="AZ203" s="533"/>
      <c r="BA203" s="533"/>
    </row>
    <row r="204" spans="1:53" ht="17.45" customHeight="1" x14ac:dyDescent="0.15">
      <c r="A204" s="821"/>
      <c r="B204" s="820"/>
      <c r="C204" s="820"/>
      <c r="D204" s="1508"/>
      <c r="E204" s="1508"/>
      <c r="F204" s="1508"/>
      <c r="G204" s="1508"/>
      <c r="H204" s="1508"/>
      <c r="I204" s="1508"/>
      <c r="J204" s="1508"/>
      <c r="K204" s="1508"/>
      <c r="L204" s="1508"/>
      <c r="M204" s="1508"/>
      <c r="N204" s="1508"/>
      <c r="O204" s="1508"/>
      <c r="P204" s="1508"/>
      <c r="Q204" s="1508"/>
      <c r="R204" s="1508"/>
      <c r="S204" s="868"/>
      <c r="T204" s="869"/>
      <c r="U204" s="868"/>
      <c r="V204" s="869"/>
      <c r="W204" s="868"/>
      <c r="X204" s="853"/>
      <c r="Y204" s="870"/>
      <c r="Z204" s="870"/>
      <c r="AA204" s="853"/>
      <c r="AB204" s="853"/>
      <c r="AX204" s="533"/>
      <c r="AY204" s="533"/>
      <c r="AZ204" s="533"/>
      <c r="BA204" s="533"/>
    </row>
    <row r="205" spans="1:53" ht="17.45" customHeight="1" x14ac:dyDescent="0.15">
      <c r="A205" s="821"/>
      <c r="B205" s="537" t="s">
        <v>217</v>
      </c>
      <c r="C205" s="1882" t="s">
        <v>306</v>
      </c>
      <c r="D205" s="1889"/>
      <c r="E205" s="1889"/>
      <c r="F205" s="1889"/>
      <c r="G205" s="1889"/>
      <c r="H205" s="1889"/>
      <c r="I205" s="1889"/>
      <c r="J205" s="1889"/>
      <c r="K205" s="1889"/>
      <c r="L205" s="1889"/>
      <c r="M205" s="1889"/>
      <c r="N205" s="1889"/>
      <c r="O205" s="1889"/>
      <c r="P205" s="1889"/>
      <c r="Q205" s="1889"/>
      <c r="R205" s="1889"/>
      <c r="S205" s="868"/>
      <c r="T205" s="869"/>
      <c r="U205" s="868"/>
      <c r="V205" s="869"/>
      <c r="W205" s="868"/>
      <c r="X205" s="853"/>
      <c r="Y205" s="870"/>
      <c r="Z205" s="870"/>
      <c r="AA205" s="853"/>
      <c r="AB205" s="853"/>
      <c r="AX205" s="533"/>
      <c r="AY205" s="533"/>
      <c r="AZ205" s="533"/>
      <c r="BA205" s="533"/>
    </row>
    <row r="206" spans="1:53" ht="17.45" customHeight="1" x14ac:dyDescent="0.15">
      <c r="A206" s="821"/>
      <c r="C206" s="1881"/>
      <c r="D206" s="1881"/>
      <c r="E206" s="1881"/>
      <c r="F206" s="1881"/>
      <c r="G206" s="1881"/>
      <c r="H206" s="1881"/>
      <c r="I206" s="1881"/>
      <c r="J206" s="1881"/>
      <c r="K206" s="1881"/>
      <c r="L206" s="1881"/>
      <c r="M206" s="1881"/>
      <c r="N206" s="1881"/>
      <c r="O206" s="1881"/>
      <c r="P206" s="1881"/>
      <c r="Q206" s="1881"/>
      <c r="R206" s="1881"/>
      <c r="S206" s="868"/>
      <c r="T206" s="869"/>
      <c r="U206" s="868"/>
      <c r="V206" s="869"/>
      <c r="W206" s="868"/>
      <c r="X206" s="853"/>
      <c r="Y206" s="870"/>
      <c r="Z206" s="870"/>
      <c r="AA206" s="853"/>
      <c r="AB206" s="853"/>
      <c r="AX206" s="533"/>
      <c r="AY206" s="533"/>
      <c r="AZ206" s="533"/>
      <c r="BA206" s="533"/>
    </row>
    <row r="207" spans="1:53" ht="17.45" customHeight="1" x14ac:dyDescent="0.15">
      <c r="A207" s="821"/>
      <c r="B207" s="820"/>
      <c r="C207" s="820"/>
      <c r="D207" s="820"/>
      <c r="O207" s="820"/>
      <c r="S207" s="868"/>
      <c r="T207" s="869"/>
      <c r="U207" s="868"/>
      <c r="V207" s="869"/>
      <c r="W207" s="868"/>
      <c r="X207" s="853"/>
      <c r="Y207" s="870"/>
      <c r="Z207" s="870"/>
      <c r="AA207" s="853"/>
      <c r="AB207" s="853"/>
      <c r="AX207" s="533"/>
      <c r="AY207" s="533"/>
      <c r="AZ207" s="533"/>
      <c r="BA207" s="533"/>
    </row>
    <row r="208" spans="1:53" ht="17.45" customHeight="1" x14ac:dyDescent="0.15">
      <c r="A208" s="821"/>
      <c r="B208" s="861" t="s">
        <v>208</v>
      </c>
      <c r="C208" s="1934" t="s">
        <v>321</v>
      </c>
      <c r="D208" s="1889"/>
      <c r="E208" s="1889"/>
      <c r="F208" s="1889"/>
      <c r="G208" s="1889"/>
      <c r="H208" s="1889"/>
      <c r="I208" s="1889"/>
      <c r="J208" s="1889"/>
      <c r="K208" s="1889"/>
      <c r="L208" s="1889"/>
      <c r="M208" s="1889"/>
      <c r="N208" s="1889"/>
      <c r="O208" s="1889"/>
      <c r="P208" s="1889"/>
      <c r="Q208" s="1889"/>
      <c r="R208" s="1889"/>
      <c r="S208" s="868"/>
      <c r="T208" s="869"/>
      <c r="U208" s="868"/>
      <c r="V208" s="869"/>
      <c r="W208" s="868"/>
      <c r="X208" s="853"/>
      <c r="Y208" s="870"/>
      <c r="Z208" s="870"/>
      <c r="AA208" s="853"/>
      <c r="AB208" s="853"/>
      <c r="AX208" s="533"/>
      <c r="AY208" s="533"/>
      <c r="AZ208" s="533"/>
      <c r="BA208" s="533"/>
    </row>
    <row r="209" spans="1:53" ht="17.45" customHeight="1" x14ac:dyDescent="0.15">
      <c r="A209" s="821"/>
      <c r="B209" s="820"/>
      <c r="C209" s="1889"/>
      <c r="D209" s="1889"/>
      <c r="E209" s="1889"/>
      <c r="F209" s="1889"/>
      <c r="G209" s="1889"/>
      <c r="H209" s="1889"/>
      <c r="I209" s="1889"/>
      <c r="J209" s="1889"/>
      <c r="K209" s="1889"/>
      <c r="L209" s="1889"/>
      <c r="M209" s="1889"/>
      <c r="N209" s="1889"/>
      <c r="O209" s="1889"/>
      <c r="P209" s="1889"/>
      <c r="Q209" s="1889"/>
      <c r="R209" s="1889"/>
      <c r="S209" s="868"/>
      <c r="T209" s="869"/>
      <c r="U209" s="868"/>
      <c r="V209" s="869"/>
      <c r="W209" s="868"/>
      <c r="X209" s="853"/>
      <c r="Y209" s="870"/>
      <c r="Z209" s="870"/>
      <c r="AA209" s="853"/>
      <c r="AB209" s="853"/>
      <c r="AX209" s="533"/>
      <c r="AY209" s="533"/>
      <c r="AZ209" s="533"/>
      <c r="BA209" s="533"/>
    </row>
    <row r="210" spans="1:53" ht="17.45" customHeight="1" x14ac:dyDescent="0.15">
      <c r="A210" s="821"/>
      <c r="B210" s="820"/>
      <c r="C210" s="1889"/>
      <c r="D210" s="1889"/>
      <c r="E210" s="1889"/>
      <c r="F210" s="1889"/>
      <c r="G210" s="1889"/>
      <c r="H210" s="1889"/>
      <c r="I210" s="1889"/>
      <c r="J210" s="1889"/>
      <c r="K210" s="1889"/>
      <c r="L210" s="1889"/>
      <c r="M210" s="1889"/>
      <c r="N210" s="1889"/>
      <c r="O210" s="1889"/>
      <c r="P210" s="1889"/>
      <c r="Q210" s="1889"/>
      <c r="R210" s="1889"/>
      <c r="S210" s="868"/>
      <c r="T210" s="869"/>
      <c r="U210" s="868"/>
      <c r="V210" s="869"/>
      <c r="W210" s="868"/>
      <c r="X210" s="853"/>
      <c r="Y210" s="870"/>
      <c r="Z210" s="870"/>
      <c r="AA210" s="853"/>
      <c r="AB210" s="853"/>
      <c r="AX210" s="533"/>
      <c r="AY210" s="533"/>
      <c r="AZ210" s="533"/>
      <c r="BA210" s="533"/>
    </row>
    <row r="211" spans="1:53" ht="14.25" x14ac:dyDescent="0.15">
      <c r="A211" s="821"/>
      <c r="B211" s="820"/>
      <c r="C211" s="1929" t="s">
        <v>805</v>
      </c>
      <c r="D211" s="1929"/>
      <c r="E211" s="1929"/>
      <c r="F211" s="1929"/>
      <c r="G211" s="1929"/>
      <c r="H211" s="1929"/>
      <c r="I211" s="1929"/>
      <c r="J211" s="1929"/>
      <c r="K211" s="1929"/>
      <c r="L211" s="1929"/>
      <c r="M211" s="1929"/>
      <c r="N211" s="1929"/>
      <c r="O211" s="1929"/>
      <c r="P211" s="1929"/>
      <c r="Q211" s="1929"/>
      <c r="R211" s="1929"/>
      <c r="S211" s="868"/>
      <c r="T211" s="869"/>
      <c r="U211" s="868"/>
      <c r="V211" s="869"/>
      <c r="W211" s="868"/>
      <c r="X211" s="853"/>
      <c r="Y211" s="870"/>
      <c r="Z211" s="870"/>
      <c r="AA211" s="853"/>
      <c r="AB211" s="853"/>
      <c r="AX211" s="533"/>
      <c r="AY211" s="533"/>
      <c r="AZ211" s="533"/>
      <c r="BA211" s="533"/>
    </row>
    <row r="212" spans="1:53" ht="14.25" x14ac:dyDescent="0.15">
      <c r="A212" s="821"/>
      <c r="B212" s="820"/>
      <c r="C212" s="1930"/>
      <c r="D212" s="1930"/>
      <c r="E212" s="1930"/>
      <c r="F212" s="1930"/>
      <c r="G212" s="1930"/>
      <c r="H212" s="1930"/>
      <c r="I212" s="1930"/>
      <c r="J212" s="1930"/>
      <c r="K212" s="1930"/>
      <c r="L212" s="1930"/>
      <c r="M212" s="1930"/>
      <c r="N212" s="1930"/>
      <c r="O212" s="1930"/>
      <c r="P212" s="1930"/>
      <c r="Q212" s="1930"/>
      <c r="R212" s="1930"/>
      <c r="S212" s="868"/>
      <c r="T212" s="869"/>
      <c r="U212" s="868"/>
      <c r="V212" s="869"/>
      <c r="W212" s="868"/>
      <c r="X212" s="853"/>
      <c r="Y212" s="870"/>
      <c r="Z212" s="870"/>
      <c r="AA212" s="853"/>
      <c r="AB212" s="853"/>
      <c r="AX212" s="533"/>
      <c r="AY212" s="533"/>
      <c r="AZ212" s="533"/>
      <c r="BA212" s="533"/>
    </row>
    <row r="213" spans="1:53" ht="14.25" x14ac:dyDescent="0.15">
      <c r="A213" s="821"/>
      <c r="B213" s="820"/>
      <c r="C213" s="1518"/>
      <c r="D213" s="1518"/>
      <c r="E213" s="1518"/>
      <c r="F213" s="1518"/>
      <c r="G213" s="1518"/>
      <c r="H213" s="1518"/>
      <c r="I213" s="1518"/>
      <c r="J213" s="1518"/>
      <c r="K213" s="1518"/>
      <c r="L213" s="1518"/>
      <c r="M213" s="1518"/>
      <c r="N213" s="1518"/>
      <c r="O213" s="1518"/>
      <c r="P213" s="1518"/>
      <c r="Q213" s="1518"/>
      <c r="R213" s="1518"/>
      <c r="S213" s="868"/>
      <c r="T213" s="869"/>
      <c r="U213" s="868"/>
      <c r="V213" s="869"/>
      <c r="W213" s="868"/>
      <c r="X213" s="853"/>
      <c r="Y213" s="870"/>
      <c r="Z213" s="870"/>
      <c r="AA213" s="853"/>
      <c r="AB213" s="853"/>
      <c r="AX213" s="533"/>
      <c r="AY213" s="533"/>
      <c r="AZ213" s="533"/>
      <c r="BA213" s="533"/>
    </row>
    <row r="214" spans="1:53" ht="23.25" customHeight="1" x14ac:dyDescent="0.15">
      <c r="A214" s="821"/>
      <c r="B214" s="820"/>
      <c r="C214" s="1927" t="s">
        <v>314</v>
      </c>
      <c r="D214" s="1928"/>
      <c r="E214" s="1928"/>
      <c r="F214" s="1928"/>
      <c r="G214" s="1928"/>
      <c r="H214" s="1928"/>
      <c r="I214" s="1928"/>
      <c r="J214" s="1928"/>
      <c r="K214" s="1928"/>
      <c r="L214" s="1928"/>
      <c r="M214" s="1928"/>
      <c r="N214" s="1928"/>
      <c r="O214" s="1928"/>
      <c r="P214" s="1928"/>
      <c r="Q214" s="1928"/>
      <c r="R214" s="1928"/>
      <c r="S214" s="868"/>
      <c r="T214" s="869"/>
      <c r="U214" s="868"/>
      <c r="V214" s="869"/>
      <c r="W214" s="868"/>
      <c r="X214" s="853"/>
      <c r="Y214" s="870"/>
      <c r="Z214" s="870"/>
      <c r="AA214" s="853"/>
      <c r="AB214" s="853"/>
      <c r="AX214" s="533"/>
      <c r="AY214" s="533"/>
      <c r="AZ214" s="533"/>
      <c r="BA214" s="533"/>
    </row>
    <row r="215" spans="1:53" ht="24.75" customHeight="1" x14ac:dyDescent="0.15">
      <c r="A215" s="821"/>
      <c r="B215" s="820"/>
      <c r="C215" s="1928"/>
      <c r="D215" s="1928"/>
      <c r="E215" s="1928"/>
      <c r="F215" s="1928"/>
      <c r="G215" s="1928"/>
      <c r="H215" s="1928"/>
      <c r="I215" s="1928"/>
      <c r="J215" s="1928"/>
      <c r="K215" s="1928"/>
      <c r="L215" s="1928"/>
      <c r="M215" s="1928"/>
      <c r="N215" s="1928"/>
      <c r="O215" s="1928"/>
      <c r="P215" s="1928"/>
      <c r="Q215" s="1928"/>
      <c r="R215" s="1928"/>
      <c r="S215" s="868"/>
      <c r="T215" s="869"/>
      <c r="U215" s="868"/>
      <c r="V215" s="869"/>
      <c r="W215" s="868"/>
      <c r="X215" s="853"/>
      <c r="Y215" s="870"/>
      <c r="Z215" s="870"/>
      <c r="AA215" s="853"/>
      <c r="AB215" s="853"/>
      <c r="AX215" s="533"/>
      <c r="AY215" s="533"/>
      <c r="AZ215" s="533"/>
      <c r="BA215" s="533"/>
    </row>
    <row r="216" spans="1:53" ht="14.25" x14ac:dyDescent="0.15">
      <c r="A216" s="821"/>
      <c r="B216" s="820"/>
      <c r="C216" s="1519"/>
      <c r="D216" s="1519"/>
      <c r="E216" s="1519"/>
      <c r="F216" s="1519"/>
      <c r="G216" s="1519"/>
      <c r="H216" s="1519"/>
      <c r="I216" s="1519"/>
      <c r="J216" s="1519"/>
      <c r="K216" s="1519"/>
      <c r="L216" s="1519"/>
      <c r="M216" s="1519"/>
      <c r="N216" s="1519"/>
      <c r="O216" s="1519"/>
      <c r="P216" s="1519"/>
      <c r="Q216" s="1519"/>
      <c r="R216" s="1519"/>
      <c r="S216" s="868"/>
      <c r="T216" s="869"/>
      <c r="U216" s="868"/>
      <c r="V216" s="869"/>
      <c r="W216" s="868"/>
      <c r="X216" s="853"/>
      <c r="Y216" s="870"/>
      <c r="Z216" s="870"/>
      <c r="AA216" s="853"/>
      <c r="AB216" s="853"/>
      <c r="AX216" s="533"/>
      <c r="AY216" s="533"/>
      <c r="AZ216" s="533"/>
      <c r="BA216" s="533"/>
    </row>
    <row r="217" spans="1:53" ht="17.45" customHeight="1" x14ac:dyDescent="0.15">
      <c r="A217" s="821"/>
      <c r="B217" s="861" t="s">
        <v>195</v>
      </c>
      <c r="C217" s="1882" t="s">
        <v>25</v>
      </c>
      <c r="D217" s="1889"/>
      <c r="E217" s="1889"/>
      <c r="F217" s="1889"/>
      <c r="G217" s="1889"/>
      <c r="H217" s="1889"/>
      <c r="I217" s="1889"/>
      <c r="J217" s="1889"/>
      <c r="K217" s="1889"/>
      <c r="L217" s="1889"/>
      <c r="M217" s="1889"/>
      <c r="N217" s="1889"/>
      <c r="O217" s="1889"/>
      <c r="P217" s="1889"/>
      <c r="Q217" s="1889"/>
      <c r="R217" s="1889"/>
      <c r="S217" s="868"/>
      <c r="T217" s="869"/>
      <c r="U217" s="868"/>
      <c r="V217" s="869"/>
      <c r="W217" s="868"/>
      <c r="X217" s="853"/>
      <c r="Y217" s="870"/>
      <c r="Z217" s="870"/>
      <c r="AA217" s="853"/>
      <c r="AB217" s="853"/>
      <c r="AX217" s="533"/>
      <c r="AY217" s="533"/>
      <c r="AZ217" s="533"/>
      <c r="BA217" s="533"/>
    </row>
    <row r="218" spans="1:53" ht="17.45" customHeight="1" x14ac:dyDescent="0.15">
      <c r="A218" s="821"/>
      <c r="B218" s="820"/>
      <c r="C218" s="1889"/>
      <c r="D218" s="1889"/>
      <c r="E218" s="1889"/>
      <c r="F218" s="1889"/>
      <c r="G218" s="1889"/>
      <c r="H218" s="1889"/>
      <c r="I218" s="1889"/>
      <c r="J218" s="1889"/>
      <c r="K218" s="1889"/>
      <c r="L218" s="1889"/>
      <c r="M218" s="1889"/>
      <c r="N218" s="1889"/>
      <c r="O218" s="1889"/>
      <c r="P218" s="1889"/>
      <c r="Q218" s="1889"/>
      <c r="R218" s="1889"/>
      <c r="S218" s="868"/>
      <c r="T218" s="869"/>
      <c r="U218" s="868"/>
      <c r="V218" s="869"/>
      <c r="W218" s="868"/>
      <c r="X218" s="853"/>
      <c r="Y218" s="870"/>
      <c r="Z218" s="870"/>
      <c r="AA218" s="853"/>
      <c r="AB218" s="853"/>
      <c r="AX218" s="533"/>
      <c r="AY218" s="533"/>
      <c r="AZ218" s="533"/>
      <c r="BA218" s="533"/>
    </row>
    <row r="219" spans="1:53" ht="17.45" customHeight="1" x14ac:dyDescent="0.15">
      <c r="A219" s="821"/>
      <c r="B219" s="820"/>
      <c r="C219" s="1508"/>
      <c r="D219" s="1508"/>
      <c r="E219" s="1508"/>
      <c r="F219" s="1508"/>
      <c r="G219" s="1508"/>
      <c r="H219" s="1508"/>
      <c r="I219" s="1508"/>
      <c r="J219" s="1508"/>
      <c r="K219" s="1508"/>
      <c r="L219" s="1508"/>
      <c r="M219" s="1508"/>
      <c r="N219" s="1508"/>
      <c r="O219" s="1508"/>
      <c r="P219" s="1508"/>
      <c r="Q219" s="1508"/>
      <c r="R219" s="1508"/>
      <c r="S219" s="868"/>
      <c r="T219" s="869"/>
      <c r="U219" s="868"/>
      <c r="V219" s="869"/>
      <c r="W219" s="868"/>
      <c r="X219" s="853"/>
      <c r="Y219" s="870"/>
      <c r="Z219" s="870"/>
      <c r="AA219" s="853"/>
      <c r="AB219" s="853"/>
      <c r="AX219" s="533"/>
      <c r="AY219" s="533"/>
      <c r="AZ219" s="533"/>
      <c r="BA219" s="533"/>
    </row>
    <row r="220" spans="1:53" ht="17.45" customHeight="1" x14ac:dyDescent="0.15">
      <c r="A220" s="821"/>
      <c r="B220" s="861" t="s">
        <v>196</v>
      </c>
      <c r="C220" s="1882" t="s">
        <v>26</v>
      </c>
      <c r="D220" s="1889"/>
      <c r="E220" s="1889"/>
      <c r="F220" s="1889"/>
      <c r="G220" s="1889"/>
      <c r="H220" s="1889"/>
      <c r="I220" s="1889"/>
      <c r="J220" s="1889"/>
      <c r="K220" s="1889"/>
      <c r="L220" s="1889"/>
      <c r="M220" s="1889"/>
      <c r="N220" s="1889"/>
      <c r="O220" s="1889"/>
      <c r="P220" s="1889"/>
      <c r="Q220" s="1889"/>
      <c r="R220" s="1889"/>
      <c r="S220" s="868"/>
      <c r="T220" s="869"/>
      <c r="U220" s="868"/>
      <c r="V220" s="869"/>
      <c r="W220" s="868"/>
      <c r="X220" s="853"/>
      <c r="Y220" s="870"/>
      <c r="Z220" s="870"/>
      <c r="AA220" s="853"/>
      <c r="AB220" s="853"/>
      <c r="AX220" s="533"/>
      <c r="AY220" s="533"/>
      <c r="AZ220" s="533"/>
      <c r="BA220" s="533"/>
    </row>
    <row r="221" spans="1:53" ht="17.45" customHeight="1" x14ac:dyDescent="0.15">
      <c r="A221" s="821"/>
      <c r="B221" s="820"/>
      <c r="C221" s="1889"/>
      <c r="D221" s="1889"/>
      <c r="E221" s="1889"/>
      <c r="F221" s="1889"/>
      <c r="G221" s="1889"/>
      <c r="H221" s="1889"/>
      <c r="I221" s="1889"/>
      <c r="J221" s="1889"/>
      <c r="K221" s="1889"/>
      <c r="L221" s="1889"/>
      <c r="M221" s="1889"/>
      <c r="N221" s="1889"/>
      <c r="O221" s="1889"/>
      <c r="P221" s="1889"/>
      <c r="Q221" s="1889"/>
      <c r="R221" s="1889"/>
      <c r="S221" s="868"/>
      <c r="T221" s="869"/>
      <c r="U221" s="868"/>
      <c r="V221" s="869"/>
      <c r="W221" s="868"/>
      <c r="X221" s="853"/>
      <c r="Y221" s="870"/>
      <c r="Z221" s="870"/>
      <c r="AA221" s="853"/>
      <c r="AB221" s="853"/>
      <c r="AX221" s="533"/>
      <c r="AY221" s="533"/>
      <c r="AZ221" s="533"/>
      <c r="BA221" s="533"/>
    </row>
    <row r="222" spans="1:53" ht="17.45" customHeight="1" x14ac:dyDescent="0.15">
      <c r="A222" s="821"/>
      <c r="B222" s="820"/>
      <c r="C222" s="1881"/>
      <c r="D222" s="1881"/>
      <c r="E222" s="1881"/>
      <c r="F222" s="1881"/>
      <c r="G222" s="1881"/>
      <c r="H222" s="1881"/>
      <c r="I222" s="1881"/>
      <c r="J222" s="1881"/>
      <c r="K222" s="1881"/>
      <c r="L222" s="1881"/>
      <c r="M222" s="1881"/>
      <c r="N222" s="1881"/>
      <c r="O222" s="1881"/>
      <c r="P222" s="1881"/>
      <c r="Q222" s="1881"/>
      <c r="R222" s="1881"/>
      <c r="S222" s="868"/>
      <c r="T222" s="869"/>
      <c r="U222" s="868"/>
      <c r="V222" s="869"/>
      <c r="W222" s="868"/>
      <c r="X222" s="853"/>
      <c r="Y222" s="870"/>
      <c r="Z222" s="870"/>
      <c r="AA222" s="853"/>
      <c r="AB222" s="853"/>
      <c r="AX222" s="533"/>
      <c r="AY222" s="533"/>
      <c r="AZ222" s="533"/>
      <c r="BA222" s="533"/>
    </row>
    <row r="223" spans="1:53" ht="17.45" customHeight="1" x14ac:dyDescent="0.15">
      <c r="A223" s="821"/>
      <c r="B223" s="820"/>
      <c r="C223" s="1508"/>
      <c r="D223" s="1508"/>
      <c r="E223" s="1508"/>
      <c r="F223" s="1508"/>
      <c r="G223" s="1508"/>
      <c r="H223" s="1508"/>
      <c r="I223" s="1508"/>
      <c r="J223" s="1508"/>
      <c r="K223" s="1508"/>
      <c r="L223" s="1508"/>
      <c r="M223" s="1508"/>
      <c r="N223" s="1508"/>
      <c r="O223" s="1508"/>
      <c r="P223" s="1508"/>
      <c r="Q223" s="1508"/>
      <c r="R223" s="1508"/>
      <c r="S223" s="868"/>
      <c r="T223" s="869"/>
      <c r="U223" s="868"/>
      <c r="V223" s="869"/>
      <c r="W223" s="868"/>
      <c r="X223" s="853"/>
      <c r="Y223" s="870"/>
      <c r="Z223" s="870"/>
      <c r="AA223" s="853"/>
      <c r="AB223" s="853"/>
      <c r="AX223" s="533"/>
      <c r="AY223" s="533"/>
      <c r="AZ223" s="533"/>
      <c r="BA223" s="533"/>
    </row>
    <row r="224" spans="1:53" ht="17.45" customHeight="1" x14ac:dyDescent="0.15">
      <c r="A224" s="821"/>
      <c r="B224" s="861" t="s">
        <v>197</v>
      </c>
      <c r="C224" s="1882" t="s">
        <v>27</v>
      </c>
      <c r="D224" s="1881"/>
      <c r="E224" s="1881"/>
      <c r="F224" s="1881"/>
      <c r="G224" s="1881"/>
      <c r="H224" s="1881"/>
      <c r="I224" s="1881"/>
      <c r="J224" s="1881"/>
      <c r="K224" s="1881"/>
      <c r="L224" s="1881"/>
      <c r="M224" s="1881"/>
      <c r="N224" s="1881"/>
      <c r="O224" s="1881"/>
      <c r="P224" s="1881"/>
      <c r="Q224" s="1881"/>
      <c r="R224" s="1881"/>
      <c r="S224" s="868"/>
      <c r="T224" s="869"/>
      <c r="U224" s="868"/>
      <c r="V224" s="869"/>
      <c r="W224" s="868"/>
      <c r="X224" s="853"/>
      <c r="Y224" s="870"/>
      <c r="Z224" s="870"/>
      <c r="AA224" s="853"/>
      <c r="AB224" s="853"/>
      <c r="AX224" s="533"/>
      <c r="AY224" s="533"/>
      <c r="AZ224" s="533"/>
      <c r="BA224" s="533"/>
    </row>
    <row r="225" spans="1:53" ht="17.45" customHeight="1" x14ac:dyDescent="0.15">
      <c r="A225" s="821"/>
      <c r="B225" s="820"/>
      <c r="C225" s="1881"/>
      <c r="D225" s="1881"/>
      <c r="E225" s="1881"/>
      <c r="F225" s="1881"/>
      <c r="G225" s="1881"/>
      <c r="H225" s="1881"/>
      <c r="I225" s="1881"/>
      <c r="J225" s="1881"/>
      <c r="K225" s="1881"/>
      <c r="L225" s="1881"/>
      <c r="M225" s="1881"/>
      <c r="N225" s="1881"/>
      <c r="O225" s="1881"/>
      <c r="P225" s="1881"/>
      <c r="Q225" s="1881"/>
      <c r="R225" s="1881"/>
      <c r="S225" s="868"/>
      <c r="T225" s="869"/>
      <c r="U225" s="868"/>
      <c r="V225" s="869"/>
      <c r="W225" s="868"/>
      <c r="X225" s="853"/>
      <c r="Y225" s="870"/>
      <c r="Z225" s="870"/>
      <c r="AA225" s="853"/>
      <c r="AB225" s="853"/>
      <c r="AX225" s="533"/>
      <c r="AY225" s="533"/>
      <c r="AZ225" s="533"/>
      <c r="BA225" s="533"/>
    </row>
    <row r="226" spans="1:53" ht="17.45" customHeight="1" x14ac:dyDescent="0.15">
      <c r="A226" s="821"/>
      <c r="B226" s="820"/>
      <c r="C226" s="1881"/>
      <c r="D226" s="1881"/>
      <c r="E226" s="1881"/>
      <c r="F226" s="1881"/>
      <c r="G226" s="1881"/>
      <c r="H226" s="1881"/>
      <c r="I226" s="1881"/>
      <c r="J226" s="1881"/>
      <c r="K226" s="1881"/>
      <c r="L226" s="1881"/>
      <c r="M226" s="1881"/>
      <c r="N226" s="1881"/>
      <c r="O226" s="1881"/>
      <c r="P226" s="1881"/>
      <c r="Q226" s="1881"/>
      <c r="R226" s="1881"/>
      <c r="S226" s="868"/>
      <c r="T226" s="869"/>
      <c r="U226" s="868"/>
      <c r="V226" s="869"/>
      <c r="W226" s="868"/>
      <c r="X226" s="853"/>
      <c r="Y226" s="870"/>
      <c r="Z226" s="870"/>
      <c r="AA226" s="853"/>
      <c r="AB226" s="853"/>
      <c r="AX226" s="533"/>
      <c r="AY226" s="533"/>
      <c r="AZ226" s="533"/>
      <c r="BA226" s="533"/>
    </row>
    <row r="227" spans="1:53" ht="17.45" customHeight="1" x14ac:dyDescent="0.15">
      <c r="A227" s="821"/>
      <c r="B227" s="820"/>
      <c r="C227" s="1520"/>
      <c r="D227" s="1520"/>
      <c r="E227" s="1520"/>
      <c r="F227" s="1520"/>
      <c r="G227" s="1520"/>
      <c r="H227" s="1520"/>
      <c r="I227" s="1520"/>
      <c r="J227" s="1520"/>
      <c r="K227" s="1520"/>
      <c r="L227" s="1520"/>
      <c r="M227" s="1520"/>
      <c r="N227" s="1520"/>
      <c r="O227" s="1520"/>
      <c r="P227" s="1520"/>
      <c r="Q227" s="1520"/>
      <c r="R227" s="1520"/>
      <c r="S227" s="868"/>
      <c r="T227" s="869"/>
      <c r="U227" s="868"/>
      <c r="V227" s="869"/>
      <c r="W227" s="868"/>
      <c r="X227" s="853"/>
      <c r="Y227" s="870"/>
      <c r="Z227" s="870"/>
      <c r="AA227" s="853"/>
      <c r="AB227" s="853"/>
      <c r="AX227" s="533"/>
      <c r="AY227" s="533"/>
      <c r="AZ227" s="533"/>
      <c r="BA227" s="533"/>
    </row>
    <row r="228" spans="1:53" ht="17.45" customHeight="1" x14ac:dyDescent="0.15">
      <c r="A228" s="821"/>
      <c r="B228" s="861" t="s">
        <v>218</v>
      </c>
      <c r="C228" s="1882" t="s">
        <v>28</v>
      </c>
      <c r="D228" s="1889"/>
      <c r="E228" s="1889"/>
      <c r="F228" s="1889"/>
      <c r="G228" s="1889"/>
      <c r="H228" s="1889"/>
      <c r="I228" s="1889"/>
      <c r="J228" s="1889"/>
      <c r="K228" s="1889"/>
      <c r="L228" s="1889"/>
      <c r="M228" s="1889"/>
      <c r="N228" s="1889"/>
      <c r="O228" s="1889"/>
      <c r="P228" s="1889"/>
      <c r="Q228" s="1889"/>
      <c r="R228" s="1889"/>
      <c r="S228" s="868"/>
      <c r="T228" s="869"/>
      <c r="U228" s="868"/>
      <c r="V228" s="869"/>
      <c r="W228" s="868"/>
      <c r="X228" s="853"/>
      <c r="Y228" s="870"/>
      <c r="Z228" s="870"/>
      <c r="AA228" s="853"/>
      <c r="AB228" s="853"/>
      <c r="AX228" s="533"/>
      <c r="AY228" s="533"/>
      <c r="AZ228" s="533"/>
      <c r="BA228" s="533"/>
    </row>
    <row r="229" spans="1:53" ht="17.45" customHeight="1" x14ac:dyDescent="0.15">
      <c r="A229" s="821"/>
      <c r="B229" s="820"/>
      <c r="C229" s="1889"/>
      <c r="D229" s="1889"/>
      <c r="E229" s="1889"/>
      <c r="F229" s="1889"/>
      <c r="G229" s="1889"/>
      <c r="H229" s="1889"/>
      <c r="I229" s="1889"/>
      <c r="J229" s="1889"/>
      <c r="K229" s="1889"/>
      <c r="L229" s="1889"/>
      <c r="M229" s="1889"/>
      <c r="N229" s="1889"/>
      <c r="O229" s="1889"/>
      <c r="P229" s="1889"/>
      <c r="Q229" s="1889"/>
      <c r="R229" s="1889"/>
      <c r="S229" s="868"/>
      <c r="T229" s="869"/>
      <c r="U229" s="868"/>
      <c r="V229" s="869"/>
      <c r="W229" s="868"/>
      <c r="X229" s="853"/>
      <c r="Y229" s="870"/>
      <c r="Z229" s="870"/>
      <c r="AA229" s="853"/>
      <c r="AB229" s="853"/>
      <c r="AX229" s="533"/>
      <c r="AY229" s="533"/>
      <c r="AZ229" s="533"/>
      <c r="BA229" s="533"/>
    </row>
    <row r="230" spans="1:53" ht="80.25" customHeight="1" x14ac:dyDescent="0.15">
      <c r="A230" s="821"/>
      <c r="B230" s="820"/>
      <c r="C230" s="1908" t="s">
        <v>29</v>
      </c>
      <c r="D230" s="1931"/>
      <c r="E230" s="1931"/>
      <c r="F230" s="1931"/>
      <c r="G230" s="1931"/>
      <c r="H230" s="1931"/>
      <c r="I230" s="1931"/>
      <c r="J230" s="1931"/>
      <c r="K230" s="1931"/>
      <c r="L230" s="1931"/>
      <c r="M230" s="1931"/>
      <c r="N230" s="1931"/>
      <c r="O230" s="1931"/>
      <c r="P230" s="1931"/>
      <c r="Q230" s="1931"/>
      <c r="R230" s="1931"/>
      <c r="S230" s="970"/>
      <c r="T230" s="869"/>
      <c r="U230" s="868"/>
      <c r="V230" s="869"/>
      <c r="W230" s="868"/>
      <c r="X230" s="853"/>
      <c r="Y230" s="870"/>
      <c r="Z230" s="870"/>
      <c r="AA230" s="853"/>
      <c r="AB230" s="853"/>
      <c r="AX230" s="533"/>
      <c r="AY230" s="533"/>
      <c r="AZ230" s="533"/>
      <c r="BA230" s="533"/>
    </row>
    <row r="231" spans="1:53" ht="14.25" x14ac:dyDescent="0.15">
      <c r="A231" s="821"/>
      <c r="B231" s="820"/>
      <c r="C231" s="1931"/>
      <c r="D231" s="1931"/>
      <c r="E231" s="1931"/>
      <c r="F231" s="1931"/>
      <c r="G231" s="1931"/>
      <c r="H231" s="1931"/>
      <c r="I231" s="1931"/>
      <c r="J231" s="1931"/>
      <c r="K231" s="1931"/>
      <c r="L231" s="1931"/>
      <c r="M231" s="1931"/>
      <c r="N231" s="1931"/>
      <c r="O231" s="1931"/>
      <c r="P231" s="1931"/>
      <c r="Q231" s="1931"/>
      <c r="R231" s="1931"/>
      <c r="S231" s="969"/>
      <c r="T231" s="869"/>
      <c r="U231" s="868"/>
      <c r="V231" s="869"/>
      <c r="W231" s="868"/>
      <c r="X231" s="853"/>
      <c r="Y231" s="870"/>
      <c r="Z231" s="870"/>
      <c r="AA231" s="853"/>
      <c r="AB231" s="853"/>
      <c r="AX231" s="533"/>
      <c r="AY231" s="533"/>
      <c r="AZ231" s="533"/>
      <c r="BA231" s="533"/>
    </row>
    <row r="232" spans="1:53" ht="17.45" customHeight="1" x14ac:dyDescent="0.15">
      <c r="A232" s="821"/>
      <c r="B232" s="861" t="s">
        <v>219</v>
      </c>
      <c r="C232" s="1882" t="s">
        <v>307</v>
      </c>
      <c r="D232" s="1889"/>
      <c r="E232" s="1889"/>
      <c r="F232" s="1889"/>
      <c r="G232" s="1889"/>
      <c r="H232" s="1889"/>
      <c r="I232" s="1889"/>
      <c r="J232" s="1889"/>
      <c r="K232" s="1889"/>
      <c r="L232" s="1889"/>
      <c r="M232" s="1889"/>
      <c r="N232" s="1889"/>
      <c r="O232" s="1889"/>
      <c r="P232" s="1889"/>
      <c r="Q232" s="1889"/>
      <c r="R232" s="1889"/>
      <c r="S232" s="868"/>
      <c r="T232" s="869"/>
      <c r="U232" s="868"/>
      <c r="V232" s="869"/>
      <c r="W232" s="868"/>
      <c r="X232" s="853"/>
      <c r="Y232" s="870"/>
      <c r="Z232" s="870"/>
      <c r="AA232" s="853"/>
      <c r="AB232" s="853"/>
      <c r="AX232" s="533"/>
      <c r="AY232" s="533"/>
      <c r="AZ232" s="533"/>
      <c r="BA232" s="533"/>
    </row>
    <row r="233" spans="1:53" ht="17.45" customHeight="1" x14ac:dyDescent="0.15">
      <c r="A233" s="821"/>
      <c r="B233" s="820"/>
      <c r="C233" s="1889"/>
      <c r="D233" s="1889"/>
      <c r="E233" s="1889"/>
      <c r="F233" s="1889"/>
      <c r="G233" s="1889"/>
      <c r="H233" s="1889"/>
      <c r="I233" s="1889"/>
      <c r="J233" s="1889"/>
      <c r="K233" s="1889"/>
      <c r="L233" s="1889"/>
      <c r="M233" s="1889"/>
      <c r="N233" s="1889"/>
      <c r="O233" s="1889"/>
      <c r="P233" s="1889"/>
      <c r="Q233" s="1889"/>
      <c r="R233" s="1889"/>
      <c r="S233" s="868"/>
      <c r="T233" s="869"/>
      <c r="U233" s="868"/>
      <c r="V233" s="869"/>
      <c r="W233" s="868"/>
      <c r="X233" s="853"/>
      <c r="Y233" s="870"/>
      <c r="Z233" s="870"/>
      <c r="AA233" s="853"/>
      <c r="AB233" s="853"/>
      <c r="AX233" s="533"/>
      <c r="AY233" s="533"/>
      <c r="AZ233" s="533"/>
      <c r="BA233" s="533"/>
    </row>
    <row r="234" spans="1:53" ht="17.45" customHeight="1" x14ac:dyDescent="0.15">
      <c r="A234" s="821"/>
      <c r="B234" s="820"/>
      <c r="C234" s="1889"/>
      <c r="D234" s="1889"/>
      <c r="E234" s="1889"/>
      <c r="F234" s="1889"/>
      <c r="G234" s="1889"/>
      <c r="H234" s="1889"/>
      <c r="I234" s="1889"/>
      <c r="J234" s="1889"/>
      <c r="K234" s="1889"/>
      <c r="L234" s="1889"/>
      <c r="M234" s="1889"/>
      <c r="N234" s="1889"/>
      <c r="O234" s="1889"/>
      <c r="P234" s="1889"/>
      <c r="Q234" s="1889"/>
      <c r="R234" s="1889"/>
      <c r="S234" s="868"/>
      <c r="T234" s="869"/>
      <c r="U234" s="868"/>
      <c r="V234" s="869"/>
      <c r="W234" s="868"/>
      <c r="X234" s="853"/>
      <c r="Y234" s="870"/>
      <c r="Z234" s="870"/>
      <c r="AA234" s="853"/>
      <c r="AB234" s="853"/>
      <c r="AX234" s="533"/>
      <c r="AY234" s="533"/>
      <c r="AZ234" s="533"/>
      <c r="BA234" s="533"/>
    </row>
    <row r="235" spans="1:53" ht="17.45" customHeight="1" x14ac:dyDescent="0.15">
      <c r="A235" s="821"/>
      <c r="B235" s="820"/>
      <c r="C235" s="820"/>
      <c r="D235" s="820"/>
      <c r="O235" s="820"/>
      <c r="S235" s="868"/>
      <c r="T235" s="869"/>
      <c r="U235" s="868"/>
      <c r="V235" s="869"/>
      <c r="W235" s="868"/>
      <c r="X235" s="853"/>
      <c r="Y235" s="870"/>
      <c r="Z235" s="870"/>
      <c r="AA235" s="853"/>
      <c r="AB235" s="853"/>
      <c r="AX235" s="533"/>
      <c r="AY235" s="533"/>
      <c r="AZ235" s="533"/>
      <c r="BA235" s="533"/>
    </row>
    <row r="236" spans="1:53" ht="17.45" customHeight="1" x14ac:dyDescent="0.15">
      <c r="A236" s="821"/>
      <c r="B236" s="861" t="s">
        <v>220</v>
      </c>
      <c r="C236" s="1882" t="s">
        <v>806</v>
      </c>
      <c r="D236" s="1881"/>
      <c r="E236" s="1881"/>
      <c r="F236" s="1881"/>
      <c r="G236" s="1881"/>
      <c r="H236" s="1881"/>
      <c r="I236" s="1881"/>
      <c r="J236" s="1881"/>
      <c r="K236" s="1881"/>
      <c r="L236" s="1881"/>
      <c r="M236" s="1881"/>
      <c r="N236" s="1881"/>
      <c r="O236" s="1881"/>
      <c r="P236" s="1881"/>
      <c r="Q236" s="1881"/>
      <c r="R236" s="1881"/>
      <c r="S236" s="868"/>
      <c r="T236" s="869"/>
      <c r="U236" s="868"/>
      <c r="V236" s="869"/>
      <c r="W236" s="868"/>
      <c r="X236" s="853"/>
      <c r="Y236" s="870"/>
      <c r="Z236" s="870"/>
      <c r="AA236" s="853"/>
      <c r="AB236" s="853"/>
      <c r="AX236" s="533"/>
      <c r="AY236" s="533"/>
      <c r="AZ236" s="533"/>
      <c r="BA236" s="533"/>
    </row>
    <row r="237" spans="1:53" ht="31.5" customHeight="1" x14ac:dyDescent="0.15">
      <c r="A237" s="821"/>
      <c r="B237" s="820"/>
      <c r="C237" s="1881"/>
      <c r="D237" s="1881"/>
      <c r="E237" s="1881"/>
      <c r="F237" s="1881"/>
      <c r="G237" s="1881"/>
      <c r="H237" s="1881"/>
      <c r="I237" s="1881"/>
      <c r="J237" s="1881"/>
      <c r="K237" s="1881"/>
      <c r="L237" s="1881"/>
      <c r="M237" s="1881"/>
      <c r="N237" s="1881"/>
      <c r="O237" s="1881"/>
      <c r="P237" s="1881"/>
      <c r="Q237" s="1881"/>
      <c r="R237" s="1881"/>
      <c r="S237" s="868"/>
      <c r="T237" s="869"/>
      <c r="U237" s="868"/>
      <c r="V237" s="869"/>
      <c r="W237" s="868"/>
      <c r="X237" s="853"/>
      <c r="Y237" s="870"/>
      <c r="Z237" s="870"/>
      <c r="AA237" s="853"/>
      <c r="AB237" s="853"/>
      <c r="AX237" s="533"/>
      <c r="AY237" s="533"/>
      <c r="AZ237" s="533"/>
      <c r="BA237" s="533"/>
    </row>
    <row r="238" spans="1:53" ht="17.45" customHeight="1" x14ac:dyDescent="0.15">
      <c r="A238" s="821"/>
      <c r="B238" s="820"/>
      <c r="C238" s="1508"/>
      <c r="D238" s="1508"/>
      <c r="E238" s="1508"/>
      <c r="F238" s="1508"/>
      <c r="G238" s="1508"/>
      <c r="H238" s="1508"/>
      <c r="I238" s="1508"/>
      <c r="J238" s="1508"/>
      <c r="K238" s="1508"/>
      <c r="L238" s="1508"/>
      <c r="M238" s="1508"/>
      <c r="N238" s="1508"/>
      <c r="O238" s="1508"/>
      <c r="P238" s="1508"/>
      <c r="Q238" s="1508"/>
      <c r="R238" s="1508"/>
      <c r="S238" s="868"/>
      <c r="T238" s="869"/>
      <c r="U238" s="868"/>
      <c r="V238" s="869"/>
      <c r="W238" s="868"/>
      <c r="X238" s="853"/>
      <c r="Y238" s="870"/>
      <c r="Z238" s="870"/>
      <c r="AA238" s="853"/>
      <c r="AB238" s="853"/>
      <c r="AX238" s="533"/>
      <c r="AY238" s="533"/>
      <c r="AZ238" s="533"/>
      <c r="BA238" s="533"/>
    </row>
    <row r="239" spans="1:53" ht="17.45" customHeight="1" x14ac:dyDescent="0.15">
      <c r="A239" s="821"/>
      <c r="B239" s="861" t="s">
        <v>221</v>
      </c>
      <c r="C239" s="1882" t="s">
        <v>324</v>
      </c>
      <c r="D239" s="1889"/>
      <c r="E239" s="1889"/>
      <c r="F239" s="1889"/>
      <c r="G239" s="1889"/>
      <c r="H239" s="1889"/>
      <c r="I239" s="1889"/>
      <c r="J239" s="1889"/>
      <c r="K239" s="1889"/>
      <c r="L239" s="1889"/>
      <c r="M239" s="1889"/>
      <c r="N239" s="1889"/>
      <c r="O239" s="1889"/>
      <c r="P239" s="1889"/>
      <c r="Q239" s="1889"/>
      <c r="R239" s="1889"/>
      <c r="S239" s="868"/>
      <c r="T239" s="869"/>
      <c r="U239" s="868"/>
      <c r="V239" s="869"/>
      <c r="W239" s="868"/>
      <c r="X239" s="853"/>
      <c r="Y239" s="870"/>
      <c r="Z239" s="870"/>
      <c r="AA239" s="853"/>
      <c r="AB239" s="853"/>
      <c r="AX239" s="533"/>
      <c r="AY239" s="533"/>
      <c r="AZ239" s="533"/>
      <c r="BA239" s="533"/>
    </row>
    <row r="240" spans="1:53" ht="17.45" customHeight="1" x14ac:dyDescent="0.15">
      <c r="A240" s="821"/>
      <c r="B240" s="861"/>
      <c r="C240" s="1881"/>
      <c r="D240" s="1881"/>
      <c r="E240" s="1881"/>
      <c r="F240" s="1881"/>
      <c r="G240" s="1881"/>
      <c r="H240" s="1881"/>
      <c r="I240" s="1881"/>
      <c r="J240" s="1881"/>
      <c r="K240" s="1881"/>
      <c r="L240" s="1881"/>
      <c r="M240" s="1881"/>
      <c r="N240" s="1881"/>
      <c r="O240" s="1881"/>
      <c r="P240" s="1881"/>
      <c r="Q240" s="1881"/>
      <c r="R240" s="1881"/>
      <c r="S240" s="868"/>
      <c r="T240" s="869"/>
      <c r="U240" s="868"/>
      <c r="V240" s="869"/>
      <c r="W240" s="868"/>
      <c r="X240" s="853"/>
      <c r="Y240" s="870"/>
      <c r="Z240" s="870"/>
      <c r="AA240" s="853"/>
      <c r="AB240" s="853"/>
      <c r="AX240" s="533"/>
      <c r="AY240" s="533"/>
      <c r="AZ240" s="533"/>
      <c r="BA240" s="533"/>
    </row>
    <row r="241" spans="1:53" ht="17.45" customHeight="1" x14ac:dyDescent="0.15">
      <c r="A241" s="821"/>
      <c r="B241" s="820"/>
      <c r="C241" s="1508"/>
      <c r="D241" s="1508"/>
      <c r="E241" s="1508"/>
      <c r="F241" s="1508"/>
      <c r="G241" s="1508"/>
      <c r="H241" s="1508"/>
      <c r="I241" s="1508"/>
      <c r="J241" s="1508"/>
      <c r="K241" s="1508"/>
      <c r="L241" s="1508"/>
      <c r="M241" s="1508"/>
      <c r="N241" s="1508"/>
      <c r="O241" s="1508"/>
      <c r="P241" s="1508"/>
      <c r="Q241" s="1508"/>
      <c r="R241" s="1508"/>
      <c r="S241" s="868"/>
      <c r="T241" s="869"/>
      <c r="U241" s="868"/>
      <c r="V241" s="869"/>
      <c r="W241" s="868"/>
      <c r="X241" s="853"/>
      <c r="Y241" s="870"/>
      <c r="Z241" s="870"/>
      <c r="AA241" s="853"/>
      <c r="AB241" s="853"/>
      <c r="AX241" s="533"/>
      <c r="AY241" s="533"/>
      <c r="AZ241" s="533"/>
      <c r="BA241" s="533"/>
    </row>
    <row r="242" spans="1:53" ht="17.45" customHeight="1" x14ac:dyDescent="0.15">
      <c r="A242" s="821"/>
      <c r="B242" s="861" t="s">
        <v>222</v>
      </c>
      <c r="C242" s="1882" t="s">
        <v>30</v>
      </c>
      <c r="D242" s="1889"/>
      <c r="E242" s="1889"/>
      <c r="F242" s="1889"/>
      <c r="G242" s="1889"/>
      <c r="H242" s="1889"/>
      <c r="I242" s="1889"/>
      <c r="J242" s="1889"/>
      <c r="K242" s="1889"/>
      <c r="L242" s="1889"/>
      <c r="M242" s="1889"/>
      <c r="N242" s="1889"/>
      <c r="O242" s="1889"/>
      <c r="P242" s="1889"/>
      <c r="Q242" s="1889"/>
      <c r="R242" s="1889"/>
      <c r="S242" s="868"/>
      <c r="T242" s="869"/>
      <c r="U242" s="868"/>
      <c r="V242" s="869"/>
      <c r="W242" s="868"/>
      <c r="X242" s="853"/>
      <c r="Y242" s="870"/>
      <c r="Z242" s="870"/>
      <c r="AA242" s="853"/>
      <c r="AB242" s="853"/>
      <c r="AX242" s="533"/>
      <c r="AY242" s="533"/>
      <c r="AZ242" s="533"/>
      <c r="BA242" s="533"/>
    </row>
    <row r="243" spans="1:53" ht="17.45" customHeight="1" x14ac:dyDescent="0.15">
      <c r="A243" s="821"/>
      <c r="B243" s="820"/>
      <c r="C243" s="1508"/>
      <c r="D243" s="1508"/>
      <c r="E243" s="1508"/>
      <c r="F243" s="1508"/>
      <c r="G243" s="1508"/>
      <c r="H243" s="1508"/>
      <c r="I243" s="1508"/>
      <c r="J243" s="1508"/>
      <c r="K243" s="1508"/>
      <c r="L243" s="1508"/>
      <c r="M243" s="1508"/>
      <c r="N243" s="1508"/>
      <c r="O243" s="1508"/>
      <c r="P243" s="1508"/>
      <c r="Q243" s="1508"/>
      <c r="R243" s="1508"/>
      <c r="S243" s="868"/>
      <c r="T243" s="869"/>
      <c r="U243" s="868"/>
      <c r="V243" s="869"/>
      <c r="W243" s="868"/>
      <c r="X243" s="853"/>
      <c r="Y243" s="870"/>
      <c r="Z243" s="870"/>
      <c r="AA243" s="853"/>
      <c r="AB243" s="853"/>
      <c r="AX243" s="533"/>
      <c r="AY243" s="533"/>
      <c r="AZ243" s="533"/>
      <c r="BA243" s="533"/>
    </row>
    <row r="244" spans="1:53" ht="17.45" customHeight="1" x14ac:dyDescent="0.15">
      <c r="A244" s="821"/>
      <c r="B244" s="537" t="s">
        <v>209</v>
      </c>
      <c r="C244" s="1882" t="s">
        <v>31</v>
      </c>
      <c r="D244" s="1881"/>
      <c r="E244" s="1881"/>
      <c r="F244" s="1881"/>
      <c r="G244" s="1881"/>
      <c r="H244" s="1881"/>
      <c r="I244" s="1881"/>
      <c r="J244" s="1881"/>
      <c r="K244" s="1881"/>
      <c r="L244" s="1881"/>
      <c r="M244" s="1881"/>
      <c r="N244" s="1881"/>
      <c r="O244" s="1881"/>
      <c r="P244" s="1881"/>
      <c r="Q244" s="1881"/>
      <c r="R244" s="1881"/>
      <c r="S244" s="868"/>
      <c r="T244" s="869"/>
      <c r="U244" s="868"/>
      <c r="V244" s="869"/>
      <c r="W244" s="868"/>
      <c r="X244" s="853"/>
      <c r="Y244" s="870"/>
      <c r="Z244" s="870"/>
      <c r="AA244" s="853"/>
      <c r="AB244" s="853"/>
      <c r="AX244" s="533"/>
      <c r="AY244" s="533"/>
      <c r="AZ244" s="533"/>
      <c r="BA244" s="533"/>
    </row>
    <row r="245" spans="1:53" ht="17.45" customHeight="1" x14ac:dyDescent="0.15">
      <c r="A245" s="821"/>
      <c r="C245" s="1515"/>
      <c r="D245" s="1515"/>
      <c r="E245" s="1515"/>
      <c r="F245" s="1515"/>
      <c r="G245" s="1515"/>
      <c r="H245" s="1515"/>
      <c r="I245" s="1515"/>
      <c r="J245" s="1515"/>
      <c r="K245" s="1515"/>
      <c r="L245" s="1515"/>
      <c r="M245" s="1515"/>
      <c r="N245" s="1515"/>
      <c r="O245" s="1515"/>
      <c r="P245" s="1515"/>
      <c r="Q245" s="1515"/>
      <c r="R245" s="1515"/>
      <c r="S245" s="868"/>
      <c r="AX245" s="533"/>
      <c r="AY245" s="533"/>
      <c r="AZ245" s="533"/>
      <c r="BA245" s="533"/>
    </row>
    <row r="246" spans="1:53" ht="14.25" x14ac:dyDescent="0.15">
      <c r="A246" s="821"/>
      <c r="C246" s="1929" t="s">
        <v>805</v>
      </c>
      <c r="D246" s="1929"/>
      <c r="E246" s="1929"/>
      <c r="F246" s="1929"/>
      <c r="G246" s="1929"/>
      <c r="H246" s="1929"/>
      <c r="I246" s="1929"/>
      <c r="J246" s="1929"/>
      <c r="K246" s="1929"/>
      <c r="L246" s="1929"/>
      <c r="M246" s="1929"/>
      <c r="N246" s="1929"/>
      <c r="O246" s="1929"/>
      <c r="P246" s="1929"/>
      <c r="Q246" s="1929"/>
      <c r="R246" s="1929"/>
      <c r="S246" s="868"/>
      <c r="AX246" s="533"/>
      <c r="AY246" s="533"/>
      <c r="AZ246" s="533"/>
      <c r="BA246" s="533"/>
    </row>
    <row r="247" spans="1:53" ht="14.25" x14ac:dyDescent="0.15">
      <c r="A247" s="821"/>
      <c r="C247" s="1930"/>
      <c r="D247" s="1930"/>
      <c r="E247" s="1930"/>
      <c r="F247" s="1930"/>
      <c r="G247" s="1930"/>
      <c r="H247" s="1930"/>
      <c r="I247" s="1930"/>
      <c r="J247" s="1930"/>
      <c r="K247" s="1930"/>
      <c r="L247" s="1930"/>
      <c r="M247" s="1930"/>
      <c r="N247" s="1930"/>
      <c r="O247" s="1930"/>
      <c r="P247" s="1930"/>
      <c r="Q247" s="1930"/>
      <c r="R247" s="1930"/>
      <c r="S247" s="868"/>
      <c r="AX247" s="533"/>
      <c r="AY247" s="533"/>
      <c r="AZ247" s="533"/>
      <c r="BA247" s="533"/>
    </row>
    <row r="248" spans="1:53" ht="14.25" x14ac:dyDescent="0.15">
      <c r="A248" s="821"/>
      <c r="C248" s="1518"/>
      <c r="D248" s="1518"/>
      <c r="E248" s="1518"/>
      <c r="F248" s="1518"/>
      <c r="G248" s="1518"/>
      <c r="H248" s="1518"/>
      <c r="I248" s="1518"/>
      <c r="J248" s="1518"/>
      <c r="K248" s="1518"/>
      <c r="L248" s="1518"/>
      <c r="M248" s="1518"/>
      <c r="N248" s="1518"/>
      <c r="O248" s="1518"/>
      <c r="P248" s="1518"/>
      <c r="Q248" s="1518"/>
      <c r="R248" s="1518"/>
      <c r="S248" s="868"/>
      <c r="AX248" s="533"/>
      <c r="AY248" s="533"/>
      <c r="AZ248" s="533"/>
      <c r="BA248" s="533"/>
    </row>
    <row r="249" spans="1:53" ht="31.5" customHeight="1" x14ac:dyDescent="0.15">
      <c r="A249" s="821"/>
      <c r="C249" s="1927" t="s">
        <v>315</v>
      </c>
      <c r="D249" s="1928"/>
      <c r="E249" s="1928"/>
      <c r="F249" s="1928"/>
      <c r="G249" s="1928"/>
      <c r="H249" s="1928"/>
      <c r="I249" s="1928"/>
      <c r="J249" s="1928"/>
      <c r="K249" s="1928"/>
      <c r="L249" s="1928"/>
      <c r="M249" s="1928"/>
      <c r="N249" s="1928"/>
      <c r="O249" s="1928"/>
      <c r="P249" s="1928"/>
      <c r="Q249" s="1928"/>
      <c r="R249" s="1928"/>
      <c r="S249" s="868"/>
      <c r="AX249" s="533"/>
      <c r="AY249" s="533"/>
      <c r="AZ249" s="533"/>
      <c r="BA249" s="533"/>
    </row>
    <row r="250" spans="1:53" ht="27.75" customHeight="1" x14ac:dyDescent="0.15">
      <c r="A250" s="821"/>
      <c r="B250" s="820"/>
      <c r="C250" s="1928"/>
      <c r="D250" s="1928"/>
      <c r="E250" s="1928"/>
      <c r="F250" s="1928"/>
      <c r="G250" s="1928"/>
      <c r="H250" s="1928"/>
      <c r="I250" s="1928"/>
      <c r="J250" s="1928"/>
      <c r="K250" s="1928"/>
      <c r="L250" s="1928"/>
      <c r="M250" s="1928"/>
      <c r="N250" s="1928"/>
      <c r="O250" s="1928"/>
      <c r="P250" s="1928"/>
      <c r="Q250" s="1928"/>
      <c r="R250" s="1928"/>
      <c r="S250" s="868"/>
      <c r="T250" s="833"/>
      <c r="U250" s="833"/>
      <c r="V250" s="833"/>
      <c r="W250" s="833"/>
      <c r="X250" s="833"/>
      <c r="Y250" s="833"/>
      <c r="Z250" s="833"/>
      <c r="AA250" s="833"/>
      <c r="AB250" s="833"/>
      <c r="AX250" s="533"/>
      <c r="AY250" s="533"/>
      <c r="AZ250" s="533"/>
      <c r="BA250" s="533"/>
    </row>
    <row r="251" spans="1:53" ht="17.45" customHeight="1" x14ac:dyDescent="0.15">
      <c r="A251" s="821"/>
      <c r="B251" s="820"/>
      <c r="C251" s="1519"/>
      <c r="D251" s="1519"/>
      <c r="E251" s="1519"/>
      <c r="F251" s="1519"/>
      <c r="G251" s="1519"/>
      <c r="H251" s="1519"/>
      <c r="I251" s="1519"/>
      <c r="J251" s="1519"/>
      <c r="K251" s="1519"/>
      <c r="L251" s="1519"/>
      <c r="M251" s="1519"/>
      <c r="N251" s="1519"/>
      <c r="O251" s="1519"/>
      <c r="P251" s="1519"/>
      <c r="Q251" s="1519"/>
      <c r="R251" s="1519"/>
      <c r="S251" s="868"/>
      <c r="T251" s="833"/>
      <c r="U251" s="833"/>
      <c r="V251" s="833"/>
      <c r="W251" s="833"/>
      <c r="X251" s="833"/>
      <c r="Y251" s="833"/>
      <c r="Z251" s="833"/>
      <c r="AA251" s="833"/>
      <c r="AB251" s="833"/>
      <c r="AX251" s="533"/>
      <c r="AY251" s="533"/>
      <c r="AZ251" s="533"/>
      <c r="BA251" s="533"/>
    </row>
    <row r="252" spans="1:53" ht="17.45" customHeight="1" x14ac:dyDescent="0.15">
      <c r="A252" s="821"/>
      <c r="B252" s="537" t="s">
        <v>198</v>
      </c>
      <c r="C252" s="1882" t="s">
        <v>34</v>
      </c>
      <c r="D252" s="1889"/>
      <c r="E252" s="1889"/>
      <c r="F252" s="1889"/>
      <c r="G252" s="1889"/>
      <c r="H252" s="1889"/>
      <c r="I252" s="1889"/>
      <c r="J252" s="1889"/>
      <c r="K252" s="1889"/>
      <c r="L252" s="1889"/>
      <c r="M252" s="1889"/>
      <c r="N252" s="1889"/>
      <c r="O252" s="1889"/>
      <c r="P252" s="1889"/>
      <c r="Q252" s="1889"/>
      <c r="R252" s="1889"/>
      <c r="S252" s="868"/>
      <c r="T252" s="869"/>
      <c r="U252" s="868"/>
      <c r="V252" s="869"/>
      <c r="W252" s="868"/>
      <c r="X252" s="853"/>
      <c r="Y252" s="870"/>
      <c r="Z252" s="870"/>
      <c r="AA252" s="853"/>
      <c r="AB252" s="853"/>
      <c r="AX252" s="533"/>
      <c r="AY252" s="533"/>
      <c r="AZ252" s="533"/>
      <c r="BA252" s="533"/>
    </row>
    <row r="253" spans="1:53" ht="17.45" customHeight="1" x14ac:dyDescent="0.15">
      <c r="A253" s="821"/>
      <c r="B253" s="820"/>
      <c r="C253" s="1889"/>
      <c r="D253" s="1889"/>
      <c r="E253" s="1889"/>
      <c r="F253" s="1889"/>
      <c r="G253" s="1889"/>
      <c r="H253" s="1889"/>
      <c r="I253" s="1889"/>
      <c r="J253" s="1889"/>
      <c r="K253" s="1889"/>
      <c r="L253" s="1889"/>
      <c r="M253" s="1889"/>
      <c r="N253" s="1889"/>
      <c r="O253" s="1889"/>
      <c r="P253" s="1889"/>
      <c r="Q253" s="1889"/>
      <c r="R253" s="1889"/>
      <c r="S253" s="868"/>
      <c r="X253" s="853"/>
      <c r="Y253" s="870"/>
      <c r="Z253" s="870"/>
      <c r="AA253" s="853"/>
      <c r="AB253" s="853"/>
      <c r="AX253" s="533"/>
      <c r="AY253" s="533"/>
      <c r="AZ253" s="533"/>
      <c r="BA253" s="533"/>
    </row>
    <row r="254" spans="1:53" ht="17.45" customHeight="1" x14ac:dyDescent="0.15">
      <c r="A254" s="821"/>
      <c r="B254" s="820"/>
      <c r="C254" s="1891" t="s">
        <v>48</v>
      </c>
      <c r="D254" s="1892"/>
      <c r="E254" s="1892"/>
      <c r="F254" s="1892"/>
      <c r="G254" s="1892"/>
      <c r="H254" s="1892"/>
      <c r="I254" s="1892"/>
      <c r="J254" s="1892"/>
      <c r="K254" s="1892"/>
      <c r="L254" s="1892"/>
      <c r="M254" s="1892"/>
      <c r="N254" s="1892"/>
      <c r="O254" s="1892"/>
      <c r="P254" s="1892"/>
      <c r="Q254" s="1892"/>
      <c r="R254" s="1892"/>
      <c r="S254" s="1892"/>
      <c r="T254" s="833"/>
      <c r="U254" s="833"/>
      <c r="V254" s="833"/>
      <c r="W254" s="833"/>
      <c r="X254" s="853"/>
      <c r="Y254" s="870"/>
      <c r="Z254" s="870"/>
      <c r="AA254" s="853"/>
      <c r="AB254" s="853"/>
      <c r="AX254" s="533"/>
      <c r="AY254" s="533"/>
      <c r="AZ254" s="533"/>
      <c r="BA254" s="533"/>
    </row>
    <row r="255" spans="1:53" ht="17.45" customHeight="1" x14ac:dyDescent="0.15">
      <c r="A255" s="821"/>
      <c r="B255" s="820"/>
      <c r="C255" s="1508"/>
      <c r="D255" s="1508"/>
      <c r="E255" s="1508"/>
      <c r="F255" s="1508"/>
      <c r="G255" s="1508"/>
      <c r="H255" s="1508"/>
      <c r="I255" s="1508"/>
      <c r="J255" s="1508"/>
      <c r="K255" s="1508"/>
      <c r="L255" s="1508"/>
      <c r="M255" s="1508"/>
      <c r="N255" s="1508"/>
      <c r="O255" s="1508"/>
      <c r="P255" s="1508"/>
      <c r="Q255" s="1508"/>
      <c r="R255" s="1508"/>
      <c r="S255" s="868"/>
      <c r="T255" s="869"/>
      <c r="U255" s="868"/>
      <c r="V255" s="869"/>
      <c r="W255" s="868"/>
      <c r="X255" s="853"/>
      <c r="Y255" s="870"/>
      <c r="Z255" s="870"/>
      <c r="AA255" s="853"/>
      <c r="AB255" s="853"/>
      <c r="AX255" s="533"/>
      <c r="AY255" s="533"/>
      <c r="AZ255" s="533"/>
      <c r="BA255" s="533"/>
    </row>
    <row r="256" spans="1:53" ht="17.45" customHeight="1" x14ac:dyDescent="0.15">
      <c r="A256" s="821"/>
      <c r="B256" s="537" t="s">
        <v>223</v>
      </c>
      <c r="C256" s="840" t="s">
        <v>325</v>
      </c>
      <c r="D256" s="537"/>
      <c r="E256" s="537"/>
      <c r="F256" s="841"/>
      <c r="H256" s="537"/>
      <c r="I256" s="840"/>
      <c r="J256" s="824"/>
      <c r="L256" s="854"/>
      <c r="M256" s="854"/>
      <c r="N256" s="537"/>
      <c r="O256" s="855"/>
      <c r="P256" s="537"/>
      <c r="T256" s="869"/>
      <c r="U256" s="868"/>
      <c r="V256" s="869"/>
      <c r="W256" s="868"/>
      <c r="X256" s="853"/>
      <c r="Y256" s="870"/>
      <c r="Z256" s="870"/>
      <c r="AA256" s="853"/>
      <c r="AB256" s="853"/>
      <c r="AX256" s="533"/>
      <c r="AY256" s="533"/>
      <c r="AZ256" s="533"/>
      <c r="BA256" s="533"/>
    </row>
    <row r="257" spans="1:64" ht="17.45" customHeight="1" x14ac:dyDescent="0.15">
      <c r="A257" s="821"/>
      <c r="D257" s="546"/>
      <c r="F257" s="871"/>
      <c r="H257" s="824"/>
      <c r="I257" s="841"/>
      <c r="J257" s="824"/>
      <c r="K257" s="824"/>
      <c r="L257" s="537"/>
      <c r="M257" s="824"/>
      <c r="N257" s="824"/>
      <c r="O257" s="855"/>
      <c r="P257" s="537"/>
      <c r="Q257" s="833"/>
      <c r="R257" s="833"/>
      <c r="S257" s="833"/>
      <c r="T257" s="869"/>
      <c r="U257" s="868"/>
      <c r="V257" s="869"/>
      <c r="W257" s="868"/>
      <c r="X257" s="853"/>
      <c r="Y257" s="870"/>
      <c r="Z257" s="870"/>
      <c r="AA257" s="853"/>
      <c r="AB257" s="853"/>
      <c r="AX257" s="533"/>
      <c r="AY257" s="533"/>
      <c r="AZ257" s="533"/>
      <c r="BA257" s="533"/>
    </row>
    <row r="258" spans="1:64" ht="17.45" customHeight="1" x14ac:dyDescent="0.15">
      <c r="B258" s="537" t="s">
        <v>224</v>
      </c>
      <c r="C258" s="1882" t="s">
        <v>326</v>
      </c>
      <c r="D258" s="1889"/>
      <c r="E258" s="1889"/>
      <c r="F258" s="1889"/>
      <c r="G258" s="1889"/>
      <c r="H258" s="1889"/>
      <c r="I258" s="1889"/>
      <c r="J258" s="1889"/>
      <c r="K258" s="1889"/>
      <c r="L258" s="1889"/>
      <c r="M258" s="1889"/>
      <c r="N258" s="1889"/>
      <c r="O258" s="1889"/>
      <c r="P258" s="1889"/>
      <c r="Q258" s="1889"/>
      <c r="R258" s="1889"/>
      <c r="S258" s="868"/>
      <c r="AZ258" s="533"/>
      <c r="BA258" s="533"/>
      <c r="BB258" s="841"/>
      <c r="BC258" s="434"/>
      <c r="BD258" s="434"/>
      <c r="BE258" s="434"/>
      <c r="BF258" s="434"/>
      <c r="BG258" s="841"/>
      <c r="BH258" s="841"/>
      <c r="BI258" s="826"/>
      <c r="BJ258" s="826"/>
      <c r="BK258" s="826"/>
      <c r="BL258" s="826"/>
    </row>
    <row r="259" spans="1:64" ht="17.45" customHeight="1" x14ac:dyDescent="0.15">
      <c r="B259" s="840"/>
      <c r="C259" s="1889"/>
      <c r="D259" s="1889"/>
      <c r="E259" s="1889"/>
      <c r="F259" s="1889"/>
      <c r="G259" s="1889"/>
      <c r="H259" s="1889"/>
      <c r="I259" s="1889"/>
      <c r="J259" s="1889"/>
      <c r="K259" s="1889"/>
      <c r="L259" s="1889"/>
      <c r="M259" s="1889"/>
      <c r="N259" s="1889"/>
      <c r="O259" s="1889"/>
      <c r="P259" s="1889"/>
      <c r="Q259" s="1889"/>
      <c r="R259" s="1889"/>
      <c r="X259" s="833"/>
      <c r="Y259" s="833"/>
      <c r="Z259" s="833"/>
      <c r="AA259" s="833"/>
      <c r="AB259" s="833"/>
      <c r="AD259" s="820"/>
      <c r="AE259" s="820"/>
      <c r="AF259" s="820"/>
      <c r="AZ259" s="533"/>
      <c r="BA259" s="533"/>
      <c r="BB259" s="841"/>
      <c r="BC259" s="898"/>
      <c r="BD259" s="434"/>
      <c r="BE259" s="434"/>
      <c r="BF259" s="434"/>
      <c r="BG259" s="434"/>
      <c r="BH259" s="434"/>
      <c r="BI259" s="841"/>
      <c r="BJ259" s="841"/>
      <c r="BK259" s="841"/>
      <c r="BL259" s="899"/>
    </row>
    <row r="260" spans="1:64" ht="17.45" customHeight="1" x14ac:dyDescent="0.15">
      <c r="B260" s="840"/>
      <c r="C260" s="1889"/>
      <c r="D260" s="1889"/>
      <c r="E260" s="1889"/>
      <c r="F260" s="1889"/>
      <c r="G260" s="1889"/>
      <c r="H260" s="1889"/>
      <c r="I260" s="1889"/>
      <c r="J260" s="1889"/>
      <c r="K260" s="1889"/>
      <c r="L260" s="1889"/>
      <c r="M260" s="1889"/>
      <c r="N260" s="1889"/>
      <c r="O260" s="1889"/>
      <c r="P260" s="1889"/>
      <c r="Q260" s="1889"/>
      <c r="R260" s="1889"/>
      <c r="S260" s="833"/>
      <c r="AZ260" s="533"/>
      <c r="BA260" s="533"/>
      <c r="BC260" s="879"/>
      <c r="BD260" s="879"/>
      <c r="BE260" s="879"/>
      <c r="BF260" s="879"/>
      <c r="BG260" s="879"/>
      <c r="BH260" s="879"/>
      <c r="BI260" s="880"/>
      <c r="BJ260" s="817"/>
      <c r="BK260" s="818"/>
      <c r="BL260" s="818"/>
    </row>
    <row r="261" spans="1:64" ht="17.45" customHeight="1" x14ac:dyDescent="0.15">
      <c r="B261" s="840"/>
      <c r="D261" s="546"/>
      <c r="H261" s="824"/>
      <c r="I261" s="841"/>
      <c r="J261" s="824"/>
      <c r="K261" s="824"/>
      <c r="L261" s="537"/>
      <c r="M261" s="824"/>
      <c r="N261" s="824"/>
      <c r="O261" s="855"/>
      <c r="P261" s="869"/>
      <c r="Q261" s="824"/>
      <c r="S261" s="868"/>
      <c r="AZ261" s="533"/>
      <c r="BA261" s="533"/>
      <c r="BC261" s="879"/>
      <c r="BD261" s="879"/>
      <c r="BE261" s="879"/>
      <c r="BF261" s="879"/>
      <c r="BG261" s="879"/>
      <c r="BH261" s="879"/>
      <c r="BI261" s="880"/>
      <c r="BJ261" s="817"/>
      <c r="BK261" s="818"/>
      <c r="BL261" s="818"/>
    </row>
    <row r="262" spans="1:64" ht="17.45" customHeight="1" x14ac:dyDescent="0.15">
      <c r="B262" s="537" t="s">
        <v>225</v>
      </c>
      <c r="C262" s="1882" t="s">
        <v>267</v>
      </c>
      <c r="D262" s="1889"/>
      <c r="E262" s="1889"/>
      <c r="F262" s="1889"/>
      <c r="G262" s="1889"/>
      <c r="H262" s="1889"/>
      <c r="I262" s="1889"/>
      <c r="J262" s="1889"/>
      <c r="K262" s="1889"/>
      <c r="L262" s="1889"/>
      <c r="M262" s="1889"/>
      <c r="N262" s="1889"/>
      <c r="O262" s="1889"/>
      <c r="P262" s="1889"/>
      <c r="Q262" s="1889"/>
      <c r="R262" s="1889"/>
      <c r="S262" s="868"/>
      <c r="AZ262" s="533"/>
      <c r="BA262" s="533"/>
      <c r="BC262" s="879"/>
      <c r="BD262" s="879"/>
      <c r="BE262" s="879"/>
      <c r="BF262" s="879"/>
      <c r="BG262" s="879"/>
      <c r="BH262" s="879"/>
      <c r="BI262" s="880"/>
      <c r="BJ262" s="817"/>
      <c r="BK262" s="818"/>
      <c r="BL262" s="818"/>
    </row>
    <row r="263" spans="1:64" ht="17.45" customHeight="1" x14ac:dyDescent="0.15">
      <c r="B263" s="820"/>
      <c r="C263" s="1889"/>
      <c r="D263" s="1889"/>
      <c r="E263" s="1889"/>
      <c r="F263" s="1889"/>
      <c r="G263" s="1889"/>
      <c r="H263" s="1889"/>
      <c r="I263" s="1889"/>
      <c r="J263" s="1889"/>
      <c r="K263" s="1889"/>
      <c r="L263" s="1889"/>
      <c r="M263" s="1889"/>
      <c r="N263" s="1889"/>
      <c r="O263" s="1889"/>
      <c r="P263" s="1889"/>
      <c r="Q263" s="1889"/>
      <c r="R263" s="1889"/>
      <c r="S263" s="868"/>
      <c r="AZ263" s="533"/>
      <c r="BA263" s="533"/>
      <c r="BC263" s="879"/>
      <c r="BD263" s="879"/>
      <c r="BE263" s="879"/>
      <c r="BF263" s="879"/>
      <c r="BG263" s="879"/>
      <c r="BH263" s="879"/>
      <c r="BI263" s="880"/>
      <c r="BJ263" s="817"/>
      <c r="BK263" s="818"/>
      <c r="BL263" s="818"/>
    </row>
    <row r="264" spans="1:64" ht="17.45" customHeight="1" x14ac:dyDescent="0.15">
      <c r="B264" s="820"/>
      <c r="C264" s="1889"/>
      <c r="D264" s="1889"/>
      <c r="E264" s="1889"/>
      <c r="F264" s="1889"/>
      <c r="G264" s="1889"/>
      <c r="H264" s="1889"/>
      <c r="I264" s="1889"/>
      <c r="J264" s="1889"/>
      <c r="K264" s="1889"/>
      <c r="L264" s="1889"/>
      <c r="M264" s="1889"/>
      <c r="N264" s="1889"/>
      <c r="O264" s="1889"/>
      <c r="P264" s="1889"/>
      <c r="Q264" s="1889"/>
      <c r="R264" s="1889"/>
      <c r="AZ264" s="533"/>
      <c r="BA264" s="533"/>
      <c r="BC264" s="879"/>
      <c r="BD264" s="879"/>
      <c r="BE264" s="879"/>
      <c r="BF264" s="879"/>
      <c r="BG264" s="879"/>
      <c r="BH264" s="879"/>
      <c r="BI264" s="880"/>
      <c r="BJ264" s="817"/>
      <c r="BK264" s="818"/>
      <c r="BL264" s="818"/>
    </row>
    <row r="265" spans="1:64" ht="17.45" customHeight="1" x14ac:dyDescent="0.15">
      <c r="B265" s="820"/>
      <c r="C265" s="1881"/>
      <c r="D265" s="1881"/>
      <c r="E265" s="1881"/>
      <c r="F265" s="1881"/>
      <c r="G265" s="1881"/>
      <c r="H265" s="1881"/>
      <c r="I265" s="1881"/>
      <c r="J265" s="1881"/>
      <c r="K265" s="1881"/>
      <c r="L265" s="1881"/>
      <c r="M265" s="1881"/>
      <c r="N265" s="1881"/>
      <c r="O265" s="1881"/>
      <c r="P265" s="1881"/>
      <c r="Q265" s="1881"/>
      <c r="R265" s="1881"/>
      <c r="AZ265" s="533"/>
      <c r="BA265" s="533"/>
      <c r="BC265" s="879"/>
      <c r="BD265" s="879"/>
      <c r="BE265" s="879"/>
      <c r="BF265" s="879"/>
      <c r="BG265" s="879"/>
      <c r="BH265" s="879"/>
      <c r="BI265" s="880"/>
      <c r="BJ265" s="817"/>
      <c r="BK265" s="818"/>
      <c r="BL265" s="818"/>
    </row>
    <row r="266" spans="1:64" ht="17.45" customHeight="1" x14ac:dyDescent="0.15">
      <c r="C266" s="820"/>
      <c r="D266" s="820"/>
      <c r="M266" s="554"/>
      <c r="O266" s="855"/>
      <c r="AZ266" s="533"/>
      <c r="BA266" s="533"/>
      <c r="BC266" s="879"/>
      <c r="BD266" s="879"/>
      <c r="BE266" s="879"/>
      <c r="BF266" s="879"/>
      <c r="BG266" s="879"/>
      <c r="BH266" s="879"/>
      <c r="BI266" s="880"/>
      <c r="BJ266" s="817"/>
      <c r="BK266" s="818"/>
      <c r="BL266" s="818"/>
    </row>
    <row r="267" spans="1:64" ht="17.45" customHeight="1" x14ac:dyDescent="0.15">
      <c r="B267" s="537" t="s">
        <v>263</v>
      </c>
      <c r="C267" s="1882" t="s">
        <v>49</v>
      </c>
      <c r="D267" s="1881"/>
      <c r="E267" s="1881"/>
      <c r="F267" s="1881"/>
      <c r="G267" s="1881"/>
      <c r="H267" s="1881"/>
      <c r="I267" s="1881"/>
      <c r="J267" s="1881"/>
      <c r="K267" s="1881"/>
      <c r="L267" s="1881"/>
      <c r="M267" s="1881"/>
      <c r="N267" s="1881"/>
      <c r="O267" s="1881"/>
      <c r="P267" s="1881"/>
      <c r="Q267" s="1881"/>
      <c r="R267" s="1881"/>
      <c r="AZ267" s="533"/>
      <c r="BA267" s="533"/>
      <c r="BC267" s="879"/>
      <c r="BD267" s="879"/>
      <c r="BE267" s="879"/>
      <c r="BF267" s="879"/>
      <c r="BG267" s="879"/>
      <c r="BH267" s="879"/>
      <c r="BI267" s="880"/>
      <c r="BJ267" s="817"/>
      <c r="BK267" s="818"/>
      <c r="BL267" s="818"/>
    </row>
    <row r="268" spans="1:64" ht="17.45" customHeight="1" x14ac:dyDescent="0.15">
      <c r="C268" s="1881"/>
      <c r="D268" s="1881"/>
      <c r="E268" s="1881"/>
      <c r="F268" s="1881"/>
      <c r="G268" s="1881"/>
      <c r="H268" s="1881"/>
      <c r="I268" s="1881"/>
      <c r="J268" s="1881"/>
      <c r="K268" s="1881"/>
      <c r="L268" s="1881"/>
      <c r="M268" s="1881"/>
      <c r="N268" s="1881"/>
      <c r="O268" s="1881"/>
      <c r="P268" s="1881"/>
      <c r="Q268" s="1881"/>
      <c r="R268" s="1881"/>
      <c r="AZ268" s="533"/>
      <c r="BA268" s="533"/>
      <c r="BC268" s="879"/>
      <c r="BD268" s="879"/>
      <c r="BE268" s="879"/>
      <c r="BF268" s="879"/>
      <c r="BG268" s="879"/>
      <c r="BH268" s="879"/>
      <c r="BI268" s="880"/>
      <c r="BJ268" s="817"/>
      <c r="BK268" s="818"/>
      <c r="BL268" s="818"/>
    </row>
    <row r="269" spans="1:64" ht="17.45" customHeight="1" x14ac:dyDescent="0.15">
      <c r="C269" s="820"/>
      <c r="D269" s="820"/>
      <c r="M269" s="554"/>
      <c r="O269" s="855"/>
      <c r="AZ269" s="533"/>
      <c r="BA269" s="533"/>
      <c r="BC269" s="879"/>
      <c r="BD269" s="879"/>
      <c r="BE269" s="879"/>
      <c r="BF269" s="879"/>
      <c r="BG269" s="879"/>
      <c r="BH269" s="879"/>
      <c r="BI269" s="880"/>
      <c r="BJ269" s="817"/>
      <c r="BK269" s="818"/>
      <c r="BL269" s="818"/>
    </row>
    <row r="270" spans="1:64" ht="17.45" customHeight="1" x14ac:dyDescent="0.15">
      <c r="B270" s="537" t="s">
        <v>266</v>
      </c>
      <c r="C270" s="1880" t="s">
        <v>50</v>
      </c>
      <c r="D270" s="1879"/>
      <c r="E270" s="1879"/>
      <c r="F270" s="1879"/>
      <c r="G270" s="1879"/>
      <c r="H270" s="1879"/>
      <c r="I270" s="1879"/>
      <c r="J270" s="1879"/>
      <c r="K270" s="1879"/>
      <c r="L270" s="1879"/>
      <c r="M270" s="1879"/>
      <c r="N270" s="1879"/>
      <c r="O270" s="1879"/>
      <c r="P270" s="1879"/>
      <c r="Q270" s="1879"/>
      <c r="R270" s="1879"/>
      <c r="AZ270" s="533"/>
      <c r="BA270" s="533"/>
      <c r="BC270" s="879"/>
      <c r="BD270" s="879"/>
      <c r="BE270" s="879"/>
      <c r="BF270" s="879"/>
      <c r="BG270" s="879"/>
      <c r="BH270" s="879"/>
      <c r="BI270" s="880"/>
      <c r="BJ270" s="817"/>
      <c r="BK270" s="818"/>
      <c r="BL270" s="818"/>
    </row>
    <row r="271" spans="1:64" ht="17.45" customHeight="1" x14ac:dyDescent="0.15">
      <c r="C271" s="1879"/>
      <c r="D271" s="1879"/>
      <c r="E271" s="1879"/>
      <c r="F271" s="1879"/>
      <c r="G271" s="1879"/>
      <c r="H271" s="1879"/>
      <c r="I271" s="1879"/>
      <c r="J271" s="1879"/>
      <c r="K271" s="1879"/>
      <c r="L271" s="1879"/>
      <c r="M271" s="1879"/>
      <c r="N271" s="1879"/>
      <c r="O271" s="1879"/>
      <c r="P271" s="1879"/>
      <c r="Q271" s="1879"/>
      <c r="R271" s="1879"/>
      <c r="AZ271" s="533"/>
      <c r="BA271" s="533"/>
      <c r="BC271" s="879"/>
      <c r="BD271" s="879"/>
      <c r="BE271" s="879"/>
      <c r="BF271" s="879"/>
      <c r="BG271" s="879"/>
      <c r="BH271" s="879"/>
      <c r="BI271" s="880"/>
      <c r="BJ271" s="817"/>
      <c r="BK271" s="818"/>
      <c r="BL271" s="818"/>
    </row>
    <row r="272" spans="1:64" ht="17.45" customHeight="1" x14ac:dyDescent="0.15">
      <c r="B272" s="546"/>
      <c r="C272" s="1887"/>
      <c r="D272" s="1887"/>
      <c r="E272" s="1887"/>
      <c r="F272" s="1887"/>
      <c r="G272" s="1887"/>
      <c r="H272" s="1887"/>
      <c r="I272" s="1887"/>
      <c r="J272" s="1887"/>
      <c r="K272" s="1887"/>
      <c r="L272" s="1887"/>
      <c r="M272" s="1887"/>
      <c r="N272" s="1887"/>
      <c r="O272" s="1887"/>
      <c r="P272" s="1887"/>
      <c r="Q272" s="1887"/>
      <c r="R272" s="1887"/>
      <c r="X272" s="533"/>
      <c r="Y272" s="533"/>
      <c r="Z272" s="533"/>
      <c r="AA272" s="533"/>
      <c r="AB272" s="533"/>
      <c r="AZ272" s="533"/>
      <c r="BA272" s="533"/>
      <c r="BC272" s="879"/>
      <c r="BD272" s="879"/>
      <c r="BE272" s="879"/>
      <c r="BF272" s="879"/>
      <c r="BG272" s="879"/>
      <c r="BH272" s="879"/>
      <c r="BI272" s="880"/>
      <c r="BJ272" s="817"/>
      <c r="BK272" s="818"/>
      <c r="BL272" s="818"/>
    </row>
    <row r="273" spans="2:64" ht="17.45" customHeight="1" x14ac:dyDescent="0.15">
      <c r="B273" s="546"/>
      <c r="C273" s="1883"/>
      <c r="D273" s="1883"/>
      <c r="E273" s="1883"/>
      <c r="F273" s="1883"/>
      <c r="G273" s="1883"/>
      <c r="H273" s="1883"/>
      <c r="I273" s="1883"/>
      <c r="J273" s="1883"/>
      <c r="K273" s="1883"/>
      <c r="L273" s="1883"/>
      <c r="M273" s="1883"/>
      <c r="N273" s="1883"/>
      <c r="O273" s="1883"/>
      <c r="P273" s="1883"/>
      <c r="Q273" s="1883"/>
      <c r="R273" s="1883"/>
      <c r="X273" s="533"/>
      <c r="Y273" s="533"/>
      <c r="Z273" s="533"/>
      <c r="AA273" s="533"/>
      <c r="AB273" s="533"/>
      <c r="AZ273" s="533"/>
      <c r="BA273" s="533"/>
      <c r="BC273" s="879"/>
      <c r="BD273" s="879"/>
      <c r="BE273" s="879"/>
      <c r="BF273" s="879"/>
      <c r="BG273" s="879"/>
      <c r="BH273" s="879"/>
      <c r="BI273" s="880"/>
      <c r="BJ273" s="817"/>
      <c r="BK273" s="818"/>
      <c r="BL273" s="818"/>
    </row>
    <row r="274" spans="2:64" ht="15" customHeight="1" x14ac:dyDescent="0.15">
      <c r="B274" s="546"/>
      <c r="C274" s="820"/>
      <c r="D274" s="820"/>
      <c r="M274" s="554"/>
      <c r="O274" s="855"/>
      <c r="X274" s="533"/>
      <c r="Y274" s="533"/>
      <c r="Z274" s="533"/>
      <c r="AA274" s="533"/>
      <c r="AB274" s="533"/>
      <c r="AZ274" s="533"/>
      <c r="BA274" s="533"/>
      <c r="BC274" s="879"/>
      <c r="BD274" s="879"/>
      <c r="BE274" s="879"/>
      <c r="BF274" s="879"/>
      <c r="BG274" s="879"/>
      <c r="BH274" s="879"/>
      <c r="BI274" s="880"/>
      <c r="BJ274" s="817"/>
      <c r="BK274" s="818"/>
      <c r="BL274" s="818"/>
    </row>
    <row r="275" spans="2:64" ht="11.25" customHeight="1" x14ac:dyDescent="0.15">
      <c r="B275" s="546"/>
      <c r="C275" s="820"/>
      <c r="D275" s="820"/>
      <c r="M275" s="554"/>
      <c r="O275" s="855"/>
      <c r="X275" s="533"/>
      <c r="Y275" s="533"/>
      <c r="Z275" s="533"/>
      <c r="AA275" s="533"/>
      <c r="AB275" s="533"/>
      <c r="AX275" s="533"/>
      <c r="AY275" s="533"/>
      <c r="AZ275" s="533"/>
      <c r="BA275" s="533"/>
      <c r="BC275" s="879"/>
      <c r="BD275" s="879"/>
      <c r="BE275" s="879"/>
      <c r="BF275" s="879"/>
      <c r="BG275" s="879"/>
      <c r="BH275" s="879"/>
      <c r="BI275" s="880"/>
      <c r="BJ275" s="817"/>
      <c r="BK275" s="818"/>
      <c r="BL275" s="818"/>
    </row>
    <row r="276" spans="2:64" ht="17.45" customHeight="1" x14ac:dyDescent="0.15">
      <c r="B276" s="537" t="s">
        <v>268</v>
      </c>
      <c r="C276" s="857" t="s">
        <v>269</v>
      </c>
      <c r="D276" s="858"/>
      <c r="E276" s="858"/>
      <c r="F276" s="533"/>
      <c r="H276" s="537"/>
      <c r="I276" s="537"/>
      <c r="J276" s="546"/>
      <c r="M276" s="554"/>
      <c r="O276" s="855"/>
      <c r="X276" s="533"/>
      <c r="Y276" s="533"/>
      <c r="Z276" s="533"/>
      <c r="AA276" s="533"/>
      <c r="AB276" s="533"/>
      <c r="AX276" s="533"/>
      <c r="AY276" s="533"/>
      <c r="AZ276" s="533"/>
      <c r="BA276" s="533"/>
      <c r="BC276" s="879"/>
      <c r="BD276" s="879"/>
      <c r="BE276" s="879"/>
      <c r="BF276" s="879"/>
      <c r="BG276" s="879"/>
      <c r="BH276" s="879"/>
      <c r="BI276" s="880"/>
      <c r="BJ276" s="817"/>
      <c r="BK276" s="818"/>
      <c r="BL276" s="818"/>
    </row>
    <row r="277" spans="2:64" ht="17.45" customHeight="1" x14ac:dyDescent="0.15">
      <c r="B277" s="872"/>
      <c r="C277" s="820"/>
      <c r="D277" s="820"/>
      <c r="J277" s="854"/>
      <c r="M277" s="554"/>
      <c r="O277" s="855"/>
      <c r="X277" s="533"/>
      <c r="Y277" s="533"/>
      <c r="Z277" s="533"/>
      <c r="AA277" s="533"/>
      <c r="AB277" s="533"/>
      <c r="AX277" s="533"/>
      <c r="AY277" s="533"/>
      <c r="AZ277" s="533"/>
      <c r="BA277" s="533"/>
      <c r="BC277" s="879"/>
      <c r="BD277" s="879"/>
      <c r="BE277" s="879"/>
      <c r="BF277" s="879"/>
      <c r="BG277" s="879"/>
      <c r="BH277" s="879"/>
      <c r="BI277" s="880"/>
      <c r="BJ277" s="817"/>
      <c r="BK277" s="818"/>
      <c r="BL277" s="818"/>
    </row>
    <row r="278" spans="2:64" ht="17.45" customHeight="1" x14ac:dyDescent="0.15">
      <c r="B278" s="537" t="s">
        <v>175</v>
      </c>
      <c r="C278" s="1882" t="s">
        <v>51</v>
      </c>
      <c r="D278" s="1881"/>
      <c r="E278" s="1881"/>
      <c r="F278" s="1881"/>
      <c r="G278" s="1881"/>
      <c r="H278" s="1881"/>
      <c r="I278" s="1881"/>
      <c r="J278" s="1881"/>
      <c r="K278" s="1881"/>
      <c r="L278" s="1881"/>
      <c r="M278" s="1881"/>
      <c r="N278" s="1881"/>
      <c r="O278" s="1881"/>
      <c r="P278" s="1881"/>
      <c r="Q278" s="1881"/>
      <c r="R278" s="1881"/>
      <c r="X278" s="533"/>
      <c r="Y278" s="533"/>
      <c r="Z278" s="533"/>
      <c r="AA278" s="533"/>
      <c r="AB278" s="533"/>
      <c r="AX278" s="533"/>
      <c r="AY278" s="533"/>
      <c r="AZ278" s="533"/>
      <c r="BA278" s="533"/>
      <c r="BC278" s="879"/>
      <c r="BD278" s="879"/>
      <c r="BE278" s="879"/>
      <c r="BF278" s="879"/>
      <c r="BG278" s="879"/>
      <c r="BH278" s="879"/>
      <c r="BI278" s="880"/>
      <c r="BJ278" s="817"/>
      <c r="BK278" s="818"/>
      <c r="BL278" s="818"/>
    </row>
    <row r="279" spans="2:64" ht="17.45" customHeight="1" x14ac:dyDescent="0.15">
      <c r="C279" s="1881"/>
      <c r="D279" s="1881"/>
      <c r="E279" s="1881"/>
      <c r="F279" s="1881"/>
      <c r="G279" s="1881"/>
      <c r="H279" s="1881"/>
      <c r="I279" s="1881"/>
      <c r="J279" s="1881"/>
      <c r="K279" s="1881"/>
      <c r="L279" s="1881"/>
      <c r="M279" s="1881"/>
      <c r="N279" s="1881"/>
      <c r="O279" s="1881"/>
      <c r="P279" s="1881"/>
      <c r="Q279" s="1881"/>
      <c r="R279" s="1881"/>
      <c r="X279" s="533"/>
      <c r="Y279" s="533"/>
      <c r="Z279" s="533"/>
      <c r="AA279" s="533"/>
      <c r="AB279" s="533"/>
      <c r="AX279" s="533"/>
      <c r="AY279" s="533"/>
      <c r="AZ279" s="533"/>
      <c r="BA279" s="533"/>
      <c r="BC279" s="879"/>
      <c r="BD279" s="879"/>
      <c r="BE279" s="879"/>
      <c r="BF279" s="879"/>
      <c r="BG279" s="879"/>
      <c r="BH279" s="879"/>
      <c r="BI279" s="880"/>
      <c r="BJ279" s="817"/>
      <c r="BK279" s="818"/>
      <c r="BL279" s="818"/>
    </row>
    <row r="280" spans="2:64" ht="17.45" customHeight="1" x14ac:dyDescent="0.15">
      <c r="C280" s="1515"/>
      <c r="D280" s="1515"/>
      <c r="E280" s="1515"/>
      <c r="F280" s="1515"/>
      <c r="G280" s="1515"/>
      <c r="H280" s="1515"/>
      <c r="I280" s="1515"/>
      <c r="J280" s="1515"/>
      <c r="K280" s="1515"/>
      <c r="L280" s="1515"/>
      <c r="M280" s="1515"/>
      <c r="N280" s="1515"/>
      <c r="O280" s="1515"/>
      <c r="P280" s="1515"/>
      <c r="Q280" s="1515"/>
      <c r="R280" s="1515"/>
      <c r="T280" s="533"/>
      <c r="U280" s="533"/>
      <c r="V280" s="533"/>
      <c r="W280" s="533"/>
      <c r="X280" s="533"/>
      <c r="Y280" s="533"/>
      <c r="Z280" s="533"/>
      <c r="AA280" s="533"/>
      <c r="AB280" s="533"/>
      <c r="AX280" s="533"/>
      <c r="AY280" s="533"/>
      <c r="AZ280" s="533"/>
      <c r="BA280" s="533"/>
      <c r="BC280" s="879"/>
      <c r="BD280" s="879"/>
      <c r="BE280" s="879"/>
      <c r="BF280" s="879"/>
      <c r="BG280" s="879"/>
      <c r="BH280" s="879"/>
      <c r="BI280" s="880"/>
      <c r="BJ280" s="817"/>
      <c r="BK280" s="818"/>
      <c r="BL280" s="818"/>
    </row>
    <row r="281" spans="2:64" ht="17.45" customHeight="1" x14ac:dyDescent="0.15">
      <c r="B281" s="537" t="s">
        <v>176</v>
      </c>
      <c r="C281" s="1880" t="s">
        <v>52</v>
      </c>
      <c r="D281" s="1888"/>
      <c r="E281" s="1888"/>
      <c r="F281" s="1888"/>
      <c r="G281" s="1888"/>
      <c r="H281" s="1888"/>
      <c r="I281" s="1888"/>
      <c r="J281" s="1888"/>
      <c r="K281" s="1888"/>
      <c r="L281" s="1888"/>
      <c r="M281" s="1888"/>
      <c r="N281" s="1888"/>
      <c r="O281" s="1888"/>
      <c r="P281" s="1888"/>
      <c r="Q281" s="1888"/>
      <c r="R281" s="1888"/>
      <c r="T281" s="533"/>
      <c r="U281" s="533"/>
      <c r="V281" s="533"/>
      <c r="W281" s="533"/>
      <c r="X281" s="533"/>
      <c r="Y281" s="533"/>
      <c r="Z281" s="533"/>
      <c r="AA281" s="533"/>
      <c r="AB281" s="533"/>
      <c r="AX281" s="533"/>
      <c r="AY281" s="533"/>
      <c r="AZ281" s="533"/>
      <c r="BA281" s="533"/>
      <c r="BC281" s="879"/>
      <c r="BD281" s="879"/>
      <c r="BE281" s="879"/>
      <c r="BF281" s="879"/>
      <c r="BG281" s="879"/>
      <c r="BH281" s="879"/>
      <c r="BI281" s="880"/>
      <c r="BJ281" s="817"/>
      <c r="BK281" s="818"/>
      <c r="BL281" s="818"/>
    </row>
    <row r="282" spans="2:64" ht="17.45" customHeight="1" x14ac:dyDescent="0.15">
      <c r="C282" s="1888"/>
      <c r="D282" s="1888"/>
      <c r="E282" s="1888"/>
      <c r="F282" s="1888"/>
      <c r="G282" s="1888"/>
      <c r="H282" s="1888"/>
      <c r="I282" s="1888"/>
      <c r="J282" s="1888"/>
      <c r="K282" s="1888"/>
      <c r="L282" s="1888"/>
      <c r="M282" s="1888"/>
      <c r="N282" s="1888"/>
      <c r="O282" s="1888"/>
      <c r="P282" s="1888"/>
      <c r="Q282" s="1888"/>
      <c r="R282" s="1888"/>
      <c r="T282" s="533"/>
      <c r="U282" s="533"/>
      <c r="V282" s="533"/>
      <c r="W282" s="533"/>
      <c r="X282" s="533"/>
      <c r="Y282" s="533"/>
      <c r="Z282" s="533"/>
      <c r="AA282" s="533"/>
      <c r="AB282" s="533"/>
      <c r="AX282" s="533"/>
      <c r="AY282" s="533"/>
      <c r="AZ282" s="533"/>
      <c r="BA282" s="533"/>
      <c r="BC282" s="879"/>
      <c r="BD282" s="879"/>
      <c r="BE282" s="879"/>
      <c r="BF282" s="879"/>
      <c r="BG282" s="879"/>
      <c r="BH282" s="879"/>
      <c r="BI282" s="880"/>
      <c r="BJ282" s="817"/>
      <c r="BK282" s="818"/>
      <c r="BL282" s="818"/>
    </row>
    <row r="283" spans="2:64" ht="17.45" customHeight="1" x14ac:dyDescent="0.15">
      <c r="C283" s="1879"/>
      <c r="D283" s="1879"/>
      <c r="E283" s="1879"/>
      <c r="F283" s="1879"/>
      <c r="G283" s="1879"/>
      <c r="H283" s="1879"/>
      <c r="I283" s="1879"/>
      <c r="J283" s="1879"/>
      <c r="K283" s="1879"/>
      <c r="L283" s="1879"/>
      <c r="M283" s="1879"/>
      <c r="N283" s="1879"/>
      <c r="O283" s="1879"/>
      <c r="P283" s="1879"/>
      <c r="Q283" s="1879"/>
      <c r="R283" s="1879"/>
      <c r="T283" s="533"/>
      <c r="U283" s="533"/>
      <c r="V283" s="533"/>
      <c r="W283" s="533"/>
      <c r="X283" s="533"/>
      <c r="Y283" s="533"/>
      <c r="Z283" s="533"/>
      <c r="AA283" s="533"/>
      <c r="AB283" s="533"/>
      <c r="AX283" s="533"/>
      <c r="AY283" s="533"/>
      <c r="AZ283" s="533"/>
      <c r="BA283" s="533"/>
      <c r="BC283" s="879"/>
      <c r="BD283" s="879"/>
      <c r="BE283" s="879"/>
      <c r="BF283" s="879"/>
      <c r="BG283" s="879"/>
      <c r="BH283" s="879"/>
      <c r="BI283" s="880"/>
      <c r="BJ283" s="817"/>
      <c r="BK283" s="818"/>
      <c r="BL283" s="818"/>
    </row>
    <row r="284" spans="2:64" ht="17.45" customHeight="1" x14ac:dyDescent="0.15">
      <c r="C284" s="1881"/>
      <c r="D284" s="1881"/>
      <c r="E284" s="1881"/>
      <c r="F284" s="1881"/>
      <c r="G284" s="1881"/>
      <c r="H284" s="1881"/>
      <c r="I284" s="1881"/>
      <c r="J284" s="1881"/>
      <c r="K284" s="1881"/>
      <c r="L284" s="1881"/>
      <c r="M284" s="1881"/>
      <c r="N284" s="1881"/>
      <c r="O284" s="1881"/>
      <c r="P284" s="1881"/>
      <c r="Q284" s="1881"/>
      <c r="R284" s="1881"/>
      <c r="T284" s="533"/>
      <c r="U284" s="533"/>
      <c r="V284" s="533"/>
      <c r="W284" s="533"/>
      <c r="X284" s="533"/>
      <c r="Y284" s="533"/>
      <c r="Z284" s="533"/>
      <c r="AA284" s="533"/>
      <c r="AB284" s="533"/>
      <c r="AX284" s="533"/>
      <c r="AY284" s="533"/>
      <c r="AZ284" s="533"/>
      <c r="BA284" s="533"/>
      <c r="BC284" s="879"/>
      <c r="BD284" s="879"/>
      <c r="BE284" s="879"/>
      <c r="BF284" s="879"/>
      <c r="BG284" s="879"/>
      <c r="BH284" s="879"/>
      <c r="BI284" s="880"/>
      <c r="BJ284" s="817"/>
      <c r="BK284" s="818"/>
      <c r="BL284" s="818"/>
    </row>
    <row r="285" spans="2:64" ht="17.45" customHeight="1" x14ac:dyDescent="0.15">
      <c r="C285" s="1508"/>
      <c r="D285" s="1508"/>
      <c r="E285" s="1508"/>
      <c r="F285" s="1508"/>
      <c r="G285" s="1508"/>
      <c r="H285" s="1508"/>
      <c r="I285" s="1508"/>
      <c r="J285" s="1508"/>
      <c r="K285" s="1508"/>
      <c r="L285" s="1508"/>
      <c r="M285" s="1508"/>
      <c r="N285" s="1508"/>
      <c r="O285" s="1508"/>
      <c r="P285" s="1508"/>
      <c r="Q285" s="1508"/>
      <c r="R285" s="1508"/>
      <c r="T285" s="533"/>
      <c r="U285" s="533"/>
      <c r="V285" s="533"/>
      <c r="W285" s="533"/>
      <c r="X285" s="533"/>
      <c r="Y285" s="533"/>
      <c r="Z285" s="533"/>
      <c r="AA285" s="533"/>
      <c r="AB285" s="533"/>
      <c r="AX285" s="533"/>
      <c r="AY285" s="533"/>
      <c r="AZ285" s="533"/>
      <c r="BA285" s="533"/>
      <c r="BC285" s="879"/>
      <c r="BD285" s="879"/>
      <c r="BE285" s="879"/>
      <c r="BF285" s="879"/>
      <c r="BG285" s="879"/>
      <c r="BH285" s="879"/>
      <c r="BI285" s="880"/>
      <c r="BJ285" s="817"/>
      <c r="BK285" s="818"/>
      <c r="BL285" s="818"/>
    </row>
    <row r="286" spans="2:64" ht="17.45" customHeight="1" x14ac:dyDescent="0.15">
      <c r="B286" s="537" t="s">
        <v>177</v>
      </c>
      <c r="C286" s="1880" t="s">
        <v>56</v>
      </c>
      <c r="D286" s="1879"/>
      <c r="E286" s="1879"/>
      <c r="F286" s="1879"/>
      <c r="G286" s="1879"/>
      <c r="H286" s="1879"/>
      <c r="I286" s="1879"/>
      <c r="J286" s="1879"/>
      <c r="K286" s="1879"/>
      <c r="L286" s="1879"/>
      <c r="M286" s="1879"/>
      <c r="N286" s="1879"/>
      <c r="O286" s="1879"/>
      <c r="P286" s="1879"/>
      <c r="Q286" s="1879"/>
      <c r="R286" s="1879"/>
      <c r="T286" s="533"/>
      <c r="U286" s="533"/>
      <c r="V286" s="533"/>
      <c r="W286" s="533"/>
      <c r="X286" s="533"/>
      <c r="Y286" s="533"/>
      <c r="Z286" s="533"/>
      <c r="AA286" s="533"/>
      <c r="AB286" s="533"/>
      <c r="AX286" s="533"/>
      <c r="AY286" s="533"/>
      <c r="AZ286" s="533"/>
      <c r="BA286" s="533"/>
      <c r="BC286" s="879"/>
      <c r="BD286" s="879"/>
      <c r="BE286" s="879"/>
      <c r="BF286" s="879"/>
      <c r="BG286" s="879"/>
      <c r="BH286" s="879"/>
      <c r="BI286" s="880"/>
      <c r="BJ286" s="817"/>
      <c r="BK286" s="818"/>
      <c r="BL286" s="818"/>
    </row>
    <row r="287" spans="2:64" ht="17.45" customHeight="1" x14ac:dyDescent="0.15">
      <c r="C287" s="1879"/>
      <c r="D287" s="1879"/>
      <c r="E287" s="1879"/>
      <c r="F287" s="1879"/>
      <c r="G287" s="1879"/>
      <c r="H287" s="1879"/>
      <c r="I287" s="1879"/>
      <c r="J287" s="1879"/>
      <c r="K287" s="1879"/>
      <c r="L287" s="1879"/>
      <c r="M287" s="1879"/>
      <c r="N287" s="1879"/>
      <c r="O287" s="1879"/>
      <c r="P287" s="1879"/>
      <c r="Q287" s="1879"/>
      <c r="R287" s="1879"/>
      <c r="S287" s="841"/>
      <c r="T287" s="533"/>
      <c r="U287" s="533"/>
      <c r="V287" s="533"/>
      <c r="W287" s="533"/>
      <c r="X287" s="533"/>
      <c r="Y287" s="533"/>
      <c r="Z287" s="533"/>
      <c r="AA287" s="533"/>
      <c r="AB287" s="533"/>
      <c r="AX287" s="533"/>
      <c r="AY287" s="533"/>
      <c r="AZ287" s="533"/>
      <c r="BA287" s="533"/>
      <c r="BC287" s="879"/>
      <c r="BD287" s="879"/>
      <c r="BE287" s="879"/>
      <c r="BF287" s="879"/>
      <c r="BG287" s="879"/>
      <c r="BH287" s="879"/>
      <c r="BI287" s="880"/>
      <c r="BJ287" s="817"/>
      <c r="BK287" s="818"/>
      <c r="BL287" s="818"/>
    </row>
    <row r="288" spans="2:64" ht="17.45" customHeight="1" x14ac:dyDescent="0.15">
      <c r="N288" s="825"/>
      <c r="O288" s="554"/>
      <c r="S288" s="533"/>
      <c r="T288" s="533"/>
      <c r="U288" s="533"/>
      <c r="V288" s="533"/>
      <c r="W288" s="533"/>
      <c r="X288" s="533"/>
      <c r="Y288" s="533"/>
      <c r="Z288" s="533"/>
      <c r="AA288" s="533"/>
      <c r="AB288" s="533"/>
      <c r="AX288" s="533"/>
      <c r="AY288" s="533"/>
      <c r="AZ288" s="533"/>
      <c r="BA288" s="533"/>
      <c r="BC288" s="879"/>
      <c r="BD288" s="879"/>
      <c r="BE288" s="879"/>
      <c r="BF288" s="879"/>
      <c r="BG288" s="879"/>
      <c r="BH288" s="879"/>
      <c r="BI288" s="880"/>
      <c r="BJ288" s="817"/>
      <c r="BK288" s="818"/>
      <c r="BL288" s="818"/>
    </row>
    <row r="289" spans="2:64" ht="17.45" customHeight="1" x14ac:dyDescent="0.15">
      <c r="B289" s="537" t="s">
        <v>178</v>
      </c>
      <c r="C289" s="1882" t="s">
        <v>265</v>
      </c>
      <c r="D289" s="1881"/>
      <c r="E289" s="1881"/>
      <c r="F289" s="1881"/>
      <c r="G289" s="1881"/>
      <c r="H289" s="1881"/>
      <c r="I289" s="1881"/>
      <c r="J289" s="1881"/>
      <c r="K289" s="1881"/>
      <c r="L289" s="1881"/>
      <c r="M289" s="1881"/>
      <c r="N289" s="1881"/>
      <c r="O289" s="1881"/>
      <c r="P289" s="1881"/>
      <c r="Q289" s="1881"/>
      <c r="R289" s="1881"/>
      <c r="S289" s="533"/>
      <c r="T289" s="533"/>
      <c r="U289" s="533"/>
      <c r="V289" s="533"/>
      <c r="W289" s="533"/>
      <c r="X289" s="533"/>
      <c r="Y289" s="533"/>
      <c r="Z289" s="533"/>
      <c r="AA289" s="533"/>
      <c r="AB289" s="533"/>
      <c r="AX289" s="533"/>
      <c r="AY289" s="533"/>
      <c r="AZ289" s="533"/>
      <c r="BA289" s="533"/>
      <c r="BC289" s="879"/>
      <c r="BD289" s="879"/>
      <c r="BE289" s="879"/>
      <c r="BF289" s="879"/>
      <c r="BG289" s="879"/>
      <c r="BH289" s="879"/>
      <c r="BI289" s="880"/>
      <c r="BJ289" s="817"/>
      <c r="BK289" s="818"/>
      <c r="BL289" s="818"/>
    </row>
    <row r="290" spans="2:64" ht="17.45" customHeight="1" x14ac:dyDescent="0.15">
      <c r="C290" s="1881"/>
      <c r="D290" s="1881"/>
      <c r="E290" s="1881"/>
      <c r="F290" s="1881"/>
      <c r="G290" s="1881"/>
      <c r="H290" s="1881"/>
      <c r="I290" s="1881"/>
      <c r="J290" s="1881"/>
      <c r="K290" s="1881"/>
      <c r="L290" s="1881"/>
      <c r="M290" s="1881"/>
      <c r="N290" s="1881"/>
      <c r="O290" s="1881"/>
      <c r="P290" s="1881"/>
      <c r="Q290" s="1881"/>
      <c r="R290" s="1881"/>
      <c r="S290" s="533"/>
      <c r="T290" s="533"/>
      <c r="U290" s="533"/>
      <c r="V290" s="533"/>
      <c r="W290" s="533"/>
      <c r="X290" s="533"/>
      <c r="Y290" s="533"/>
      <c r="Z290" s="533"/>
      <c r="AA290" s="533"/>
      <c r="AB290" s="533"/>
      <c r="AX290" s="533"/>
      <c r="AY290" s="533"/>
      <c r="AZ290" s="533"/>
      <c r="BA290" s="533"/>
      <c r="BC290" s="879"/>
      <c r="BD290" s="879"/>
      <c r="BE290" s="879"/>
      <c r="BF290" s="879"/>
      <c r="BG290" s="879"/>
      <c r="BH290" s="879"/>
      <c r="BI290" s="880"/>
      <c r="BJ290" s="817"/>
      <c r="BK290" s="818"/>
      <c r="BL290" s="818"/>
    </row>
    <row r="291" spans="2:64" ht="17.45" customHeight="1" x14ac:dyDescent="0.15">
      <c r="C291" s="1515"/>
      <c r="D291" s="1515"/>
      <c r="E291" s="1515"/>
      <c r="F291" s="1515"/>
      <c r="G291" s="1515"/>
      <c r="H291" s="1515"/>
      <c r="I291" s="1515"/>
      <c r="J291" s="1515"/>
      <c r="K291" s="1515"/>
      <c r="L291" s="1515"/>
      <c r="M291" s="1515"/>
      <c r="N291" s="1515"/>
      <c r="O291" s="1515"/>
      <c r="P291" s="1515"/>
      <c r="Q291" s="1515"/>
      <c r="R291" s="1515"/>
      <c r="S291" s="533"/>
      <c r="T291" s="533"/>
      <c r="U291" s="533"/>
      <c r="V291" s="533"/>
      <c r="W291" s="533"/>
      <c r="X291" s="533"/>
      <c r="Y291" s="533"/>
      <c r="Z291" s="533"/>
      <c r="AA291" s="533"/>
      <c r="AB291" s="533"/>
      <c r="AX291" s="533"/>
      <c r="AY291" s="533"/>
      <c r="AZ291" s="533"/>
      <c r="BA291" s="533"/>
      <c r="BC291" s="879"/>
      <c r="BD291" s="879"/>
      <c r="BE291" s="879"/>
      <c r="BF291" s="879"/>
      <c r="BG291" s="879"/>
      <c r="BH291" s="879"/>
      <c r="BI291" s="880"/>
      <c r="BJ291" s="817"/>
      <c r="BK291" s="818"/>
      <c r="BL291" s="818"/>
    </row>
    <row r="292" spans="2:64" ht="17.45" customHeight="1" x14ac:dyDescent="0.15">
      <c r="B292" s="537" t="s">
        <v>181</v>
      </c>
      <c r="C292" s="1880" t="s">
        <v>57</v>
      </c>
      <c r="D292" s="1879"/>
      <c r="E292" s="1879"/>
      <c r="F292" s="1879"/>
      <c r="G292" s="1879"/>
      <c r="H292" s="1879"/>
      <c r="I292" s="1879"/>
      <c r="J292" s="1879"/>
      <c r="K292" s="1879"/>
      <c r="L292" s="1879"/>
      <c r="M292" s="1879"/>
      <c r="N292" s="1879"/>
      <c r="O292" s="1879"/>
      <c r="P292" s="1879"/>
      <c r="Q292" s="1879"/>
      <c r="R292" s="1879"/>
      <c r="S292" s="533"/>
      <c r="T292" s="533"/>
      <c r="U292" s="533"/>
      <c r="V292" s="533"/>
      <c r="W292" s="533"/>
      <c r="X292" s="533"/>
      <c r="Y292" s="533"/>
      <c r="Z292" s="533"/>
      <c r="AA292" s="533"/>
      <c r="AB292" s="533"/>
      <c r="AX292" s="533"/>
      <c r="AY292" s="533"/>
      <c r="AZ292" s="533"/>
      <c r="BA292" s="533"/>
      <c r="BC292" s="879"/>
      <c r="BD292" s="879"/>
      <c r="BE292" s="879"/>
      <c r="BF292" s="879"/>
      <c r="BG292" s="879"/>
      <c r="BH292" s="879"/>
      <c r="BI292" s="880"/>
      <c r="BJ292" s="817"/>
      <c r="BK292" s="818"/>
      <c r="BL292" s="818"/>
    </row>
    <row r="293" spans="2:64" ht="17.45" customHeight="1" x14ac:dyDescent="0.15">
      <c r="C293" s="1879"/>
      <c r="D293" s="1879"/>
      <c r="E293" s="1879"/>
      <c r="F293" s="1879"/>
      <c r="G293" s="1879"/>
      <c r="H293" s="1879"/>
      <c r="I293" s="1879"/>
      <c r="J293" s="1879"/>
      <c r="K293" s="1879"/>
      <c r="L293" s="1879"/>
      <c r="M293" s="1879"/>
      <c r="N293" s="1879"/>
      <c r="O293" s="1879"/>
      <c r="P293" s="1879"/>
      <c r="Q293" s="1879"/>
      <c r="R293" s="1879"/>
      <c r="S293" s="533"/>
      <c r="T293" s="533"/>
      <c r="U293" s="533"/>
      <c r="V293" s="533"/>
      <c r="W293" s="533"/>
      <c r="X293" s="533"/>
      <c r="Y293" s="533"/>
      <c r="Z293" s="533"/>
      <c r="AA293" s="533"/>
      <c r="AB293" s="533"/>
      <c r="AX293" s="533"/>
      <c r="AY293" s="533"/>
      <c r="AZ293" s="533"/>
      <c r="BA293" s="533"/>
      <c r="BC293" s="879"/>
      <c r="BD293" s="879"/>
      <c r="BE293" s="879"/>
      <c r="BF293" s="879"/>
      <c r="BG293" s="879"/>
      <c r="BH293" s="879"/>
      <c r="BI293" s="880"/>
      <c r="BJ293" s="817"/>
      <c r="BK293" s="818"/>
      <c r="BL293" s="818"/>
    </row>
    <row r="294" spans="2:64" ht="17.45" customHeight="1" x14ac:dyDescent="0.15">
      <c r="C294" s="1879"/>
      <c r="D294" s="1879"/>
      <c r="E294" s="1879"/>
      <c r="F294" s="1879"/>
      <c r="G294" s="1879"/>
      <c r="H294" s="1879"/>
      <c r="I294" s="1879"/>
      <c r="J294" s="1879"/>
      <c r="K294" s="1879"/>
      <c r="L294" s="1879"/>
      <c r="M294" s="1879"/>
      <c r="N294" s="1879"/>
      <c r="O294" s="1879"/>
      <c r="P294" s="1879"/>
      <c r="Q294" s="1879"/>
      <c r="R294" s="1879"/>
      <c r="S294" s="533"/>
      <c r="T294" s="533"/>
      <c r="U294" s="533"/>
      <c r="V294" s="533"/>
      <c r="W294" s="533"/>
      <c r="X294" s="533"/>
      <c r="Y294" s="533"/>
      <c r="Z294" s="533"/>
      <c r="AA294" s="533"/>
      <c r="AB294" s="533"/>
      <c r="AX294" s="533"/>
      <c r="AY294" s="533"/>
      <c r="AZ294" s="533"/>
      <c r="BA294" s="533"/>
      <c r="BC294" s="879"/>
      <c r="BD294" s="879"/>
      <c r="BE294" s="879"/>
      <c r="BF294" s="879"/>
      <c r="BG294" s="879"/>
      <c r="BH294" s="879"/>
      <c r="BI294" s="880"/>
      <c r="BJ294" s="817"/>
      <c r="BK294" s="818"/>
      <c r="BL294" s="818"/>
    </row>
    <row r="295" spans="2:64" ht="17.45" customHeight="1" x14ac:dyDescent="0.15">
      <c r="C295" s="1881"/>
      <c r="D295" s="1881"/>
      <c r="E295" s="1881"/>
      <c r="F295" s="1881"/>
      <c r="G295" s="1881"/>
      <c r="H295" s="1881"/>
      <c r="I295" s="1881"/>
      <c r="J295" s="1881"/>
      <c r="K295" s="1881"/>
      <c r="L295" s="1881"/>
      <c r="M295" s="1881"/>
      <c r="N295" s="1881"/>
      <c r="O295" s="1881"/>
      <c r="P295" s="1881"/>
      <c r="Q295" s="1881"/>
      <c r="R295" s="1881"/>
      <c r="S295" s="533"/>
      <c r="T295" s="533"/>
      <c r="U295" s="533"/>
      <c r="V295" s="533"/>
      <c r="W295" s="533"/>
      <c r="X295" s="533"/>
      <c r="Y295" s="533"/>
      <c r="Z295" s="533"/>
      <c r="AA295" s="533"/>
      <c r="AB295" s="533"/>
      <c r="AX295" s="533"/>
      <c r="AY295" s="533"/>
      <c r="AZ295" s="533"/>
      <c r="BA295" s="533"/>
      <c r="BC295" s="879"/>
      <c r="BD295" s="879"/>
      <c r="BE295" s="879"/>
      <c r="BF295" s="879"/>
      <c r="BG295" s="879"/>
      <c r="BH295" s="879"/>
      <c r="BI295" s="880"/>
      <c r="BJ295" s="817"/>
      <c r="BK295" s="818"/>
      <c r="BL295" s="818"/>
    </row>
    <row r="296" spans="2:64" ht="17.45" customHeight="1" x14ac:dyDescent="0.15">
      <c r="C296" s="1515"/>
      <c r="D296" s="1515"/>
      <c r="E296" s="1515"/>
      <c r="F296" s="1515"/>
      <c r="G296" s="1515"/>
      <c r="H296" s="1515"/>
      <c r="I296" s="1515"/>
      <c r="J296" s="1515"/>
      <c r="K296" s="1515"/>
      <c r="L296" s="1515"/>
      <c r="M296" s="1515"/>
      <c r="N296" s="1515"/>
      <c r="O296" s="1515"/>
      <c r="P296" s="1515"/>
      <c r="Q296" s="1515"/>
      <c r="R296" s="1515"/>
      <c r="S296" s="533"/>
      <c r="T296" s="533"/>
      <c r="U296" s="533"/>
      <c r="V296" s="533"/>
      <c r="W296" s="533"/>
      <c r="X296" s="533"/>
      <c r="Y296" s="533"/>
      <c r="Z296" s="533"/>
      <c r="AA296" s="533"/>
      <c r="AB296" s="533"/>
      <c r="AX296" s="533"/>
      <c r="AY296" s="533"/>
      <c r="AZ296" s="533"/>
      <c r="BA296" s="533"/>
      <c r="BC296" s="879"/>
      <c r="BD296" s="879"/>
      <c r="BE296" s="879"/>
      <c r="BF296" s="879"/>
      <c r="BG296" s="879"/>
      <c r="BH296" s="879"/>
      <c r="BI296" s="880"/>
      <c r="BJ296" s="817"/>
      <c r="BK296" s="818"/>
      <c r="BL296" s="818"/>
    </row>
    <row r="297" spans="2:64" ht="17.45" customHeight="1" x14ac:dyDescent="0.15">
      <c r="B297" s="537" t="s">
        <v>179</v>
      </c>
      <c r="C297" s="1884" t="s">
        <v>58</v>
      </c>
      <c r="D297" s="1889"/>
      <c r="E297" s="1889"/>
      <c r="F297" s="1889"/>
      <c r="G297" s="1889"/>
      <c r="H297" s="1889"/>
      <c r="I297" s="1889"/>
      <c r="J297" s="1889"/>
      <c r="K297" s="1889"/>
      <c r="L297" s="1889"/>
      <c r="M297" s="1889"/>
      <c r="N297" s="1889"/>
      <c r="O297" s="1889"/>
      <c r="P297" s="1889"/>
      <c r="Q297" s="1889"/>
      <c r="R297" s="1889"/>
      <c r="S297" s="533"/>
      <c r="T297" s="533"/>
      <c r="U297" s="533"/>
      <c r="V297" s="533"/>
      <c r="W297" s="533"/>
      <c r="X297" s="533"/>
      <c r="Y297" s="533"/>
      <c r="Z297" s="533"/>
      <c r="AA297" s="533"/>
      <c r="AB297" s="533"/>
      <c r="AX297" s="533"/>
      <c r="AY297" s="533"/>
      <c r="AZ297" s="533"/>
      <c r="BA297" s="533"/>
      <c r="BC297" s="879"/>
      <c r="BD297" s="879"/>
      <c r="BE297" s="879"/>
      <c r="BF297" s="879"/>
      <c r="BG297" s="879"/>
      <c r="BH297" s="879"/>
      <c r="BI297" s="880"/>
      <c r="BJ297" s="817"/>
      <c r="BK297" s="818"/>
      <c r="BL297" s="818"/>
    </row>
    <row r="298" spans="2:64" ht="17.45" customHeight="1" x14ac:dyDescent="0.15">
      <c r="C298" s="1889"/>
      <c r="D298" s="1889"/>
      <c r="E298" s="1889"/>
      <c r="F298" s="1889"/>
      <c r="G298" s="1889"/>
      <c r="H298" s="1889"/>
      <c r="I298" s="1889"/>
      <c r="J298" s="1889"/>
      <c r="K298" s="1889"/>
      <c r="L298" s="1889"/>
      <c r="M298" s="1889"/>
      <c r="N298" s="1889"/>
      <c r="O298" s="1889"/>
      <c r="P298" s="1889"/>
      <c r="Q298" s="1889"/>
      <c r="R298" s="1889"/>
      <c r="S298" s="533"/>
      <c r="T298" s="533"/>
      <c r="U298" s="533"/>
      <c r="V298" s="533"/>
      <c r="W298" s="533"/>
      <c r="X298" s="533"/>
      <c r="Y298" s="533"/>
      <c r="Z298" s="533"/>
      <c r="AA298" s="533"/>
      <c r="AB298" s="533"/>
      <c r="AX298" s="533"/>
      <c r="AY298" s="533"/>
      <c r="AZ298" s="533"/>
      <c r="BA298" s="533"/>
      <c r="BC298" s="879"/>
      <c r="BD298" s="879"/>
      <c r="BE298" s="879"/>
      <c r="BF298" s="879"/>
      <c r="BG298" s="879"/>
      <c r="BH298" s="879"/>
      <c r="BI298" s="880"/>
      <c r="BJ298" s="817"/>
      <c r="BK298" s="818"/>
      <c r="BL298" s="818"/>
    </row>
    <row r="299" spans="2:64" ht="17.45" customHeight="1" x14ac:dyDescent="0.15">
      <c r="C299" s="1889"/>
      <c r="D299" s="1889"/>
      <c r="E299" s="1889"/>
      <c r="F299" s="1889"/>
      <c r="G299" s="1889"/>
      <c r="H299" s="1889"/>
      <c r="I299" s="1889"/>
      <c r="J299" s="1889"/>
      <c r="K299" s="1889"/>
      <c r="L299" s="1889"/>
      <c r="M299" s="1889"/>
      <c r="N299" s="1889"/>
      <c r="O299" s="1889"/>
      <c r="P299" s="1889"/>
      <c r="Q299" s="1889"/>
      <c r="R299" s="1889"/>
      <c r="S299" s="533"/>
      <c r="AX299" s="533"/>
      <c r="AY299" s="533"/>
      <c r="BC299" s="879"/>
      <c r="BD299" s="879"/>
      <c r="BE299" s="879"/>
      <c r="BF299" s="879"/>
      <c r="BG299" s="879"/>
      <c r="BH299" s="879"/>
      <c r="BI299" s="880"/>
      <c r="BJ299" s="817"/>
      <c r="BK299" s="818"/>
      <c r="BL299" s="818"/>
    </row>
    <row r="300" spans="2:64" ht="17.45" customHeight="1" x14ac:dyDescent="0.15">
      <c r="C300" s="1508"/>
      <c r="D300" s="1508"/>
      <c r="E300" s="1508"/>
      <c r="F300" s="1508"/>
      <c r="G300" s="1508"/>
      <c r="H300" s="1508"/>
      <c r="I300" s="1508"/>
      <c r="J300" s="1508"/>
      <c r="K300" s="1508"/>
      <c r="L300" s="1508"/>
      <c r="M300" s="1508"/>
      <c r="N300" s="1508"/>
      <c r="O300" s="1508"/>
      <c r="P300" s="1508"/>
      <c r="Q300" s="1508"/>
      <c r="R300" s="1508"/>
      <c r="S300" s="533"/>
      <c r="AX300" s="533"/>
      <c r="AY300" s="533"/>
      <c r="BC300" s="879"/>
      <c r="BD300" s="879"/>
      <c r="BE300" s="879"/>
      <c r="BF300" s="879"/>
      <c r="BG300" s="879"/>
      <c r="BH300" s="879"/>
      <c r="BI300" s="880"/>
      <c r="BJ300" s="817"/>
      <c r="BK300" s="818"/>
      <c r="BL300" s="818"/>
    </row>
    <row r="301" spans="2:64" ht="17.45" customHeight="1" x14ac:dyDescent="0.15">
      <c r="B301" s="537" t="s">
        <v>180</v>
      </c>
      <c r="C301" s="1890" t="s">
        <v>59</v>
      </c>
      <c r="D301" s="1879"/>
      <c r="E301" s="1879"/>
      <c r="F301" s="1879"/>
      <c r="G301" s="1879"/>
      <c r="H301" s="1879"/>
      <c r="I301" s="1879"/>
      <c r="J301" s="1879"/>
      <c r="K301" s="1879"/>
      <c r="L301" s="1879"/>
      <c r="M301" s="1879"/>
      <c r="N301" s="1879"/>
      <c r="O301" s="1879"/>
      <c r="P301" s="1879"/>
      <c r="Q301" s="1879"/>
      <c r="R301" s="1879"/>
      <c r="S301" s="533"/>
      <c r="AX301" s="533"/>
      <c r="AY301" s="533"/>
      <c r="BC301" s="879"/>
      <c r="BD301" s="879"/>
      <c r="BE301" s="879"/>
      <c r="BF301" s="879"/>
      <c r="BG301" s="879"/>
      <c r="BH301" s="879"/>
      <c r="BI301" s="880"/>
      <c r="BJ301" s="817"/>
      <c r="BK301" s="818"/>
      <c r="BL301" s="818"/>
    </row>
    <row r="302" spans="2:64" ht="17.45" customHeight="1" x14ac:dyDescent="0.15">
      <c r="C302" s="1879"/>
      <c r="D302" s="1879"/>
      <c r="E302" s="1879"/>
      <c r="F302" s="1879"/>
      <c r="G302" s="1879"/>
      <c r="H302" s="1879"/>
      <c r="I302" s="1879"/>
      <c r="J302" s="1879"/>
      <c r="K302" s="1879"/>
      <c r="L302" s="1879"/>
      <c r="M302" s="1879"/>
      <c r="N302" s="1879"/>
      <c r="O302" s="1879"/>
      <c r="P302" s="1879"/>
      <c r="Q302" s="1879"/>
      <c r="R302" s="1879"/>
      <c r="S302" s="533"/>
      <c r="AX302" s="533"/>
      <c r="AY302" s="533"/>
      <c r="BC302" s="879"/>
      <c r="BD302" s="879"/>
      <c r="BE302" s="879"/>
      <c r="BF302" s="879"/>
      <c r="BG302" s="879"/>
      <c r="BH302" s="879"/>
      <c r="BI302" s="880"/>
      <c r="BJ302" s="817"/>
      <c r="BK302" s="818"/>
      <c r="BL302" s="818"/>
    </row>
    <row r="303" spans="2:64" ht="17.45" customHeight="1" x14ac:dyDescent="0.15">
      <c r="C303" s="1879"/>
      <c r="D303" s="1879"/>
      <c r="E303" s="1879"/>
      <c r="F303" s="1879"/>
      <c r="G303" s="1879"/>
      <c r="H303" s="1879"/>
      <c r="I303" s="1879"/>
      <c r="J303" s="1879"/>
      <c r="K303" s="1879"/>
      <c r="L303" s="1879"/>
      <c r="M303" s="1879"/>
      <c r="N303" s="1879"/>
      <c r="O303" s="1879"/>
      <c r="P303" s="1879"/>
      <c r="Q303" s="1879"/>
      <c r="R303" s="1879"/>
      <c r="S303" s="533"/>
      <c r="AX303" s="533"/>
      <c r="AY303" s="533"/>
      <c r="BC303" s="879"/>
      <c r="BD303" s="879"/>
      <c r="BE303" s="879"/>
      <c r="BF303" s="879"/>
      <c r="BG303" s="879"/>
      <c r="BH303" s="879"/>
      <c r="BI303" s="880"/>
      <c r="BJ303" s="817"/>
      <c r="BK303" s="818"/>
      <c r="BL303" s="818"/>
    </row>
    <row r="304" spans="2:64" ht="17.45" customHeight="1" x14ac:dyDescent="0.15">
      <c r="C304" s="881"/>
      <c r="D304" s="832"/>
      <c r="E304" s="828"/>
      <c r="F304" s="533"/>
      <c r="J304" s="1516"/>
      <c r="N304" s="841"/>
      <c r="O304" s="554"/>
      <c r="P304" s="537"/>
      <c r="S304" s="533"/>
      <c r="AX304" s="533"/>
      <c r="AY304" s="533"/>
      <c r="BC304" s="879"/>
      <c r="BD304" s="879"/>
      <c r="BE304" s="879"/>
      <c r="BF304" s="879"/>
      <c r="BG304" s="879"/>
      <c r="BH304" s="879"/>
      <c r="BI304" s="880"/>
      <c r="BJ304" s="817"/>
      <c r="BK304" s="818"/>
      <c r="BL304" s="818"/>
    </row>
    <row r="305" spans="2:64" ht="17.45" customHeight="1" x14ac:dyDescent="0.15">
      <c r="B305" s="537" t="s">
        <v>182</v>
      </c>
      <c r="C305" s="1878" t="s">
        <v>60</v>
      </c>
      <c r="D305" s="1879"/>
      <c r="E305" s="1879"/>
      <c r="F305" s="1879"/>
      <c r="G305" s="1879"/>
      <c r="H305" s="1879"/>
      <c r="I305" s="1879"/>
      <c r="J305" s="1879"/>
      <c r="K305" s="1879"/>
      <c r="L305" s="1879"/>
      <c r="M305" s="1879"/>
      <c r="N305" s="1879"/>
      <c r="O305" s="1879"/>
      <c r="P305" s="1879"/>
      <c r="Q305" s="1879"/>
      <c r="R305" s="1879"/>
      <c r="S305" s="533"/>
      <c r="BC305" s="879"/>
      <c r="BD305" s="879"/>
      <c r="BE305" s="879"/>
      <c r="BF305" s="879"/>
      <c r="BG305" s="879"/>
      <c r="BH305" s="879"/>
      <c r="BI305" s="880"/>
      <c r="BJ305" s="817"/>
      <c r="BK305" s="818"/>
      <c r="BL305" s="818"/>
    </row>
    <row r="306" spans="2:64" ht="17.45" customHeight="1" x14ac:dyDescent="0.15">
      <c r="C306" s="1879"/>
      <c r="D306" s="1879"/>
      <c r="E306" s="1879"/>
      <c r="F306" s="1879"/>
      <c r="G306" s="1879"/>
      <c r="H306" s="1879"/>
      <c r="I306" s="1879"/>
      <c r="J306" s="1879"/>
      <c r="K306" s="1879"/>
      <c r="L306" s="1879"/>
      <c r="M306" s="1879"/>
      <c r="N306" s="1879"/>
      <c r="O306" s="1879"/>
      <c r="P306" s="1879"/>
      <c r="Q306" s="1879"/>
      <c r="R306" s="1879"/>
      <c r="S306" s="533"/>
      <c r="BC306" s="879"/>
      <c r="BD306" s="879"/>
      <c r="BE306" s="879"/>
      <c r="BF306" s="879"/>
      <c r="BG306" s="879"/>
      <c r="BH306" s="879"/>
      <c r="BI306" s="880"/>
      <c r="BJ306" s="817"/>
      <c r="BK306" s="818"/>
      <c r="BL306" s="818"/>
    </row>
    <row r="307" spans="2:64" ht="17.45" customHeight="1" x14ac:dyDescent="0.15">
      <c r="C307" s="834"/>
      <c r="D307" s="832"/>
      <c r="E307" s="828"/>
      <c r="F307" s="533"/>
      <c r="J307" s="1516"/>
      <c r="O307" s="554"/>
      <c r="P307" s="537"/>
      <c r="Q307" s="835"/>
      <c r="R307" s="833"/>
      <c r="BC307" s="879"/>
      <c r="BD307" s="879"/>
      <c r="BE307" s="879"/>
      <c r="BF307" s="879"/>
      <c r="BG307" s="879"/>
      <c r="BH307" s="879"/>
      <c r="BI307" s="880"/>
      <c r="BJ307" s="817"/>
      <c r="BK307" s="818"/>
      <c r="BL307" s="818"/>
    </row>
    <row r="308" spans="2:64" ht="17.45" customHeight="1" x14ac:dyDescent="0.15">
      <c r="B308" s="537" t="s">
        <v>183</v>
      </c>
      <c r="C308" s="1878" t="s">
        <v>61</v>
      </c>
      <c r="D308" s="1879"/>
      <c r="E308" s="1879"/>
      <c r="F308" s="1879"/>
      <c r="G308" s="1879"/>
      <c r="H308" s="1879"/>
      <c r="I308" s="1879"/>
      <c r="J308" s="1879"/>
      <c r="K308" s="1879"/>
      <c r="L308" s="1879"/>
      <c r="M308" s="1879"/>
      <c r="N308" s="1879"/>
      <c r="O308" s="1879"/>
      <c r="P308" s="1879"/>
      <c r="Q308" s="1879"/>
      <c r="R308" s="1879"/>
      <c r="BB308" s="537"/>
      <c r="BC308" s="879"/>
      <c r="BD308" s="879"/>
      <c r="BE308" s="879"/>
      <c r="BF308" s="841"/>
      <c r="BG308" s="841"/>
      <c r="BH308" s="841"/>
      <c r="BI308" s="880"/>
      <c r="BJ308" s="817"/>
      <c r="BK308" s="818"/>
      <c r="BL308" s="818"/>
    </row>
    <row r="309" spans="2:64" ht="17.45" customHeight="1" x14ac:dyDescent="0.15">
      <c r="C309" s="1879"/>
      <c r="D309" s="1879"/>
      <c r="E309" s="1879"/>
      <c r="F309" s="1879"/>
      <c r="G309" s="1879"/>
      <c r="H309" s="1879"/>
      <c r="I309" s="1879"/>
      <c r="J309" s="1879"/>
      <c r="K309" s="1879"/>
      <c r="L309" s="1879"/>
      <c r="M309" s="1879"/>
      <c r="N309" s="1879"/>
      <c r="O309" s="1879"/>
      <c r="P309" s="1879"/>
      <c r="Q309" s="1879"/>
      <c r="R309" s="1879"/>
      <c r="W309" s="868"/>
      <c r="Z309" s="870"/>
      <c r="BB309" s="537"/>
      <c r="BC309" s="879"/>
      <c r="BD309" s="879"/>
      <c r="BE309" s="879"/>
      <c r="BF309" s="841"/>
      <c r="BG309" s="841"/>
      <c r="BH309" s="841"/>
      <c r="BI309" s="880"/>
      <c r="BJ309" s="817"/>
      <c r="BK309" s="818"/>
      <c r="BL309" s="818"/>
    </row>
    <row r="310" spans="2:64" ht="17.45" customHeight="1" x14ac:dyDescent="0.15">
      <c r="C310" s="1881"/>
      <c r="D310" s="1881"/>
      <c r="E310" s="1881"/>
      <c r="F310" s="1881"/>
      <c r="G310" s="1881"/>
      <c r="H310" s="1881"/>
      <c r="I310" s="1881"/>
      <c r="J310" s="1881"/>
      <c r="K310" s="1881"/>
      <c r="L310" s="1881"/>
      <c r="M310" s="1881"/>
      <c r="N310" s="1881"/>
      <c r="O310" s="1881"/>
      <c r="P310" s="1881"/>
      <c r="Q310" s="1881"/>
      <c r="R310" s="1881"/>
      <c r="W310" s="868"/>
      <c r="Z310" s="870"/>
      <c r="BB310" s="537"/>
      <c r="BC310" s="879"/>
      <c r="BD310" s="879"/>
      <c r="BE310" s="879"/>
      <c r="BF310" s="841"/>
      <c r="BG310" s="841"/>
      <c r="BH310" s="841"/>
      <c r="BI310" s="880"/>
      <c r="BJ310" s="817"/>
      <c r="BK310" s="818"/>
      <c r="BL310" s="818"/>
    </row>
    <row r="311" spans="2:64" ht="17.45" customHeight="1" x14ac:dyDescent="0.15">
      <c r="C311" s="881"/>
      <c r="D311" s="832"/>
      <c r="E311" s="828"/>
      <c r="F311" s="533"/>
      <c r="J311" s="537"/>
      <c r="O311" s="554"/>
      <c r="BB311" s="537"/>
      <c r="BC311" s="879"/>
      <c r="BD311" s="879"/>
      <c r="BE311" s="879"/>
      <c r="BF311" s="841"/>
      <c r="BG311" s="841"/>
      <c r="BH311" s="841"/>
      <c r="BI311" s="880"/>
      <c r="BJ311" s="817"/>
      <c r="BK311" s="818"/>
      <c r="BL311" s="818"/>
    </row>
    <row r="312" spans="2:64" ht="17.45" customHeight="1" x14ac:dyDescent="0.15">
      <c r="B312" s="537" t="s">
        <v>184</v>
      </c>
      <c r="C312" s="1878" t="s">
        <v>70</v>
      </c>
      <c r="D312" s="1879"/>
      <c r="E312" s="1879"/>
      <c r="F312" s="1879"/>
      <c r="G312" s="1879"/>
      <c r="H312" s="1879"/>
      <c r="I312" s="1879"/>
      <c r="J312" s="1879"/>
      <c r="K312" s="1879"/>
      <c r="L312" s="1879"/>
      <c r="M312" s="1879"/>
      <c r="N312" s="1879"/>
      <c r="O312" s="1879"/>
      <c r="P312" s="1879"/>
      <c r="Q312" s="1879"/>
      <c r="R312" s="1879"/>
      <c r="BB312" s="537"/>
      <c r="BC312" s="879"/>
      <c r="BD312" s="879"/>
      <c r="BE312" s="879"/>
      <c r="BF312" s="841"/>
      <c r="BG312" s="841"/>
      <c r="BH312" s="841"/>
      <c r="BI312" s="880"/>
      <c r="BJ312" s="817"/>
      <c r="BK312" s="818"/>
      <c r="BL312" s="818"/>
    </row>
    <row r="313" spans="2:64" ht="17.45" customHeight="1" x14ac:dyDescent="0.15">
      <c r="C313" s="1879"/>
      <c r="D313" s="1879"/>
      <c r="E313" s="1879"/>
      <c r="F313" s="1879"/>
      <c r="G313" s="1879"/>
      <c r="H313" s="1879"/>
      <c r="I313" s="1879"/>
      <c r="J313" s="1879"/>
      <c r="K313" s="1879"/>
      <c r="L313" s="1879"/>
      <c r="M313" s="1879"/>
      <c r="N313" s="1879"/>
      <c r="O313" s="1879"/>
      <c r="P313" s="1879"/>
      <c r="Q313" s="1879"/>
      <c r="R313" s="1879"/>
      <c r="BB313" s="537"/>
      <c r="BC313" s="879"/>
      <c r="BD313" s="879"/>
      <c r="BE313" s="879"/>
      <c r="BF313" s="841"/>
      <c r="BG313" s="841"/>
      <c r="BH313" s="841"/>
      <c r="BI313" s="880"/>
      <c r="BJ313" s="817"/>
      <c r="BK313" s="818"/>
      <c r="BL313" s="818"/>
    </row>
    <row r="314" spans="2:64" ht="17.45" customHeight="1" x14ac:dyDescent="0.15">
      <c r="C314" s="1879"/>
      <c r="D314" s="1879"/>
      <c r="E314" s="1879"/>
      <c r="F314" s="1879"/>
      <c r="G314" s="1879"/>
      <c r="H314" s="1879"/>
      <c r="I314" s="1879"/>
      <c r="J314" s="1879"/>
      <c r="K314" s="1879"/>
      <c r="L314" s="1879"/>
      <c r="M314" s="1879"/>
      <c r="N314" s="1879"/>
      <c r="O314" s="1879"/>
      <c r="P314" s="1879"/>
      <c r="Q314" s="1879"/>
      <c r="R314" s="1879"/>
      <c r="BK314" s="818"/>
      <c r="BL314" s="818"/>
    </row>
    <row r="315" spans="2:64" ht="17.45" customHeight="1" x14ac:dyDescent="0.15">
      <c r="C315" s="838"/>
      <c r="D315" s="832"/>
      <c r="E315" s="838"/>
      <c r="F315" s="533"/>
      <c r="H315" s="828"/>
      <c r="K315" s="546"/>
      <c r="L315" s="537"/>
      <c r="M315" s="546"/>
      <c r="N315" s="537"/>
      <c r="O315" s="554"/>
      <c r="BK315" s="818"/>
      <c r="BL315" s="818"/>
    </row>
    <row r="316" spans="2:64" ht="17.45" customHeight="1" x14ac:dyDescent="0.15">
      <c r="B316" s="537" t="s">
        <v>187</v>
      </c>
      <c r="C316" s="1878" t="s">
        <v>71</v>
      </c>
      <c r="D316" s="1879"/>
      <c r="E316" s="1879"/>
      <c r="F316" s="1879"/>
      <c r="G316" s="1879"/>
      <c r="H316" s="1879"/>
      <c r="I316" s="1879"/>
      <c r="J316" s="1879"/>
      <c r="K316" s="1879"/>
      <c r="L316" s="1879"/>
      <c r="M316" s="1879"/>
      <c r="N316" s="1879"/>
      <c r="O316" s="1879"/>
      <c r="P316" s="1879"/>
      <c r="Q316" s="1879"/>
      <c r="R316" s="1879"/>
      <c r="S316" s="824"/>
      <c r="BK316" s="818"/>
      <c r="BL316" s="818"/>
    </row>
    <row r="317" spans="2:64" ht="17.45" customHeight="1" x14ac:dyDescent="0.15">
      <c r="C317" s="1879"/>
      <c r="D317" s="1879"/>
      <c r="E317" s="1879"/>
      <c r="F317" s="1879"/>
      <c r="G317" s="1879"/>
      <c r="H317" s="1879"/>
      <c r="I317" s="1879"/>
      <c r="J317" s="1879"/>
      <c r="K317" s="1879"/>
      <c r="L317" s="1879"/>
      <c r="M317" s="1879"/>
      <c r="N317" s="1879"/>
      <c r="O317" s="1879"/>
      <c r="P317" s="1879"/>
      <c r="Q317" s="1879"/>
      <c r="R317" s="1879"/>
      <c r="BC317" s="887"/>
      <c r="BD317" s="887"/>
    </row>
    <row r="318" spans="2:64" ht="17.45" customHeight="1" x14ac:dyDescent="0.15">
      <c r="C318" s="1879"/>
      <c r="D318" s="1879"/>
      <c r="E318" s="1879"/>
      <c r="F318" s="1879"/>
      <c r="G318" s="1879"/>
      <c r="H318" s="1879"/>
      <c r="I318" s="1879"/>
      <c r="J318" s="1879"/>
      <c r="K318" s="1879"/>
      <c r="L318" s="1879"/>
      <c r="M318" s="1879"/>
      <c r="N318" s="1879"/>
      <c r="O318" s="1879"/>
      <c r="P318" s="1879"/>
      <c r="Q318" s="1879"/>
      <c r="R318" s="1879"/>
      <c r="BC318" s="887"/>
      <c r="BD318" s="887"/>
    </row>
    <row r="319" spans="2:64" ht="17.45" customHeight="1" x14ac:dyDescent="0.15">
      <c r="C319" s="1515"/>
      <c r="D319" s="1515"/>
      <c r="E319" s="1515"/>
      <c r="F319" s="1515"/>
      <c r="G319" s="1515"/>
      <c r="H319" s="1515"/>
      <c r="I319" s="1515"/>
      <c r="J319" s="1515"/>
      <c r="K319" s="1515"/>
      <c r="L319" s="1515"/>
      <c r="M319" s="1515"/>
      <c r="N319" s="1515"/>
      <c r="O319" s="1515"/>
      <c r="P319" s="1515"/>
      <c r="Q319" s="1515"/>
      <c r="R319" s="1515"/>
      <c r="BC319" s="887"/>
      <c r="BD319" s="887"/>
    </row>
    <row r="320" spans="2:64" ht="17.45" customHeight="1" x14ac:dyDescent="0.15">
      <c r="B320" s="840" t="s">
        <v>188</v>
      </c>
      <c r="C320" s="1880" t="s">
        <v>72</v>
      </c>
      <c r="D320" s="1888"/>
      <c r="E320" s="1888"/>
      <c r="F320" s="1888"/>
      <c r="G320" s="1888"/>
      <c r="H320" s="1888"/>
      <c r="I320" s="1888"/>
      <c r="J320" s="1888"/>
      <c r="K320" s="1888"/>
      <c r="L320" s="1888"/>
      <c r="M320" s="1888"/>
      <c r="N320" s="1888"/>
      <c r="O320" s="1888"/>
      <c r="P320" s="1888"/>
      <c r="Q320" s="1888"/>
      <c r="R320" s="1888"/>
    </row>
    <row r="321" spans="2:64" ht="17.45" customHeight="1" x14ac:dyDescent="0.15">
      <c r="B321" s="840"/>
      <c r="C321" s="1888"/>
      <c r="D321" s="1888"/>
      <c r="E321" s="1888"/>
      <c r="F321" s="1888"/>
      <c r="G321" s="1888"/>
      <c r="H321" s="1888"/>
      <c r="I321" s="1888"/>
      <c r="J321" s="1888"/>
      <c r="K321" s="1888"/>
      <c r="L321" s="1888"/>
      <c r="M321" s="1888"/>
      <c r="N321" s="1888"/>
      <c r="O321" s="1888"/>
      <c r="P321" s="1888"/>
      <c r="Q321" s="1888"/>
      <c r="R321" s="1888"/>
    </row>
    <row r="322" spans="2:64" ht="17.45" customHeight="1" x14ac:dyDescent="0.15">
      <c r="B322" s="840"/>
      <c r="C322" s="1879"/>
      <c r="D322" s="1879"/>
      <c r="E322" s="1879"/>
      <c r="F322" s="1879"/>
      <c r="G322" s="1879"/>
      <c r="H322" s="1879"/>
      <c r="I322" s="1879"/>
      <c r="J322" s="1879"/>
      <c r="K322" s="1879"/>
      <c r="L322" s="1879"/>
      <c r="M322" s="1879"/>
      <c r="N322" s="1879"/>
      <c r="O322" s="1879"/>
      <c r="P322" s="1879"/>
      <c r="Q322" s="1879"/>
      <c r="R322" s="1879"/>
      <c r="BC322" s="888"/>
      <c r="BD322" s="533"/>
    </row>
    <row r="323" spans="2:64" ht="17.45" customHeight="1" x14ac:dyDescent="0.15">
      <c r="C323" s="842"/>
      <c r="D323" s="842"/>
      <c r="E323" s="843"/>
      <c r="G323" s="841"/>
      <c r="H323" s="841"/>
      <c r="I323" s="841"/>
      <c r="J323" s="841"/>
      <c r="K323" s="841"/>
      <c r="L323" s="841"/>
      <c r="M323" s="841"/>
      <c r="N323" s="841"/>
      <c r="O323" s="554"/>
    </row>
    <row r="324" spans="2:64" ht="17.45" customHeight="1" x14ac:dyDescent="0.15">
      <c r="B324" s="537" t="s">
        <v>189</v>
      </c>
      <c r="C324" s="1882" t="s">
        <v>73</v>
      </c>
      <c r="D324" s="1881"/>
      <c r="E324" s="1881"/>
      <c r="F324" s="1881"/>
      <c r="G324" s="1881"/>
      <c r="H324" s="1881"/>
      <c r="I324" s="1881"/>
      <c r="J324" s="1881"/>
      <c r="K324" s="1881"/>
      <c r="L324" s="1881"/>
      <c r="M324" s="1881"/>
      <c r="N324" s="1881"/>
      <c r="O324" s="1881"/>
      <c r="P324" s="1881"/>
      <c r="Q324" s="1881"/>
      <c r="R324" s="1881"/>
    </row>
    <row r="325" spans="2:64" ht="17.45" customHeight="1" x14ac:dyDescent="0.15">
      <c r="C325" s="1881"/>
      <c r="D325" s="1881"/>
      <c r="E325" s="1881"/>
      <c r="F325" s="1881"/>
      <c r="G325" s="1881"/>
      <c r="H325" s="1881"/>
      <c r="I325" s="1881"/>
      <c r="J325" s="1881"/>
      <c r="K325" s="1881"/>
      <c r="L325" s="1881"/>
      <c r="M325" s="1881"/>
      <c r="N325" s="1881"/>
      <c r="O325" s="1881"/>
      <c r="P325" s="1881"/>
      <c r="Q325" s="1881"/>
      <c r="R325" s="1881"/>
    </row>
    <row r="326" spans="2:64" ht="17.45" customHeight="1" x14ac:dyDescent="0.15">
      <c r="D326" s="841"/>
      <c r="E326" s="434"/>
      <c r="F326" s="824"/>
      <c r="H326" s="533"/>
      <c r="J326" s="533"/>
      <c r="M326" s="533"/>
      <c r="O326" s="536"/>
      <c r="P326" s="537"/>
      <c r="Q326" s="833"/>
      <c r="R326" s="833"/>
    </row>
    <row r="327" spans="2:64" ht="17.45" customHeight="1" x14ac:dyDescent="0.15">
      <c r="B327" s="537" t="s">
        <v>190</v>
      </c>
      <c r="C327" s="1880" t="s">
        <v>74</v>
      </c>
      <c r="D327" s="1879"/>
      <c r="E327" s="1879"/>
      <c r="F327" s="1879"/>
      <c r="G327" s="1879"/>
      <c r="H327" s="1879"/>
      <c r="I327" s="1879"/>
      <c r="J327" s="1879"/>
      <c r="K327" s="1879"/>
      <c r="L327" s="1879"/>
      <c r="M327" s="1879"/>
      <c r="N327" s="1879"/>
      <c r="O327" s="1879"/>
      <c r="P327" s="1879"/>
      <c r="Q327" s="1879"/>
      <c r="R327" s="1879"/>
    </row>
    <row r="328" spans="2:64" ht="17.45" customHeight="1" x14ac:dyDescent="0.15">
      <c r="C328" s="1879"/>
      <c r="D328" s="1879"/>
      <c r="E328" s="1879"/>
      <c r="F328" s="1879"/>
      <c r="G328" s="1879"/>
      <c r="H328" s="1879"/>
      <c r="I328" s="1879"/>
      <c r="J328" s="1879"/>
      <c r="K328" s="1879"/>
      <c r="L328" s="1879"/>
      <c r="M328" s="1879"/>
      <c r="N328" s="1879"/>
      <c r="O328" s="1879"/>
      <c r="P328" s="1879"/>
      <c r="Q328" s="1879"/>
      <c r="R328" s="1879"/>
    </row>
    <row r="329" spans="2:64" ht="17.45" customHeight="1" x14ac:dyDescent="0.15">
      <c r="C329" s="1881"/>
      <c r="D329" s="1881"/>
      <c r="E329" s="1881"/>
      <c r="F329" s="1881"/>
      <c r="G329" s="1881"/>
      <c r="H329" s="1881"/>
      <c r="I329" s="1881"/>
      <c r="J329" s="1881"/>
      <c r="K329" s="1881"/>
      <c r="L329" s="1881"/>
      <c r="M329" s="1881"/>
      <c r="N329" s="1881"/>
      <c r="O329" s="1881"/>
      <c r="P329" s="1881"/>
      <c r="Q329" s="1881"/>
      <c r="R329" s="1881"/>
    </row>
    <row r="330" spans="2:64" ht="17.45" customHeight="1" x14ac:dyDescent="0.15">
      <c r="C330" s="847"/>
      <c r="D330" s="832"/>
      <c r="E330" s="848"/>
      <c r="F330" s="533"/>
      <c r="M330" s="533"/>
      <c r="O330" s="554"/>
      <c r="P330" s="537"/>
    </row>
    <row r="331" spans="2:64" ht="17.45" customHeight="1" x14ac:dyDescent="0.15">
      <c r="B331" s="537" t="s">
        <v>191</v>
      </c>
      <c r="C331" s="1880" t="s">
        <v>75</v>
      </c>
      <c r="D331" s="1879"/>
      <c r="E331" s="1879"/>
      <c r="F331" s="1879"/>
      <c r="G331" s="1879"/>
      <c r="H331" s="1879"/>
      <c r="I331" s="1879"/>
      <c r="J331" s="1879"/>
      <c r="K331" s="1879"/>
      <c r="L331" s="1879"/>
      <c r="M331" s="1879"/>
      <c r="N331" s="1879"/>
      <c r="O331" s="1879"/>
      <c r="P331" s="1879"/>
      <c r="Q331" s="1879"/>
      <c r="R331" s="1879"/>
    </row>
    <row r="332" spans="2:64" ht="17.45" customHeight="1" x14ac:dyDescent="0.15">
      <c r="C332" s="1879"/>
      <c r="D332" s="1879"/>
      <c r="E332" s="1879"/>
      <c r="F332" s="1879"/>
      <c r="G332" s="1879"/>
      <c r="H332" s="1879"/>
      <c r="I332" s="1879"/>
      <c r="J332" s="1879"/>
      <c r="K332" s="1879"/>
      <c r="L332" s="1879"/>
      <c r="M332" s="1879"/>
      <c r="N332" s="1879"/>
      <c r="O332" s="1879"/>
      <c r="P332" s="1879"/>
      <c r="Q332" s="1879"/>
      <c r="R332" s="1879"/>
    </row>
    <row r="333" spans="2:64" ht="17.45" customHeight="1" x14ac:dyDescent="0.15">
      <c r="C333" s="1879"/>
      <c r="D333" s="1879"/>
      <c r="E333" s="1879"/>
      <c r="F333" s="1879"/>
      <c r="G333" s="1879"/>
      <c r="H333" s="1879"/>
      <c r="I333" s="1879"/>
      <c r="J333" s="1879"/>
      <c r="K333" s="1879"/>
      <c r="L333" s="1879"/>
      <c r="M333" s="1879"/>
      <c r="N333" s="1879"/>
      <c r="O333" s="1879"/>
      <c r="P333" s="1879"/>
      <c r="Q333" s="1879"/>
      <c r="R333" s="1879"/>
      <c r="BK333" s="533"/>
      <c r="BL333" s="846"/>
    </row>
    <row r="334" spans="2:64" ht="17.45" customHeight="1" x14ac:dyDescent="0.15">
      <c r="C334" s="1879"/>
      <c r="D334" s="1879"/>
      <c r="E334" s="1879"/>
      <c r="F334" s="1879"/>
      <c r="G334" s="1879"/>
      <c r="H334" s="1879"/>
      <c r="I334" s="1879"/>
      <c r="J334" s="1879"/>
      <c r="K334" s="1879"/>
      <c r="L334" s="1879"/>
      <c r="M334" s="1879"/>
      <c r="N334" s="1879"/>
      <c r="O334" s="1879"/>
      <c r="P334" s="1879"/>
      <c r="Q334" s="1879"/>
      <c r="R334" s="1879"/>
    </row>
    <row r="335" spans="2:64" ht="17.45" customHeight="1" x14ac:dyDescent="0.15">
      <c r="C335" s="832"/>
      <c r="D335" s="832"/>
      <c r="E335" s="836"/>
      <c r="F335" s="536"/>
      <c r="G335" s="849"/>
      <c r="H335" s="850"/>
      <c r="I335" s="554"/>
      <c r="J335" s="554"/>
      <c r="K335" s="554"/>
      <c r="L335" s="554"/>
      <c r="M335" s="536"/>
      <c r="N335" s="554"/>
      <c r="O335" s="554"/>
      <c r="P335" s="537"/>
      <c r="Q335" s="833"/>
      <c r="R335" s="833"/>
    </row>
    <row r="336" spans="2:64" ht="17.45" customHeight="1" x14ac:dyDescent="0.15">
      <c r="B336" s="537" t="s">
        <v>192</v>
      </c>
      <c r="C336" s="1880" t="s">
        <v>80</v>
      </c>
      <c r="D336" s="1888"/>
      <c r="E336" s="1888"/>
      <c r="F336" s="1888"/>
      <c r="G336" s="1888"/>
      <c r="H336" s="1888"/>
      <c r="I336" s="1888"/>
      <c r="J336" s="1888"/>
      <c r="K336" s="1888"/>
      <c r="L336" s="1888"/>
      <c r="M336" s="1888"/>
      <c r="N336" s="1888"/>
      <c r="O336" s="1888"/>
      <c r="P336" s="1888"/>
      <c r="Q336" s="1888"/>
      <c r="R336" s="1888"/>
    </row>
    <row r="337" spans="2:54" ht="17.45" customHeight="1" x14ac:dyDescent="0.15">
      <c r="C337" s="1888"/>
      <c r="D337" s="1888"/>
      <c r="E337" s="1888"/>
      <c r="F337" s="1888"/>
      <c r="G337" s="1888"/>
      <c r="H337" s="1888"/>
      <c r="I337" s="1888"/>
      <c r="J337" s="1888"/>
      <c r="K337" s="1888"/>
      <c r="L337" s="1888"/>
      <c r="M337" s="1888"/>
      <c r="N337" s="1888"/>
      <c r="O337" s="1888"/>
      <c r="P337" s="1888"/>
      <c r="Q337" s="1888"/>
      <c r="R337" s="1888"/>
      <c r="BB337" s="533"/>
    </row>
    <row r="338" spans="2:54" ht="17.45" customHeight="1" x14ac:dyDescent="0.15">
      <c r="C338" s="1879"/>
      <c r="D338" s="1879"/>
      <c r="E338" s="1879"/>
      <c r="F338" s="1879"/>
      <c r="G338" s="1879"/>
      <c r="H338" s="1879"/>
      <c r="I338" s="1879"/>
      <c r="J338" s="1879"/>
      <c r="K338" s="1879"/>
      <c r="L338" s="1879"/>
      <c r="M338" s="1879"/>
      <c r="N338" s="1879"/>
      <c r="O338" s="1879"/>
      <c r="P338" s="1879"/>
      <c r="Q338" s="1879"/>
      <c r="R338" s="1879"/>
      <c r="BB338" s="533"/>
    </row>
    <row r="339" spans="2:54" ht="17.45" customHeight="1" x14ac:dyDescent="0.15">
      <c r="C339" s="1881"/>
      <c r="D339" s="1881"/>
      <c r="E339" s="1881"/>
      <c r="F339" s="1881"/>
      <c r="G339" s="1881"/>
      <c r="H339" s="1881"/>
      <c r="I339" s="1881"/>
      <c r="J339" s="1881"/>
      <c r="K339" s="1881"/>
      <c r="L339" s="1881"/>
      <c r="M339" s="1881"/>
      <c r="N339" s="1881"/>
      <c r="O339" s="1881"/>
      <c r="P339" s="1881"/>
      <c r="Q339" s="1881"/>
      <c r="R339" s="1881"/>
      <c r="BB339" s="533"/>
    </row>
    <row r="340" spans="2:54" ht="17.45" customHeight="1" x14ac:dyDescent="0.15">
      <c r="C340" s="832"/>
      <c r="D340" s="832"/>
      <c r="E340" s="828"/>
      <c r="F340" s="533"/>
      <c r="J340" s="533"/>
      <c r="M340" s="533"/>
      <c r="O340" s="554"/>
      <c r="P340" s="537"/>
      <c r="BB340" s="533"/>
    </row>
    <row r="341" spans="2:54" ht="17.45" customHeight="1" x14ac:dyDescent="0.15">
      <c r="B341" s="537" t="s">
        <v>193</v>
      </c>
      <c r="C341" s="1884" t="s">
        <v>81</v>
      </c>
      <c r="D341" s="1889"/>
      <c r="E341" s="1889"/>
      <c r="F341" s="1889"/>
      <c r="G341" s="1889"/>
      <c r="H341" s="1889"/>
      <c r="I341" s="1889"/>
      <c r="J341" s="1889"/>
      <c r="K341" s="1889"/>
      <c r="L341" s="1889"/>
      <c r="M341" s="1889"/>
      <c r="N341" s="1889"/>
      <c r="O341" s="1889"/>
      <c r="P341" s="1889"/>
      <c r="Q341" s="1889"/>
      <c r="R341" s="1889"/>
      <c r="BB341" s="533"/>
    </row>
    <row r="342" spans="2:54" ht="17.45" customHeight="1" x14ac:dyDescent="0.15">
      <c r="C342" s="1889"/>
      <c r="D342" s="1889"/>
      <c r="E342" s="1889"/>
      <c r="F342" s="1889"/>
      <c r="G342" s="1889"/>
      <c r="H342" s="1889"/>
      <c r="I342" s="1889"/>
      <c r="J342" s="1889"/>
      <c r="K342" s="1889"/>
      <c r="L342" s="1889"/>
      <c r="M342" s="1889"/>
      <c r="N342" s="1889"/>
      <c r="O342" s="1889"/>
      <c r="P342" s="1889"/>
      <c r="Q342" s="1889"/>
      <c r="R342" s="1889"/>
    </row>
    <row r="343" spans="2:54" ht="17.45" customHeight="1" x14ac:dyDescent="0.15">
      <c r="C343" s="1881"/>
      <c r="D343" s="1881"/>
      <c r="E343" s="1881"/>
      <c r="F343" s="1881"/>
      <c r="G343" s="1881"/>
      <c r="H343" s="1881"/>
      <c r="I343" s="1881"/>
      <c r="J343" s="1881"/>
      <c r="K343" s="1881"/>
      <c r="L343" s="1881"/>
      <c r="M343" s="1881"/>
      <c r="N343" s="1881"/>
      <c r="O343" s="1881"/>
      <c r="P343" s="1881"/>
      <c r="Q343" s="1881"/>
      <c r="R343" s="1881"/>
    </row>
    <row r="344" spans="2:54" ht="17.45" customHeight="1" x14ac:dyDescent="0.15">
      <c r="C344" s="1931"/>
      <c r="D344" s="1931"/>
      <c r="E344" s="1931"/>
      <c r="F344" s="1931"/>
      <c r="G344" s="1931"/>
      <c r="H344" s="1931"/>
      <c r="I344" s="1931"/>
      <c r="J344" s="1931"/>
      <c r="K344" s="1931"/>
      <c r="L344" s="1931"/>
      <c r="M344" s="1931"/>
      <c r="N344" s="1931"/>
      <c r="O344" s="1931"/>
      <c r="P344" s="1931"/>
      <c r="Q344" s="1931"/>
      <c r="R344" s="1931"/>
    </row>
    <row r="345" spans="2:54" ht="51.75" customHeight="1" x14ac:dyDescent="0.15">
      <c r="B345" s="552"/>
      <c r="C345" s="1885" t="s">
        <v>516</v>
      </c>
      <c r="D345" s="1933"/>
      <c r="E345" s="1933"/>
      <c r="F345" s="1933"/>
      <c r="G345" s="1933"/>
      <c r="H345" s="1933"/>
      <c r="I345" s="1933"/>
      <c r="J345" s="1933"/>
      <c r="K345" s="1933"/>
      <c r="L345" s="1933"/>
      <c r="M345" s="1933"/>
      <c r="N345" s="1933"/>
      <c r="O345" s="1933"/>
      <c r="P345" s="1933"/>
      <c r="Q345" s="1933"/>
      <c r="R345" s="1933"/>
    </row>
    <row r="346" spans="2:54" ht="53.25" customHeight="1" x14ac:dyDescent="0.15">
      <c r="B346" s="820"/>
      <c r="C346" s="1935" t="s">
        <v>316</v>
      </c>
      <c r="D346" s="1936"/>
      <c r="E346" s="1936"/>
      <c r="F346" s="1936"/>
      <c r="G346" s="1936"/>
      <c r="H346" s="1936"/>
      <c r="I346" s="1936"/>
      <c r="J346" s="1936"/>
      <c r="K346" s="1936"/>
      <c r="L346" s="1936"/>
      <c r="M346" s="1936"/>
      <c r="N346" s="1936"/>
      <c r="O346" s="1936"/>
      <c r="P346" s="1936"/>
      <c r="Q346" s="1936"/>
      <c r="R346" s="1936"/>
    </row>
    <row r="347" spans="2:54" ht="12" customHeight="1" x14ac:dyDescent="0.15">
      <c r="C347" s="839"/>
      <c r="D347" s="832"/>
      <c r="E347" s="838"/>
      <c r="F347" s="533"/>
      <c r="M347" s="533"/>
      <c r="O347" s="536"/>
    </row>
    <row r="348" spans="2:54" ht="10.5" customHeight="1" x14ac:dyDescent="0.15">
      <c r="B348" s="820"/>
      <c r="C348" s="847"/>
      <c r="D348" s="832"/>
      <c r="E348" s="838"/>
      <c r="F348" s="533"/>
      <c r="M348" s="533"/>
      <c r="O348" s="536"/>
    </row>
    <row r="349" spans="2:54" ht="17.45" customHeight="1" x14ac:dyDescent="0.15">
      <c r="B349" s="537" t="s">
        <v>812</v>
      </c>
      <c r="C349" s="857" t="s">
        <v>76</v>
      </c>
      <c r="D349" s="858"/>
      <c r="E349" s="858"/>
      <c r="F349" s="533"/>
      <c r="H349" s="537"/>
      <c r="I349" s="537"/>
      <c r="J349" s="546"/>
      <c r="M349" s="554"/>
      <c r="O349" s="855"/>
    </row>
    <row r="350" spans="2:54" ht="17.45" customHeight="1" x14ac:dyDescent="0.15">
      <c r="B350" s="872"/>
      <c r="C350" s="820"/>
      <c r="D350" s="820"/>
      <c r="J350" s="854"/>
      <c r="M350" s="554"/>
      <c r="O350" s="855"/>
    </row>
    <row r="351" spans="2:54" ht="34.5" customHeight="1" x14ac:dyDescent="0.15">
      <c r="B351" s="537" t="s">
        <v>175</v>
      </c>
      <c r="C351" s="1882" t="s">
        <v>517</v>
      </c>
      <c r="D351" s="1881"/>
      <c r="E351" s="1881"/>
      <c r="F351" s="1881"/>
      <c r="G351" s="1881"/>
      <c r="H351" s="1881"/>
      <c r="I351" s="1881"/>
      <c r="J351" s="1881"/>
      <c r="K351" s="1881"/>
      <c r="L351" s="1881"/>
      <c r="M351" s="1881"/>
      <c r="N351" s="1881"/>
      <c r="O351" s="1881"/>
      <c r="P351" s="1881"/>
      <c r="Q351" s="1881"/>
      <c r="R351" s="1881"/>
      <c r="AS351" s="533"/>
    </row>
    <row r="352" spans="2:54" ht="36" customHeight="1" x14ac:dyDescent="0.15">
      <c r="C352" s="1881"/>
      <c r="D352" s="1881"/>
      <c r="E352" s="1881"/>
      <c r="F352" s="1881"/>
      <c r="G352" s="1881"/>
      <c r="H352" s="1881"/>
      <c r="I352" s="1881"/>
      <c r="J352" s="1881"/>
      <c r="K352" s="1881"/>
      <c r="L352" s="1881"/>
      <c r="M352" s="1881"/>
      <c r="N352" s="1881"/>
      <c r="O352" s="1881"/>
      <c r="P352" s="1881"/>
      <c r="Q352" s="1881"/>
      <c r="R352" s="1881"/>
    </row>
    <row r="353" spans="2:37" ht="17.45" customHeight="1" x14ac:dyDescent="0.15">
      <c r="C353" s="1515"/>
      <c r="D353" s="1515"/>
      <c r="E353" s="1515"/>
      <c r="F353" s="1515"/>
      <c r="G353" s="1515"/>
      <c r="H353" s="1515"/>
      <c r="I353" s="1515"/>
      <c r="J353" s="1515"/>
      <c r="K353" s="1515"/>
      <c r="L353" s="1515"/>
      <c r="M353" s="1515"/>
      <c r="N353" s="1515"/>
      <c r="O353" s="1515"/>
      <c r="P353" s="1515"/>
      <c r="Q353" s="1515"/>
      <c r="R353" s="1515"/>
    </row>
    <row r="354" spans="2:37" ht="17.45" customHeight="1" x14ac:dyDescent="0.15">
      <c r="B354" s="537" t="s">
        <v>176</v>
      </c>
      <c r="C354" s="1880" t="s">
        <v>518</v>
      </c>
      <c r="D354" s="1888"/>
      <c r="E354" s="1888"/>
      <c r="F354" s="1888"/>
      <c r="G354" s="1888"/>
      <c r="H354" s="1888"/>
      <c r="I354" s="1888"/>
      <c r="J354" s="1888"/>
      <c r="K354" s="1888"/>
      <c r="L354" s="1888"/>
      <c r="M354" s="1888"/>
      <c r="N354" s="1888"/>
      <c r="O354" s="1888"/>
      <c r="P354" s="1888"/>
      <c r="Q354" s="1888"/>
      <c r="R354" s="1888"/>
    </row>
    <row r="355" spans="2:37" ht="17.45" customHeight="1" x14ac:dyDescent="0.15">
      <c r="C355" s="1888"/>
      <c r="D355" s="1888"/>
      <c r="E355" s="1888"/>
      <c r="F355" s="1888"/>
      <c r="G355" s="1888"/>
      <c r="H355" s="1888"/>
      <c r="I355" s="1888"/>
      <c r="J355" s="1888"/>
      <c r="K355" s="1888"/>
      <c r="L355" s="1888"/>
      <c r="M355" s="1888"/>
      <c r="N355" s="1888"/>
      <c r="O355" s="1888"/>
      <c r="P355" s="1888"/>
      <c r="Q355" s="1888"/>
      <c r="R355" s="1888"/>
    </row>
    <row r="356" spans="2:37" ht="17.45" customHeight="1" x14ac:dyDescent="0.15">
      <c r="C356" s="1879"/>
      <c r="D356" s="1879"/>
      <c r="E356" s="1879"/>
      <c r="F356" s="1879"/>
      <c r="G356" s="1879"/>
      <c r="H356" s="1879"/>
      <c r="I356" s="1879"/>
      <c r="J356" s="1879"/>
      <c r="K356" s="1879"/>
      <c r="L356" s="1879"/>
      <c r="M356" s="1879"/>
      <c r="N356" s="1879"/>
      <c r="O356" s="1879"/>
      <c r="P356" s="1879"/>
      <c r="Q356" s="1879"/>
      <c r="R356" s="1879"/>
    </row>
    <row r="357" spans="2:37" ht="22.5" customHeight="1" x14ac:dyDescent="0.15">
      <c r="C357" s="1881"/>
      <c r="D357" s="1881"/>
      <c r="E357" s="1881"/>
      <c r="F357" s="1881"/>
      <c r="G357" s="1881"/>
      <c r="H357" s="1881"/>
      <c r="I357" s="1881"/>
      <c r="J357" s="1881"/>
      <c r="K357" s="1881"/>
      <c r="L357" s="1881"/>
      <c r="M357" s="1881"/>
      <c r="N357" s="1881"/>
      <c r="O357" s="1881"/>
      <c r="P357" s="1881"/>
      <c r="Q357" s="1881"/>
      <c r="R357" s="1881"/>
    </row>
    <row r="358" spans="2:37" ht="17.45" customHeight="1" x14ac:dyDescent="0.15">
      <c r="C358" s="1881"/>
      <c r="D358" s="1881"/>
      <c r="E358" s="1881"/>
      <c r="F358" s="1881"/>
      <c r="G358" s="1881"/>
      <c r="H358" s="1881"/>
      <c r="I358" s="1881"/>
      <c r="J358" s="1881"/>
      <c r="K358" s="1881"/>
      <c r="L358" s="1881"/>
      <c r="M358" s="1881"/>
      <c r="N358" s="1881"/>
      <c r="O358" s="1881"/>
      <c r="P358" s="1881"/>
      <c r="Q358" s="1881"/>
      <c r="R358" s="1881"/>
    </row>
    <row r="359" spans="2:37" ht="17.45" customHeight="1" x14ac:dyDescent="0.15">
      <c r="C359" s="1508"/>
      <c r="D359" s="1508"/>
      <c r="E359" s="1508"/>
      <c r="F359" s="1508"/>
      <c r="G359" s="1508"/>
      <c r="H359" s="1508"/>
      <c r="I359" s="1508"/>
      <c r="J359" s="1508"/>
      <c r="K359" s="1508"/>
      <c r="L359" s="1508"/>
      <c r="M359" s="1508"/>
      <c r="N359" s="1508"/>
      <c r="O359" s="1508"/>
      <c r="P359" s="1508"/>
      <c r="Q359" s="1508"/>
      <c r="R359" s="1508"/>
      <c r="AI359" s="533"/>
      <c r="AJ359" s="533"/>
      <c r="AK359" s="533"/>
    </row>
    <row r="360" spans="2:37" ht="17.45" customHeight="1" x14ac:dyDescent="0.15">
      <c r="B360" s="537" t="s">
        <v>177</v>
      </c>
      <c r="C360" s="1880" t="s">
        <v>810</v>
      </c>
      <c r="D360" s="1879"/>
      <c r="E360" s="1879"/>
      <c r="F360" s="1879"/>
      <c r="G360" s="1879"/>
      <c r="H360" s="1879"/>
      <c r="I360" s="1879"/>
      <c r="J360" s="1879"/>
      <c r="K360" s="1879"/>
      <c r="L360" s="1879"/>
      <c r="M360" s="1879"/>
      <c r="N360" s="1879"/>
      <c r="O360" s="1879"/>
      <c r="P360" s="1879"/>
      <c r="Q360" s="1879"/>
      <c r="R360" s="1879"/>
    </row>
    <row r="361" spans="2:37" ht="17.45" customHeight="1" x14ac:dyDescent="0.15">
      <c r="C361" s="1879"/>
      <c r="D361" s="1879"/>
      <c r="E361" s="1879"/>
      <c r="F361" s="1879"/>
      <c r="G361" s="1879"/>
      <c r="H361" s="1879"/>
      <c r="I361" s="1879"/>
      <c r="J361" s="1879"/>
      <c r="K361" s="1879"/>
      <c r="L361" s="1879"/>
      <c r="M361" s="1879"/>
      <c r="N361" s="1879"/>
      <c r="O361" s="1879"/>
      <c r="P361" s="1879"/>
      <c r="Q361" s="1879"/>
      <c r="R361" s="1879"/>
    </row>
    <row r="362" spans="2:37" ht="17.45" customHeight="1" x14ac:dyDescent="0.15">
      <c r="C362" s="1881"/>
      <c r="D362" s="1881"/>
      <c r="E362" s="1881"/>
      <c r="F362" s="1881"/>
      <c r="G362" s="1881"/>
      <c r="H362" s="1881"/>
      <c r="I362" s="1881"/>
      <c r="J362" s="1881"/>
      <c r="K362" s="1881"/>
      <c r="L362" s="1881"/>
      <c r="M362" s="1881"/>
      <c r="N362" s="1881"/>
      <c r="O362" s="1881"/>
      <c r="P362" s="1881"/>
      <c r="Q362" s="1881"/>
      <c r="R362" s="1881"/>
    </row>
    <row r="363" spans="2:37" ht="17.45" customHeight="1" x14ac:dyDescent="0.15">
      <c r="C363" s="1881"/>
      <c r="D363" s="1881"/>
      <c r="E363" s="1881"/>
      <c r="F363" s="1881"/>
      <c r="G363" s="1881"/>
      <c r="H363" s="1881"/>
      <c r="I363" s="1881"/>
      <c r="J363" s="1881"/>
      <c r="K363" s="1881"/>
      <c r="L363" s="1881"/>
      <c r="M363" s="1881"/>
      <c r="N363" s="1881"/>
      <c r="O363" s="1881"/>
      <c r="P363" s="1881"/>
      <c r="Q363" s="1881"/>
      <c r="R363" s="1881"/>
    </row>
    <row r="364" spans="2:37" ht="17.45" customHeight="1" x14ac:dyDescent="0.15">
      <c r="C364" s="1881"/>
      <c r="D364" s="1881"/>
      <c r="E364" s="1881"/>
      <c r="F364" s="1881"/>
      <c r="G364" s="1881"/>
      <c r="H364" s="1881"/>
      <c r="I364" s="1881"/>
      <c r="J364" s="1881"/>
      <c r="K364" s="1881"/>
      <c r="L364" s="1881"/>
      <c r="M364" s="1881"/>
      <c r="N364" s="1881"/>
      <c r="O364" s="1881"/>
      <c r="P364" s="1881"/>
      <c r="Q364" s="1881"/>
      <c r="R364" s="1881"/>
    </row>
    <row r="365" spans="2:37" ht="17.45" customHeight="1" x14ac:dyDescent="0.15">
      <c r="N365" s="825"/>
      <c r="O365" s="554"/>
    </row>
    <row r="366" spans="2:37" ht="17.45" customHeight="1" x14ac:dyDescent="0.15">
      <c r="B366" s="537" t="s">
        <v>178</v>
      </c>
      <c r="C366" s="1882" t="s">
        <v>519</v>
      </c>
      <c r="D366" s="1881"/>
      <c r="E366" s="1881"/>
      <c r="F366" s="1881"/>
      <c r="G366" s="1881"/>
      <c r="H366" s="1881"/>
      <c r="I366" s="1881"/>
      <c r="J366" s="1881"/>
      <c r="K366" s="1881"/>
      <c r="L366" s="1881"/>
      <c r="M366" s="1881"/>
      <c r="N366" s="1881"/>
      <c r="O366" s="1881"/>
      <c r="P366" s="1881"/>
      <c r="Q366" s="1881"/>
      <c r="R366" s="1881"/>
      <c r="S366" s="533"/>
      <c r="T366" s="533"/>
    </row>
    <row r="367" spans="2:37" ht="17.45" customHeight="1" x14ac:dyDescent="0.15">
      <c r="C367" s="1881"/>
      <c r="D367" s="1881"/>
      <c r="E367" s="1881"/>
      <c r="F367" s="1881"/>
      <c r="G367" s="1881"/>
      <c r="H367" s="1881"/>
      <c r="I367" s="1881"/>
      <c r="J367" s="1881"/>
      <c r="K367" s="1881"/>
      <c r="L367" s="1881"/>
      <c r="M367" s="1881"/>
      <c r="N367" s="1881"/>
      <c r="O367" s="1881"/>
      <c r="P367" s="1881"/>
      <c r="Q367" s="1881"/>
      <c r="R367" s="1881"/>
    </row>
    <row r="368" spans="2:37" ht="17.45" customHeight="1" x14ac:dyDescent="0.15">
      <c r="C368" s="1881"/>
      <c r="D368" s="1881"/>
      <c r="E368" s="1881"/>
      <c r="F368" s="1881"/>
      <c r="G368" s="1881"/>
      <c r="H368" s="1881"/>
      <c r="I368" s="1881"/>
      <c r="J368" s="1881"/>
      <c r="K368" s="1881"/>
      <c r="L368" s="1881"/>
      <c r="M368" s="1881"/>
      <c r="N368" s="1881"/>
      <c r="O368" s="1881"/>
      <c r="P368" s="1881"/>
      <c r="Q368" s="1881"/>
      <c r="R368" s="1881"/>
    </row>
    <row r="369" spans="2:18" ht="17.45" customHeight="1" x14ac:dyDescent="0.15">
      <c r="C369" s="1515"/>
      <c r="D369" s="1515"/>
      <c r="E369" s="1515"/>
      <c r="F369" s="1515"/>
      <c r="G369" s="1515"/>
      <c r="H369" s="1515"/>
      <c r="I369" s="1515"/>
      <c r="J369" s="1515"/>
      <c r="K369" s="1515"/>
      <c r="L369" s="1515"/>
      <c r="M369" s="1515"/>
      <c r="N369" s="1515"/>
      <c r="O369" s="1515"/>
      <c r="P369" s="1515"/>
      <c r="Q369" s="1515"/>
      <c r="R369" s="1515"/>
    </row>
    <row r="370" spans="2:18" ht="17.45" customHeight="1" x14ac:dyDescent="0.15">
      <c r="B370" s="537" t="s">
        <v>181</v>
      </c>
      <c r="C370" s="1880" t="s">
        <v>520</v>
      </c>
      <c r="D370" s="1881"/>
      <c r="E370" s="1881"/>
      <c r="F370" s="1881"/>
      <c r="G370" s="1881"/>
      <c r="H370" s="1881"/>
      <c r="I370" s="1881"/>
      <c r="J370" s="1881"/>
      <c r="K370" s="1881"/>
      <c r="L370" s="1881"/>
      <c r="M370" s="1881"/>
      <c r="N370" s="1881"/>
      <c r="O370" s="1881"/>
      <c r="P370" s="1881"/>
      <c r="Q370" s="1881"/>
      <c r="R370" s="1881"/>
    </row>
    <row r="371" spans="2:18" ht="17.45" customHeight="1" x14ac:dyDescent="0.15">
      <c r="C371" s="1881"/>
      <c r="D371" s="1881"/>
      <c r="E371" s="1881"/>
      <c r="F371" s="1881"/>
      <c r="G371" s="1881"/>
      <c r="H371" s="1881"/>
      <c r="I371" s="1881"/>
      <c r="J371" s="1881"/>
      <c r="K371" s="1881"/>
      <c r="L371" s="1881"/>
      <c r="M371" s="1881"/>
      <c r="N371" s="1881"/>
      <c r="O371" s="1881"/>
      <c r="P371" s="1881"/>
      <c r="Q371" s="1881"/>
      <c r="R371" s="1881"/>
    </row>
    <row r="372" spans="2:18" ht="17.45" customHeight="1" x14ac:dyDescent="0.15">
      <c r="C372" s="1881"/>
      <c r="D372" s="1881"/>
      <c r="E372" s="1881"/>
      <c r="F372" s="1881"/>
      <c r="G372" s="1881"/>
      <c r="H372" s="1881"/>
      <c r="I372" s="1881"/>
      <c r="J372" s="1881"/>
      <c r="K372" s="1881"/>
      <c r="L372" s="1881"/>
      <c r="M372" s="1881"/>
      <c r="N372" s="1881"/>
      <c r="O372" s="1881"/>
      <c r="P372" s="1881"/>
      <c r="Q372" s="1881"/>
      <c r="R372" s="1881"/>
    </row>
    <row r="373" spans="2:18" ht="17.45" customHeight="1" x14ac:dyDescent="0.15">
      <c r="C373" s="1515"/>
      <c r="D373" s="1515"/>
      <c r="E373" s="1515"/>
      <c r="F373" s="1515"/>
      <c r="G373" s="1515"/>
      <c r="H373" s="1515"/>
      <c r="I373" s="1515"/>
      <c r="J373" s="1515"/>
      <c r="K373" s="1515"/>
      <c r="L373" s="1515"/>
      <c r="M373" s="1515"/>
      <c r="N373" s="1515"/>
      <c r="O373" s="1515"/>
      <c r="P373" s="1515"/>
      <c r="Q373" s="1515"/>
      <c r="R373" s="1515"/>
    </row>
    <row r="374" spans="2:18" ht="17.45" customHeight="1" x14ac:dyDescent="0.15">
      <c r="B374" s="537" t="s">
        <v>179</v>
      </c>
      <c r="C374" s="1880" t="s">
        <v>521</v>
      </c>
      <c r="D374" s="1881"/>
      <c r="E374" s="1881"/>
      <c r="F374" s="1881"/>
      <c r="G374" s="1881"/>
      <c r="H374" s="1881"/>
      <c r="I374" s="1881"/>
      <c r="J374" s="1881"/>
      <c r="K374" s="1881"/>
      <c r="L374" s="1881"/>
      <c r="M374" s="1881"/>
      <c r="N374" s="1881"/>
      <c r="O374" s="1881"/>
      <c r="P374" s="1881"/>
      <c r="Q374" s="1881"/>
      <c r="R374" s="1881"/>
    </row>
    <row r="375" spans="2:18" ht="17.45" customHeight="1" x14ac:dyDescent="0.15">
      <c r="C375" s="1881"/>
      <c r="D375" s="1881"/>
      <c r="E375" s="1881"/>
      <c r="F375" s="1881"/>
      <c r="G375" s="1881"/>
      <c r="H375" s="1881"/>
      <c r="I375" s="1881"/>
      <c r="J375" s="1881"/>
      <c r="K375" s="1881"/>
      <c r="L375" s="1881"/>
      <c r="M375" s="1881"/>
      <c r="N375" s="1881"/>
      <c r="O375" s="1881"/>
      <c r="P375" s="1881"/>
      <c r="Q375" s="1881"/>
      <c r="R375" s="1881"/>
    </row>
    <row r="376" spans="2:18" ht="17.45" customHeight="1" x14ac:dyDescent="0.15">
      <c r="C376" s="1881"/>
      <c r="D376" s="1881"/>
      <c r="E376" s="1881"/>
      <c r="F376" s="1881"/>
      <c r="G376" s="1881"/>
      <c r="H376" s="1881"/>
      <c r="I376" s="1881"/>
      <c r="J376" s="1881"/>
      <c r="K376" s="1881"/>
      <c r="L376" s="1881"/>
      <c r="M376" s="1881"/>
      <c r="N376" s="1881"/>
      <c r="O376" s="1881"/>
      <c r="P376" s="1881"/>
      <c r="Q376" s="1881"/>
      <c r="R376" s="1881"/>
    </row>
    <row r="377" spans="2:18" ht="17.45" customHeight="1" x14ac:dyDescent="0.15">
      <c r="C377" s="1881"/>
      <c r="D377" s="1881"/>
      <c r="E377" s="1881"/>
      <c r="F377" s="1881"/>
      <c r="G377" s="1881"/>
      <c r="H377" s="1881"/>
      <c r="I377" s="1881"/>
      <c r="J377" s="1881"/>
      <c r="K377" s="1881"/>
      <c r="L377" s="1881"/>
      <c r="M377" s="1881"/>
      <c r="N377" s="1881"/>
      <c r="O377" s="1881"/>
      <c r="P377" s="1881"/>
      <c r="Q377" s="1881"/>
      <c r="R377" s="1881"/>
    </row>
    <row r="378" spans="2:18" ht="17.45" customHeight="1" x14ac:dyDescent="0.15">
      <c r="C378" s="1508"/>
      <c r="D378" s="1508"/>
      <c r="E378" s="1508"/>
      <c r="F378" s="1508"/>
      <c r="G378" s="1508"/>
      <c r="H378" s="1508"/>
      <c r="I378" s="1508"/>
      <c r="J378" s="1508"/>
      <c r="K378" s="1508"/>
      <c r="L378" s="1508"/>
      <c r="M378" s="1508"/>
      <c r="N378" s="1508"/>
      <c r="O378" s="1508"/>
      <c r="P378" s="1508"/>
      <c r="Q378" s="1508"/>
      <c r="R378" s="1508"/>
    </row>
    <row r="379" spans="2:18" ht="17.45" customHeight="1" x14ac:dyDescent="0.15">
      <c r="B379" s="537" t="s">
        <v>180</v>
      </c>
      <c r="C379" s="1882" t="s">
        <v>522</v>
      </c>
      <c r="D379" s="1881"/>
      <c r="E379" s="1881"/>
      <c r="F379" s="1881"/>
      <c r="G379" s="1881"/>
      <c r="H379" s="1881"/>
      <c r="I379" s="1881"/>
      <c r="J379" s="1881"/>
      <c r="K379" s="1881"/>
      <c r="L379" s="1881"/>
      <c r="M379" s="1881"/>
      <c r="N379" s="1881"/>
      <c r="O379" s="1881"/>
      <c r="P379" s="1881"/>
      <c r="Q379" s="1881"/>
      <c r="R379" s="1881"/>
    </row>
    <row r="380" spans="2:18" ht="17.45" customHeight="1" x14ac:dyDescent="0.15">
      <c r="C380" s="1881"/>
      <c r="D380" s="1881"/>
      <c r="E380" s="1881"/>
      <c r="F380" s="1881"/>
      <c r="G380" s="1881"/>
      <c r="H380" s="1881"/>
      <c r="I380" s="1881"/>
      <c r="J380" s="1881"/>
      <c r="K380" s="1881"/>
      <c r="L380" s="1881"/>
      <c r="M380" s="1881"/>
      <c r="N380" s="1881"/>
      <c r="O380" s="1881"/>
      <c r="P380" s="1881"/>
      <c r="Q380" s="1881"/>
      <c r="R380" s="1881"/>
    </row>
    <row r="381" spans="2:18" ht="17.45" customHeight="1" x14ac:dyDescent="0.15">
      <c r="C381" s="1881"/>
      <c r="D381" s="1881"/>
      <c r="E381" s="1881"/>
      <c r="F381" s="1881"/>
      <c r="G381" s="1881"/>
      <c r="H381" s="1881"/>
      <c r="I381" s="1881"/>
      <c r="J381" s="1881"/>
      <c r="K381" s="1881"/>
      <c r="L381" s="1881"/>
      <c r="M381" s="1881"/>
      <c r="N381" s="1881"/>
      <c r="O381" s="1881"/>
      <c r="P381" s="1881"/>
      <c r="Q381" s="1881"/>
      <c r="R381" s="1881"/>
    </row>
    <row r="382" spans="2:18" ht="17.45" customHeight="1" x14ac:dyDescent="0.15">
      <c r="C382" s="1881"/>
      <c r="D382" s="1881"/>
      <c r="E382" s="1881"/>
      <c r="F382" s="1881"/>
      <c r="G382" s="1881"/>
      <c r="H382" s="1881"/>
      <c r="I382" s="1881"/>
      <c r="J382" s="1881"/>
      <c r="K382" s="1881"/>
      <c r="L382" s="1881"/>
      <c r="M382" s="1881"/>
      <c r="N382" s="1881"/>
      <c r="O382" s="1881"/>
      <c r="P382" s="1881"/>
      <c r="Q382" s="1881"/>
      <c r="R382" s="1881"/>
    </row>
    <row r="383" spans="2:18" ht="17.45" customHeight="1" x14ac:dyDescent="0.15">
      <c r="C383" s="881"/>
      <c r="D383" s="832"/>
      <c r="E383" s="828"/>
      <c r="F383" s="533"/>
      <c r="J383" s="1516"/>
      <c r="N383" s="841"/>
      <c r="O383" s="554"/>
      <c r="P383" s="537"/>
    </row>
    <row r="384" spans="2:18" ht="17.45" customHeight="1" x14ac:dyDescent="0.15">
      <c r="B384" s="537" t="s">
        <v>182</v>
      </c>
      <c r="C384" s="1882" t="s">
        <v>523</v>
      </c>
      <c r="D384" s="1881"/>
      <c r="E384" s="1881"/>
      <c r="F384" s="1881"/>
      <c r="G384" s="1881"/>
      <c r="H384" s="1881"/>
      <c r="I384" s="1881"/>
      <c r="J384" s="1881"/>
      <c r="K384" s="1881"/>
      <c r="L384" s="1881"/>
      <c r="M384" s="1881"/>
      <c r="N384" s="1881"/>
      <c r="O384" s="1881"/>
      <c r="P384" s="1881"/>
      <c r="Q384" s="1881"/>
      <c r="R384" s="1881"/>
    </row>
    <row r="385" spans="2:32" ht="17.45" customHeight="1" x14ac:dyDescent="0.15">
      <c r="C385" s="1881"/>
      <c r="D385" s="1881"/>
      <c r="E385" s="1881"/>
      <c r="F385" s="1881"/>
      <c r="G385" s="1881"/>
      <c r="H385" s="1881"/>
      <c r="I385" s="1881"/>
      <c r="J385" s="1881"/>
      <c r="K385" s="1881"/>
      <c r="L385" s="1881"/>
      <c r="M385" s="1881"/>
      <c r="N385" s="1881"/>
      <c r="O385" s="1881"/>
      <c r="P385" s="1881"/>
      <c r="Q385" s="1881"/>
      <c r="R385" s="1881"/>
    </row>
    <row r="386" spans="2:32" ht="17.45" customHeight="1" x14ac:dyDescent="0.15">
      <c r="C386" s="1881"/>
      <c r="D386" s="1881"/>
      <c r="E386" s="1881"/>
      <c r="F386" s="1881"/>
      <c r="G386" s="1881"/>
      <c r="H386" s="1881"/>
      <c r="I386" s="1881"/>
      <c r="J386" s="1881"/>
      <c r="K386" s="1881"/>
      <c r="L386" s="1881"/>
      <c r="M386" s="1881"/>
      <c r="N386" s="1881"/>
      <c r="O386" s="1881"/>
      <c r="P386" s="1881"/>
      <c r="Q386" s="1881"/>
      <c r="R386" s="1881"/>
    </row>
    <row r="387" spans="2:32" ht="17.45" customHeight="1" x14ac:dyDescent="0.15">
      <c r="C387" s="1881"/>
      <c r="D387" s="1881"/>
      <c r="E387" s="1881"/>
      <c r="F387" s="1881"/>
      <c r="G387" s="1881"/>
      <c r="H387" s="1881"/>
      <c r="I387" s="1881"/>
      <c r="J387" s="1881"/>
      <c r="K387" s="1881"/>
      <c r="L387" s="1881"/>
      <c r="M387" s="1881"/>
      <c r="N387" s="1881"/>
      <c r="O387" s="1881"/>
      <c r="P387" s="1881"/>
      <c r="Q387" s="1881"/>
      <c r="R387" s="1881"/>
    </row>
    <row r="388" spans="2:32" ht="17.45" customHeight="1" x14ac:dyDescent="0.15">
      <c r="C388" s="1881"/>
      <c r="D388" s="1881"/>
      <c r="E388" s="1881"/>
      <c r="F388" s="1881"/>
      <c r="G388" s="1881"/>
      <c r="H388" s="1881"/>
      <c r="I388" s="1881"/>
      <c r="J388" s="1881"/>
      <c r="K388" s="1881"/>
      <c r="L388" s="1881"/>
      <c r="M388" s="1881"/>
      <c r="N388" s="1881"/>
      <c r="O388" s="1881"/>
      <c r="P388" s="1881"/>
      <c r="Q388" s="1881"/>
      <c r="R388" s="1881"/>
    </row>
    <row r="389" spans="2:32" ht="17.45" customHeight="1" x14ac:dyDescent="0.15">
      <c r="C389" s="834"/>
      <c r="D389" s="832"/>
      <c r="E389" s="828"/>
      <c r="F389" s="533"/>
      <c r="J389" s="1516"/>
      <c r="O389" s="554"/>
      <c r="P389" s="537"/>
      <c r="Q389" s="835"/>
      <c r="R389" s="833"/>
      <c r="AD389" s="820"/>
      <c r="AE389" s="820"/>
      <c r="AF389" s="820"/>
    </row>
    <row r="390" spans="2:32" ht="17.45" customHeight="1" x14ac:dyDescent="0.15">
      <c r="B390" s="537" t="s">
        <v>183</v>
      </c>
      <c r="C390" s="1878" t="s">
        <v>62</v>
      </c>
      <c r="D390" s="1879"/>
      <c r="E390" s="1879"/>
      <c r="F390" s="1879"/>
      <c r="G390" s="1879"/>
      <c r="H390" s="1879"/>
      <c r="I390" s="1879"/>
      <c r="J390" s="1879"/>
      <c r="K390" s="1879"/>
      <c r="L390" s="1879"/>
      <c r="M390" s="1879"/>
      <c r="N390" s="1879"/>
      <c r="O390" s="1879"/>
      <c r="P390" s="1879"/>
      <c r="Q390" s="1879"/>
      <c r="R390" s="1879"/>
      <c r="AD390" s="820"/>
      <c r="AE390" s="820"/>
      <c r="AF390" s="820"/>
    </row>
    <row r="391" spans="2:32" ht="17.45" customHeight="1" x14ac:dyDescent="0.15">
      <c r="C391" s="1879"/>
      <c r="D391" s="1879"/>
      <c r="E391" s="1879"/>
      <c r="F391" s="1879"/>
      <c r="G391" s="1879"/>
      <c r="H391" s="1879"/>
      <c r="I391" s="1879"/>
      <c r="J391" s="1879"/>
      <c r="K391" s="1879"/>
      <c r="L391" s="1879"/>
      <c r="M391" s="1879"/>
      <c r="N391" s="1879"/>
      <c r="O391" s="1879"/>
      <c r="P391" s="1879"/>
      <c r="Q391" s="1879"/>
      <c r="R391" s="1879"/>
      <c r="AD391" s="820"/>
      <c r="AE391" s="820"/>
      <c r="AF391" s="820"/>
    </row>
    <row r="392" spans="2:32" ht="17.45" customHeight="1" x14ac:dyDescent="0.15">
      <c r="C392" s="1881"/>
      <c r="D392" s="1881"/>
      <c r="E392" s="1881"/>
      <c r="F392" s="1881"/>
      <c r="G392" s="1881"/>
      <c r="H392" s="1881"/>
      <c r="I392" s="1881"/>
      <c r="J392" s="1881"/>
      <c r="K392" s="1881"/>
      <c r="L392" s="1881"/>
      <c r="M392" s="1881"/>
      <c r="N392" s="1881"/>
      <c r="O392" s="1881"/>
      <c r="P392" s="1881"/>
      <c r="Q392" s="1881"/>
      <c r="R392" s="1881"/>
      <c r="AD392" s="820"/>
      <c r="AE392" s="820"/>
      <c r="AF392" s="820"/>
    </row>
    <row r="393" spans="2:32" ht="17.45" customHeight="1" x14ac:dyDescent="0.15">
      <c r="C393" s="1881"/>
      <c r="D393" s="1881"/>
      <c r="E393" s="1881"/>
      <c r="F393" s="1881"/>
      <c r="G393" s="1881"/>
      <c r="H393" s="1881"/>
      <c r="I393" s="1881"/>
      <c r="J393" s="1881"/>
      <c r="K393" s="1881"/>
      <c r="L393" s="1881"/>
      <c r="M393" s="1881"/>
      <c r="N393" s="1881"/>
      <c r="O393" s="1881"/>
      <c r="P393" s="1881"/>
      <c r="Q393" s="1881"/>
      <c r="R393" s="1881"/>
      <c r="AD393" s="820"/>
      <c r="AE393" s="820"/>
      <c r="AF393" s="820"/>
    </row>
    <row r="394" spans="2:32" ht="17.45" customHeight="1" x14ac:dyDescent="0.15">
      <c r="C394" s="1881"/>
      <c r="D394" s="1881"/>
      <c r="E394" s="1881"/>
      <c r="F394" s="1881"/>
      <c r="G394" s="1881"/>
      <c r="H394" s="1881"/>
      <c r="I394" s="1881"/>
      <c r="J394" s="1881"/>
      <c r="K394" s="1881"/>
      <c r="L394" s="1881"/>
      <c r="M394" s="1881"/>
      <c r="N394" s="1881"/>
      <c r="O394" s="1881"/>
      <c r="P394" s="1881"/>
      <c r="Q394" s="1881"/>
      <c r="R394" s="1881"/>
      <c r="AD394" s="820"/>
      <c r="AE394" s="820"/>
      <c r="AF394" s="820"/>
    </row>
    <row r="395" spans="2:32" ht="17.45" customHeight="1" x14ac:dyDescent="0.15">
      <c r="C395" s="881"/>
      <c r="D395" s="832"/>
      <c r="E395" s="828"/>
      <c r="F395" s="533"/>
      <c r="J395" s="537"/>
      <c r="O395" s="554"/>
      <c r="AD395" s="820"/>
      <c r="AE395" s="820"/>
      <c r="AF395" s="820"/>
    </row>
    <row r="396" spans="2:32" ht="17.45" customHeight="1" x14ac:dyDescent="0.15">
      <c r="B396" s="537" t="s">
        <v>184</v>
      </c>
      <c r="C396" s="1878" t="s">
        <v>63</v>
      </c>
      <c r="D396" s="1879"/>
      <c r="E396" s="1879"/>
      <c r="F396" s="1879"/>
      <c r="G396" s="1879"/>
      <c r="H396" s="1879"/>
      <c r="I396" s="1879"/>
      <c r="J396" s="1879"/>
      <c r="K396" s="1879"/>
      <c r="L396" s="1879"/>
      <c r="M396" s="1879"/>
      <c r="N396" s="1879"/>
      <c r="O396" s="1879"/>
      <c r="P396" s="1879"/>
      <c r="Q396" s="1879"/>
      <c r="R396" s="1879"/>
      <c r="AD396" s="820"/>
      <c r="AE396" s="820"/>
      <c r="AF396" s="820"/>
    </row>
    <row r="397" spans="2:32" ht="17.45" customHeight="1" x14ac:dyDescent="0.15">
      <c r="C397" s="1879"/>
      <c r="D397" s="1879"/>
      <c r="E397" s="1879"/>
      <c r="F397" s="1879"/>
      <c r="G397" s="1879"/>
      <c r="H397" s="1879"/>
      <c r="I397" s="1879"/>
      <c r="J397" s="1879"/>
      <c r="K397" s="1879"/>
      <c r="L397" s="1879"/>
      <c r="M397" s="1879"/>
      <c r="N397" s="1879"/>
      <c r="O397" s="1879"/>
      <c r="P397" s="1879"/>
      <c r="Q397" s="1879"/>
      <c r="R397" s="1879"/>
      <c r="AD397" s="820"/>
      <c r="AE397" s="820"/>
      <c r="AF397" s="820"/>
    </row>
    <row r="398" spans="2:32" ht="17.45" customHeight="1" x14ac:dyDescent="0.15">
      <c r="C398" s="1879"/>
      <c r="D398" s="1879"/>
      <c r="E398" s="1879"/>
      <c r="F398" s="1879"/>
      <c r="G398" s="1879"/>
      <c r="H398" s="1879"/>
      <c r="I398" s="1879"/>
      <c r="J398" s="1879"/>
      <c r="K398" s="1879"/>
      <c r="L398" s="1879"/>
      <c r="M398" s="1879"/>
      <c r="N398" s="1879"/>
      <c r="O398" s="1879"/>
      <c r="P398" s="1879"/>
      <c r="Q398" s="1879"/>
      <c r="R398" s="1879"/>
      <c r="AD398" s="820"/>
      <c r="AE398" s="820"/>
      <c r="AF398" s="820"/>
    </row>
    <row r="399" spans="2:32" ht="17.45" customHeight="1" x14ac:dyDescent="0.15">
      <c r="C399" s="838"/>
      <c r="D399" s="832"/>
      <c r="E399" s="838"/>
      <c r="F399" s="533"/>
      <c r="H399" s="828"/>
      <c r="K399" s="546"/>
      <c r="L399" s="537"/>
      <c r="M399" s="546"/>
      <c r="N399" s="537"/>
      <c r="O399" s="554"/>
      <c r="AD399" s="820"/>
      <c r="AE399" s="820"/>
      <c r="AF399" s="820"/>
    </row>
    <row r="400" spans="2:32" ht="17.45" customHeight="1" x14ac:dyDescent="0.15">
      <c r="B400" s="537" t="s">
        <v>187</v>
      </c>
      <c r="C400" s="1878" t="s">
        <v>64</v>
      </c>
      <c r="D400" s="1879"/>
      <c r="E400" s="1879"/>
      <c r="F400" s="1879"/>
      <c r="G400" s="1879"/>
      <c r="H400" s="1879"/>
      <c r="I400" s="1879"/>
      <c r="J400" s="1879"/>
      <c r="K400" s="1879"/>
      <c r="L400" s="1879"/>
      <c r="M400" s="1879"/>
      <c r="N400" s="1879"/>
      <c r="O400" s="1879"/>
      <c r="P400" s="1879"/>
      <c r="Q400" s="1879"/>
      <c r="R400" s="1879"/>
      <c r="AD400" s="820"/>
      <c r="AE400" s="820"/>
      <c r="AF400" s="820"/>
    </row>
    <row r="401" spans="2:32" ht="17.45" customHeight="1" x14ac:dyDescent="0.15">
      <c r="C401" s="1879"/>
      <c r="D401" s="1879"/>
      <c r="E401" s="1879"/>
      <c r="F401" s="1879"/>
      <c r="G401" s="1879"/>
      <c r="H401" s="1879"/>
      <c r="I401" s="1879"/>
      <c r="J401" s="1879"/>
      <c r="K401" s="1879"/>
      <c r="L401" s="1879"/>
      <c r="M401" s="1879"/>
      <c r="N401" s="1879"/>
      <c r="O401" s="1879"/>
      <c r="P401" s="1879"/>
      <c r="Q401" s="1879"/>
      <c r="R401" s="1879"/>
      <c r="AD401" s="820"/>
      <c r="AE401" s="820"/>
      <c r="AF401" s="820"/>
    </row>
    <row r="402" spans="2:32" ht="17.45" customHeight="1" x14ac:dyDescent="0.15">
      <c r="C402" s="1879"/>
      <c r="D402" s="1879"/>
      <c r="E402" s="1879"/>
      <c r="F402" s="1879"/>
      <c r="G402" s="1879"/>
      <c r="H402" s="1879"/>
      <c r="I402" s="1879"/>
      <c r="J402" s="1879"/>
      <c r="K402" s="1879"/>
      <c r="L402" s="1879"/>
      <c r="M402" s="1879"/>
      <c r="N402" s="1879"/>
      <c r="O402" s="1879"/>
      <c r="P402" s="1879"/>
      <c r="Q402" s="1879"/>
      <c r="R402" s="1879"/>
    </row>
    <row r="403" spans="2:32" ht="17.45" customHeight="1" x14ac:dyDescent="0.15">
      <c r="C403" s="1515"/>
      <c r="D403" s="1515"/>
      <c r="E403" s="1515"/>
      <c r="F403" s="1515"/>
      <c r="G403" s="1515"/>
      <c r="H403" s="1515"/>
      <c r="I403" s="1515"/>
      <c r="J403" s="1515"/>
      <c r="K403" s="1515"/>
      <c r="L403" s="1515"/>
      <c r="M403" s="1515"/>
      <c r="N403" s="1515"/>
      <c r="O403" s="1515"/>
      <c r="P403" s="1515"/>
      <c r="Q403" s="1515"/>
      <c r="R403" s="1515"/>
    </row>
    <row r="404" spans="2:32" ht="17.45" customHeight="1" x14ac:dyDescent="0.15">
      <c r="B404" s="840" t="s">
        <v>188</v>
      </c>
      <c r="C404" s="1878" t="s">
        <v>65</v>
      </c>
      <c r="D404" s="1879"/>
      <c r="E404" s="1879"/>
      <c r="F404" s="1879"/>
      <c r="G404" s="1879"/>
      <c r="H404" s="1879"/>
      <c r="I404" s="1879"/>
      <c r="J404" s="1879"/>
      <c r="K404" s="1879"/>
      <c r="L404" s="1879"/>
      <c r="M404" s="1879"/>
      <c r="N404" s="1879"/>
      <c r="O404" s="1879"/>
      <c r="P404" s="1879"/>
      <c r="Q404" s="1879"/>
      <c r="R404" s="1879"/>
    </row>
    <row r="405" spans="2:32" ht="17.45" customHeight="1" x14ac:dyDescent="0.15">
      <c r="B405" s="840"/>
      <c r="C405" s="1879"/>
      <c r="D405" s="1879"/>
      <c r="E405" s="1879"/>
      <c r="F405" s="1879"/>
      <c r="G405" s="1879"/>
      <c r="H405" s="1879"/>
      <c r="I405" s="1879"/>
      <c r="J405" s="1879"/>
      <c r="K405" s="1879"/>
      <c r="L405" s="1879"/>
      <c r="M405" s="1879"/>
      <c r="N405" s="1879"/>
      <c r="O405" s="1879"/>
      <c r="P405" s="1879"/>
      <c r="Q405" s="1879"/>
      <c r="R405" s="1879"/>
    </row>
    <row r="406" spans="2:32" ht="17.45" customHeight="1" x14ac:dyDescent="0.15">
      <c r="B406" s="840"/>
      <c r="C406" s="1879"/>
      <c r="D406" s="1879"/>
      <c r="E406" s="1879"/>
      <c r="F406" s="1879"/>
      <c r="G406" s="1879"/>
      <c r="H406" s="1879"/>
      <c r="I406" s="1879"/>
      <c r="J406" s="1879"/>
      <c r="K406" s="1879"/>
      <c r="L406" s="1879"/>
      <c r="M406" s="1879"/>
      <c r="N406" s="1879"/>
      <c r="O406" s="1879"/>
      <c r="P406" s="1879"/>
      <c r="Q406" s="1879"/>
      <c r="R406" s="1879"/>
    </row>
    <row r="407" spans="2:32" ht="17.45" customHeight="1" x14ac:dyDescent="0.15">
      <c r="C407" s="842"/>
      <c r="D407" s="842"/>
      <c r="E407" s="843"/>
      <c r="G407" s="841"/>
      <c r="H407" s="841"/>
      <c r="I407" s="841"/>
      <c r="J407" s="841"/>
      <c r="K407" s="841"/>
      <c r="L407" s="841"/>
      <c r="M407" s="841"/>
      <c r="N407" s="841"/>
      <c r="O407" s="554"/>
    </row>
    <row r="408" spans="2:32" ht="17.45" customHeight="1" x14ac:dyDescent="0.15">
      <c r="B408" s="537" t="s">
        <v>189</v>
      </c>
      <c r="C408" s="1882" t="s">
        <v>66</v>
      </c>
      <c r="D408" s="1881"/>
      <c r="E408" s="1881"/>
      <c r="F408" s="1881"/>
      <c r="G408" s="1881"/>
      <c r="H408" s="1881"/>
      <c r="I408" s="1881"/>
      <c r="J408" s="1881"/>
      <c r="K408" s="1881"/>
      <c r="L408" s="1881"/>
      <c r="M408" s="1881"/>
      <c r="N408" s="1881"/>
      <c r="O408" s="1881"/>
      <c r="P408" s="1881"/>
      <c r="Q408" s="1881"/>
      <c r="R408" s="1881"/>
    </row>
    <row r="409" spans="2:32" ht="17.45" customHeight="1" x14ac:dyDescent="0.15">
      <c r="C409" s="1881"/>
      <c r="D409" s="1881"/>
      <c r="E409" s="1881"/>
      <c r="F409" s="1881"/>
      <c r="G409" s="1881"/>
      <c r="H409" s="1881"/>
      <c r="I409" s="1881"/>
      <c r="J409" s="1881"/>
      <c r="K409" s="1881"/>
      <c r="L409" s="1881"/>
      <c r="M409" s="1881"/>
      <c r="N409" s="1881"/>
      <c r="O409" s="1881"/>
      <c r="P409" s="1881"/>
      <c r="Q409" s="1881"/>
      <c r="R409" s="1881"/>
    </row>
    <row r="410" spans="2:32" ht="17.45" customHeight="1" x14ac:dyDescent="0.15">
      <c r="C410" s="1881"/>
      <c r="D410" s="1881"/>
      <c r="E410" s="1881"/>
      <c r="F410" s="1881"/>
      <c r="G410" s="1881"/>
      <c r="H410" s="1881"/>
      <c r="I410" s="1881"/>
      <c r="J410" s="1881"/>
      <c r="K410" s="1881"/>
      <c r="L410" s="1881"/>
      <c r="M410" s="1881"/>
      <c r="N410" s="1881"/>
      <c r="O410" s="1881"/>
      <c r="P410" s="1881"/>
      <c r="Q410" s="1881"/>
      <c r="R410" s="1881"/>
    </row>
    <row r="411" spans="2:32" ht="17.45" customHeight="1" x14ac:dyDescent="0.15">
      <c r="C411" s="1881"/>
      <c r="D411" s="1881"/>
      <c r="E411" s="1881"/>
      <c r="F411" s="1881"/>
      <c r="G411" s="1881"/>
      <c r="H411" s="1881"/>
      <c r="I411" s="1881"/>
      <c r="J411" s="1881"/>
      <c r="K411" s="1881"/>
      <c r="L411" s="1881"/>
      <c r="M411" s="1881"/>
      <c r="N411" s="1881"/>
      <c r="O411" s="1881"/>
      <c r="P411" s="1881"/>
      <c r="Q411" s="1881"/>
      <c r="R411" s="1881"/>
    </row>
    <row r="412" spans="2:32" ht="17.45" customHeight="1" x14ac:dyDescent="0.15">
      <c r="D412" s="841"/>
      <c r="E412" s="434"/>
      <c r="F412" s="824"/>
      <c r="H412" s="533"/>
      <c r="J412" s="533"/>
      <c r="M412" s="533"/>
      <c r="O412" s="536"/>
      <c r="P412" s="537"/>
      <c r="Q412" s="833"/>
      <c r="R412" s="833"/>
    </row>
    <row r="413" spans="2:32" ht="17.45" customHeight="1" x14ac:dyDescent="0.15">
      <c r="B413" s="537" t="s">
        <v>190</v>
      </c>
      <c r="C413" s="1878" t="s">
        <v>78</v>
      </c>
      <c r="D413" s="1881"/>
      <c r="E413" s="1881"/>
      <c r="F413" s="1881"/>
      <c r="G413" s="1881"/>
      <c r="H413" s="1881"/>
      <c r="I413" s="1881"/>
      <c r="J413" s="1881"/>
      <c r="K413" s="1881"/>
      <c r="L413" s="1881"/>
      <c r="M413" s="1881"/>
      <c r="N413" s="1881"/>
      <c r="O413" s="1881"/>
      <c r="P413" s="1881"/>
      <c r="Q413" s="1881"/>
      <c r="R413" s="1881"/>
    </row>
    <row r="414" spans="2:32" ht="17.45" customHeight="1" x14ac:dyDescent="0.15">
      <c r="C414" s="1881"/>
      <c r="D414" s="1881"/>
      <c r="E414" s="1881"/>
      <c r="F414" s="1881"/>
      <c r="G414" s="1881"/>
      <c r="H414" s="1881"/>
      <c r="I414" s="1881"/>
      <c r="J414" s="1881"/>
      <c r="K414" s="1881"/>
      <c r="L414" s="1881"/>
      <c r="M414" s="1881"/>
      <c r="N414" s="1881"/>
      <c r="O414" s="1881"/>
      <c r="P414" s="1881"/>
      <c r="Q414" s="1881"/>
      <c r="R414" s="1881"/>
    </row>
    <row r="415" spans="2:32" ht="17.45" customHeight="1" x14ac:dyDescent="0.15">
      <c r="C415" s="1506"/>
      <c r="D415" s="1506"/>
      <c r="E415" s="1506"/>
      <c r="F415" s="1506"/>
      <c r="G415" s="1506"/>
      <c r="H415" s="1506"/>
      <c r="I415" s="1506"/>
      <c r="J415" s="1506"/>
      <c r="K415" s="1506"/>
      <c r="L415" s="1506"/>
      <c r="M415" s="1506"/>
      <c r="N415" s="1506"/>
      <c r="O415" s="1506"/>
      <c r="P415" s="1506"/>
      <c r="Q415" s="1506"/>
      <c r="R415" s="1506"/>
    </row>
    <row r="416" spans="2:32" ht="17.45" customHeight="1" x14ac:dyDescent="0.15">
      <c r="B416" s="537" t="s">
        <v>191</v>
      </c>
      <c r="C416" s="1880" t="s">
        <v>811</v>
      </c>
      <c r="D416" s="1881"/>
      <c r="E416" s="1881"/>
      <c r="F416" s="1881"/>
      <c r="G416" s="1881"/>
      <c r="H416" s="1881"/>
      <c r="I416" s="1881"/>
      <c r="J416" s="1881"/>
      <c r="K416" s="1881"/>
      <c r="L416" s="1881"/>
      <c r="M416" s="1881"/>
      <c r="N416" s="1881"/>
      <c r="O416" s="1881"/>
      <c r="P416" s="1881"/>
      <c r="Q416" s="1881"/>
      <c r="R416" s="1881"/>
    </row>
    <row r="417" spans="2:18" ht="17.45" customHeight="1" x14ac:dyDescent="0.15">
      <c r="C417" s="1881"/>
      <c r="D417" s="1881"/>
      <c r="E417" s="1881"/>
      <c r="F417" s="1881"/>
      <c r="G417" s="1881"/>
      <c r="H417" s="1881"/>
      <c r="I417" s="1881"/>
      <c r="J417" s="1881"/>
      <c r="K417" s="1881"/>
      <c r="L417" s="1881"/>
      <c r="M417" s="1881"/>
      <c r="N417" s="1881"/>
      <c r="O417" s="1881"/>
      <c r="P417" s="1881"/>
      <c r="Q417" s="1881"/>
      <c r="R417" s="1881"/>
    </row>
    <row r="418" spans="2:18" ht="17.45" customHeight="1" x14ac:dyDescent="0.15">
      <c r="C418" s="1881"/>
      <c r="D418" s="1881"/>
      <c r="E418" s="1881"/>
      <c r="F418" s="1881"/>
      <c r="G418" s="1881"/>
      <c r="H418" s="1881"/>
      <c r="I418" s="1881"/>
      <c r="J418" s="1881"/>
      <c r="K418" s="1881"/>
      <c r="L418" s="1881"/>
      <c r="M418" s="1881"/>
      <c r="N418" s="1881"/>
      <c r="O418" s="1881"/>
      <c r="P418" s="1881"/>
      <c r="Q418" s="1881"/>
      <c r="R418" s="1881"/>
    </row>
    <row r="419" spans="2:18" ht="17.45" customHeight="1" x14ac:dyDescent="0.15">
      <c r="C419" s="832"/>
      <c r="D419" s="832"/>
      <c r="E419" s="836"/>
      <c r="F419" s="536"/>
      <c r="G419" s="849"/>
      <c r="H419" s="850"/>
      <c r="I419" s="554"/>
      <c r="J419" s="554"/>
      <c r="K419" s="554"/>
      <c r="L419" s="554"/>
      <c r="M419" s="536"/>
      <c r="N419" s="554"/>
      <c r="O419" s="554"/>
      <c r="P419" s="537"/>
      <c r="Q419" s="833"/>
      <c r="R419" s="833"/>
    </row>
    <row r="420" spans="2:18" ht="17.45" customHeight="1" x14ac:dyDescent="0.15">
      <c r="B420" s="537" t="s">
        <v>192</v>
      </c>
      <c r="C420" s="1880" t="s">
        <v>67</v>
      </c>
      <c r="D420" s="1881"/>
      <c r="E420" s="1881"/>
      <c r="F420" s="1881"/>
      <c r="G420" s="1881"/>
      <c r="H420" s="1881"/>
      <c r="I420" s="1881"/>
      <c r="J420" s="1881"/>
      <c r="K420" s="1881"/>
      <c r="L420" s="1881"/>
      <c r="M420" s="1881"/>
      <c r="N420" s="1881"/>
      <c r="O420" s="1881"/>
      <c r="P420" s="1881"/>
      <c r="Q420" s="1881"/>
      <c r="R420" s="1881"/>
    </row>
    <row r="421" spans="2:18" ht="17.45" customHeight="1" x14ac:dyDescent="0.15">
      <c r="C421" s="1881"/>
      <c r="D421" s="1881"/>
      <c r="E421" s="1881"/>
      <c r="F421" s="1881"/>
      <c r="G421" s="1881"/>
      <c r="H421" s="1881"/>
      <c r="I421" s="1881"/>
      <c r="J421" s="1881"/>
      <c r="K421" s="1881"/>
      <c r="L421" s="1881"/>
      <c r="M421" s="1881"/>
      <c r="N421" s="1881"/>
      <c r="O421" s="1881"/>
      <c r="P421" s="1881"/>
      <c r="Q421" s="1881"/>
      <c r="R421" s="1881"/>
    </row>
    <row r="422" spans="2:18" ht="17.45" customHeight="1" x14ac:dyDescent="0.15">
      <c r="C422" s="1881"/>
      <c r="D422" s="1881"/>
      <c r="E422" s="1881"/>
      <c r="F422" s="1881"/>
      <c r="G422" s="1881"/>
      <c r="H422" s="1881"/>
      <c r="I422" s="1881"/>
      <c r="J422" s="1881"/>
      <c r="K422" s="1881"/>
      <c r="L422" s="1881"/>
      <c r="M422" s="1881"/>
      <c r="N422" s="1881"/>
      <c r="O422" s="1881"/>
      <c r="P422" s="1881"/>
      <c r="Q422" s="1881"/>
      <c r="R422" s="1881"/>
    </row>
    <row r="423" spans="2:18" ht="17.45" customHeight="1" x14ac:dyDescent="0.15">
      <c r="C423" s="832"/>
      <c r="D423" s="832"/>
      <c r="E423" s="828"/>
      <c r="F423" s="533"/>
      <c r="J423" s="533"/>
      <c r="M423" s="533"/>
      <c r="O423" s="554"/>
      <c r="P423" s="537"/>
    </row>
    <row r="424" spans="2:18" ht="17.45" customHeight="1" x14ac:dyDescent="0.15">
      <c r="B424" s="537" t="s">
        <v>193</v>
      </c>
      <c r="C424" s="1884" t="s">
        <v>68</v>
      </c>
      <c r="D424" s="1881"/>
      <c r="E424" s="1881"/>
      <c r="F424" s="1881"/>
      <c r="G424" s="1881"/>
      <c r="H424" s="1881"/>
      <c r="I424" s="1881"/>
      <c r="J424" s="1881"/>
      <c r="K424" s="1881"/>
      <c r="L424" s="1881"/>
      <c r="M424" s="1881"/>
      <c r="N424" s="1881"/>
      <c r="O424" s="1881"/>
      <c r="P424" s="1881"/>
      <c r="Q424" s="1881"/>
      <c r="R424" s="1881"/>
    </row>
    <row r="425" spans="2:18" ht="17.45" customHeight="1" x14ac:dyDescent="0.15">
      <c r="C425" s="1881"/>
      <c r="D425" s="1881"/>
      <c r="E425" s="1881"/>
      <c r="F425" s="1881"/>
      <c r="G425" s="1881"/>
      <c r="H425" s="1881"/>
      <c r="I425" s="1881"/>
      <c r="J425" s="1881"/>
      <c r="K425" s="1881"/>
      <c r="L425" s="1881"/>
      <c r="M425" s="1881"/>
      <c r="N425" s="1881"/>
      <c r="O425" s="1881"/>
      <c r="P425" s="1881"/>
      <c r="Q425" s="1881"/>
      <c r="R425" s="1881"/>
    </row>
    <row r="426" spans="2:18" ht="17.45" customHeight="1" x14ac:dyDescent="0.15">
      <c r="C426" s="1881"/>
      <c r="D426" s="1881"/>
      <c r="E426" s="1881"/>
      <c r="F426" s="1881"/>
      <c r="G426" s="1881"/>
      <c r="H426" s="1881"/>
      <c r="I426" s="1881"/>
      <c r="J426" s="1881"/>
      <c r="K426" s="1881"/>
      <c r="L426" s="1881"/>
      <c r="M426" s="1881"/>
      <c r="N426" s="1881"/>
      <c r="O426" s="1881"/>
      <c r="P426" s="1881"/>
      <c r="Q426" s="1881"/>
      <c r="R426" s="1881"/>
    </row>
    <row r="427" spans="2:18" ht="17.45" customHeight="1" x14ac:dyDescent="0.15">
      <c r="C427" s="1881"/>
      <c r="D427" s="1881"/>
      <c r="E427" s="1881"/>
      <c r="F427" s="1881"/>
      <c r="G427" s="1881"/>
      <c r="H427" s="1881"/>
      <c r="I427" s="1881"/>
      <c r="J427" s="1881"/>
      <c r="K427" s="1881"/>
      <c r="L427" s="1881"/>
      <c r="M427" s="1881"/>
      <c r="N427" s="1881"/>
      <c r="O427" s="1881"/>
      <c r="P427" s="1881"/>
      <c r="Q427" s="1881"/>
      <c r="R427" s="1881"/>
    </row>
    <row r="428" spans="2:18" ht="17.45" customHeight="1" x14ac:dyDescent="0.15">
      <c r="C428" s="1521"/>
      <c r="D428" s="1521"/>
      <c r="E428" s="1521"/>
      <c r="F428" s="1521"/>
      <c r="G428" s="1521"/>
      <c r="H428" s="1521"/>
      <c r="I428" s="1521"/>
      <c r="J428" s="1521"/>
      <c r="K428" s="1521"/>
      <c r="L428" s="1521"/>
      <c r="M428" s="1521"/>
      <c r="N428" s="1521"/>
      <c r="O428" s="1521"/>
      <c r="P428" s="1521"/>
      <c r="Q428" s="1521"/>
      <c r="R428" s="1521"/>
    </row>
    <row r="429" spans="2:18" ht="17.45" customHeight="1" x14ac:dyDescent="0.15">
      <c r="B429" s="537" t="s">
        <v>195</v>
      </c>
      <c r="C429" s="1882" t="s">
        <v>69</v>
      </c>
      <c r="D429" s="1881"/>
      <c r="E429" s="1881"/>
      <c r="F429" s="1881"/>
      <c r="G429" s="1881"/>
      <c r="H429" s="1881"/>
      <c r="I429" s="1881"/>
      <c r="J429" s="1881"/>
      <c r="K429" s="1881"/>
      <c r="L429" s="1881"/>
      <c r="M429" s="1881"/>
      <c r="N429" s="1881"/>
      <c r="O429" s="1881"/>
      <c r="P429" s="1881"/>
      <c r="Q429" s="1881"/>
      <c r="R429" s="1881"/>
    </row>
    <row r="430" spans="2:18" ht="17.45" customHeight="1" x14ac:dyDescent="0.15">
      <c r="C430" s="1881"/>
      <c r="D430" s="1881"/>
      <c r="E430" s="1881"/>
      <c r="F430" s="1881"/>
      <c r="G430" s="1881"/>
      <c r="H430" s="1881"/>
      <c r="I430" s="1881"/>
      <c r="J430" s="1881"/>
      <c r="K430" s="1881"/>
      <c r="L430" s="1881"/>
      <c r="M430" s="1881"/>
      <c r="N430" s="1881"/>
      <c r="O430" s="1881"/>
      <c r="P430" s="1881"/>
      <c r="Q430" s="1881"/>
      <c r="R430" s="1881"/>
    </row>
    <row r="431" spans="2:18" ht="17.45" customHeight="1" x14ac:dyDescent="0.15">
      <c r="C431" s="1881"/>
      <c r="D431" s="1881"/>
      <c r="E431" s="1881"/>
      <c r="F431" s="1881"/>
      <c r="G431" s="1881"/>
      <c r="H431" s="1881"/>
      <c r="I431" s="1881"/>
      <c r="J431" s="1881"/>
      <c r="K431" s="1881"/>
      <c r="L431" s="1881"/>
      <c r="M431" s="1881"/>
      <c r="N431" s="1881"/>
      <c r="O431" s="1881"/>
      <c r="P431" s="1881"/>
      <c r="Q431" s="1881"/>
      <c r="R431" s="1881"/>
    </row>
    <row r="432" spans="2:18" ht="27" customHeight="1" x14ac:dyDescent="0.15">
      <c r="B432" s="891"/>
      <c r="C432" s="1883"/>
      <c r="D432" s="1883"/>
      <c r="E432" s="1883"/>
      <c r="F432" s="1883"/>
      <c r="G432" s="1883"/>
      <c r="H432" s="1883"/>
      <c r="I432" s="1883"/>
      <c r="J432" s="1883"/>
      <c r="K432" s="1883"/>
      <c r="L432" s="1883"/>
      <c r="M432" s="1883"/>
      <c r="N432" s="1883"/>
      <c r="O432" s="1883"/>
      <c r="P432" s="1883"/>
      <c r="Q432" s="1883"/>
      <c r="R432" s="1883"/>
    </row>
    <row r="433" spans="2:18" ht="14.25" x14ac:dyDescent="0.15">
      <c r="B433" s="857"/>
      <c r="C433" s="820"/>
      <c r="D433" s="820"/>
      <c r="O433" s="820"/>
    </row>
    <row r="434" spans="2:18" ht="17.45" customHeight="1" x14ac:dyDescent="0.15">
      <c r="C434" s="1885" t="s">
        <v>79</v>
      </c>
      <c r="D434" s="1885"/>
      <c r="E434" s="1885"/>
      <c r="F434" s="1885"/>
      <c r="G434" s="1885"/>
      <c r="H434" s="1885"/>
      <c r="I434" s="1885"/>
      <c r="J434" s="1885"/>
      <c r="K434" s="1885"/>
      <c r="L434" s="1885"/>
      <c r="M434" s="1885"/>
      <c r="N434" s="1885"/>
      <c r="O434" s="1885"/>
      <c r="P434" s="1885"/>
      <c r="Q434" s="1885"/>
      <c r="R434" s="1885"/>
    </row>
    <row r="435" spans="2:18" ht="17.45" customHeight="1" x14ac:dyDescent="0.15">
      <c r="C435" s="1886"/>
      <c r="D435" s="1886"/>
      <c r="E435" s="1886"/>
      <c r="F435" s="1886"/>
      <c r="G435" s="1886"/>
      <c r="H435" s="1886"/>
      <c r="I435" s="1886"/>
      <c r="J435" s="1886"/>
      <c r="K435" s="1886"/>
      <c r="L435" s="1886"/>
      <c r="M435" s="1886"/>
      <c r="N435" s="1886"/>
      <c r="O435" s="1886"/>
      <c r="P435" s="1886"/>
      <c r="Q435" s="1886"/>
      <c r="R435" s="1886"/>
    </row>
    <row r="436" spans="2:18" ht="17.45" customHeight="1" x14ac:dyDescent="0.15">
      <c r="C436" s="537"/>
      <c r="D436" s="537"/>
      <c r="E436" s="537"/>
      <c r="F436" s="537"/>
      <c r="G436" s="537"/>
      <c r="H436" s="537"/>
      <c r="I436" s="537"/>
      <c r="J436" s="537"/>
      <c r="K436" s="537"/>
      <c r="L436" s="537"/>
      <c r="M436" s="537"/>
      <c r="N436" s="537"/>
    </row>
    <row r="437" spans="2:18" ht="17.45" customHeight="1" x14ac:dyDescent="0.15">
      <c r="C437" s="881"/>
      <c r="D437" s="881"/>
      <c r="E437" s="882"/>
      <c r="F437" s="828"/>
      <c r="N437" s="824"/>
    </row>
    <row r="438" spans="2:18" ht="17.45" customHeight="1" x14ac:dyDescent="0.15">
      <c r="B438" s="891"/>
      <c r="C438" s="884"/>
      <c r="D438" s="885"/>
      <c r="E438" s="886"/>
    </row>
    <row r="439" spans="2:18" ht="17.45" customHeight="1" x14ac:dyDescent="0.15">
      <c r="B439" s="857"/>
      <c r="C439" s="884"/>
      <c r="D439" s="885"/>
      <c r="E439" s="886"/>
      <c r="F439" s="533"/>
      <c r="G439" s="533"/>
      <c r="H439" s="533"/>
      <c r="I439" s="533"/>
    </row>
    <row r="440" spans="2:18" ht="17.45" customHeight="1" x14ac:dyDescent="0.15">
      <c r="B440" s="857"/>
      <c r="C440" s="884"/>
      <c r="D440" s="885"/>
      <c r="E440" s="886"/>
      <c r="F440" s="533"/>
      <c r="H440" s="533"/>
      <c r="I440" s="533"/>
    </row>
    <row r="441" spans="2:18" ht="17.45" customHeight="1" x14ac:dyDescent="0.15">
      <c r="B441" s="891"/>
      <c r="C441" s="884"/>
      <c r="D441" s="885"/>
      <c r="E441" s="886"/>
      <c r="F441" s="533"/>
      <c r="H441" s="533"/>
      <c r="I441" s="533"/>
    </row>
    <row r="442" spans="2:18" ht="17.45" customHeight="1" x14ac:dyDescent="0.15">
      <c r="B442" s="857"/>
      <c r="C442" s="884"/>
      <c r="D442" s="885"/>
      <c r="E442" s="886"/>
      <c r="F442" s="533"/>
      <c r="H442" s="533"/>
      <c r="I442" s="533"/>
    </row>
    <row r="443" spans="2:18" ht="17.45" customHeight="1" x14ac:dyDescent="0.15">
      <c r="B443" s="857"/>
      <c r="C443" s="884"/>
      <c r="D443" s="885"/>
      <c r="E443" s="886"/>
      <c r="F443" s="533"/>
      <c r="H443" s="533"/>
      <c r="I443" s="533"/>
    </row>
    <row r="444" spans="2:18" ht="17.45" customHeight="1" x14ac:dyDescent="0.15">
      <c r="B444" s="819"/>
      <c r="C444" s="884"/>
      <c r="D444" s="885"/>
      <c r="E444" s="886"/>
      <c r="F444" s="533"/>
      <c r="G444" s="533"/>
      <c r="H444" s="533"/>
      <c r="I444" s="533"/>
    </row>
    <row r="445" spans="2:18" ht="17.45" customHeight="1" x14ac:dyDescent="0.15">
      <c r="B445" s="857"/>
      <c r="C445" s="884"/>
      <c r="D445" s="885"/>
      <c r="E445" s="886"/>
      <c r="F445" s="533"/>
      <c r="G445" s="533"/>
      <c r="H445" s="533"/>
      <c r="I445" s="533"/>
    </row>
    <row r="446" spans="2:18" ht="17.45" customHeight="1" x14ac:dyDescent="0.15">
      <c r="B446" s="857"/>
      <c r="C446" s="884"/>
      <c r="D446" s="884"/>
      <c r="E446" s="884"/>
      <c r="F446" s="533"/>
      <c r="G446" s="533"/>
      <c r="H446" s="533"/>
      <c r="I446" s="533"/>
    </row>
    <row r="447" spans="2:18" ht="17.45" customHeight="1" x14ac:dyDescent="0.15">
      <c r="B447" s="891"/>
      <c r="C447" s="884"/>
      <c r="D447" s="884"/>
      <c r="E447" s="884"/>
      <c r="F447" s="533"/>
      <c r="G447" s="533"/>
      <c r="H447" s="533"/>
      <c r="I447" s="533"/>
    </row>
    <row r="448" spans="2:18" ht="17.45" customHeight="1" x14ac:dyDescent="0.15">
      <c r="B448" s="857"/>
      <c r="C448" s="884"/>
      <c r="D448" s="884"/>
      <c r="E448" s="884"/>
      <c r="F448" s="533"/>
      <c r="G448" s="533"/>
      <c r="H448" s="533"/>
      <c r="I448" s="533"/>
    </row>
    <row r="449" spans="2:14" ht="17.45" customHeight="1" x14ac:dyDescent="0.15">
      <c r="B449" s="891"/>
      <c r="C449" s="884"/>
      <c r="D449" s="884"/>
      <c r="E449" s="884"/>
      <c r="F449" s="533"/>
      <c r="G449" s="533"/>
      <c r="H449" s="533"/>
      <c r="I449" s="533"/>
    </row>
    <row r="450" spans="2:14" ht="17.45" customHeight="1" x14ac:dyDescent="0.15">
      <c r="B450" s="857"/>
      <c r="C450" s="884"/>
      <c r="D450" s="884"/>
      <c r="E450" s="884"/>
      <c r="F450" s="533"/>
      <c r="G450" s="533"/>
      <c r="H450" s="533"/>
      <c r="I450" s="533"/>
    </row>
    <row r="451" spans="2:14" ht="17.45" customHeight="1" x14ac:dyDescent="0.15">
      <c r="B451" s="891"/>
      <c r="C451" s="884"/>
      <c r="D451" s="884"/>
      <c r="E451" s="884"/>
      <c r="F451" s="533"/>
      <c r="G451" s="533"/>
      <c r="H451" s="533"/>
      <c r="I451" s="533"/>
    </row>
    <row r="452" spans="2:14" ht="17.45" customHeight="1" x14ac:dyDescent="0.15">
      <c r="B452" s="891"/>
      <c r="C452" s="884"/>
      <c r="D452" s="884"/>
      <c r="E452" s="884"/>
      <c r="F452" s="533"/>
      <c r="G452" s="533"/>
      <c r="H452" s="533"/>
      <c r="I452" s="533"/>
    </row>
    <row r="453" spans="2:14" ht="17.45" customHeight="1" x14ac:dyDescent="0.15">
      <c r="B453" s="891"/>
      <c r="C453" s="884"/>
      <c r="D453" s="884"/>
      <c r="E453" s="884"/>
      <c r="F453" s="533"/>
      <c r="G453" s="533"/>
      <c r="H453" s="533"/>
      <c r="I453" s="533"/>
    </row>
    <row r="454" spans="2:14" ht="17.45" customHeight="1" x14ac:dyDescent="0.15">
      <c r="C454" s="884"/>
      <c r="D454" s="884"/>
      <c r="E454" s="884"/>
      <c r="F454" s="533"/>
      <c r="G454" s="533"/>
      <c r="H454" s="533"/>
      <c r="I454" s="533"/>
    </row>
    <row r="455" spans="2:14" ht="17.45" customHeight="1" x14ac:dyDescent="0.15">
      <c r="B455" s="883"/>
      <c r="C455" s="884"/>
      <c r="D455" s="884"/>
      <c r="E455" s="884"/>
      <c r="F455" s="533"/>
      <c r="G455" s="533"/>
      <c r="H455" s="533"/>
      <c r="I455" s="533"/>
    </row>
    <row r="456" spans="2:14" ht="17.45" customHeight="1" x14ac:dyDescent="0.15">
      <c r="B456" s="891"/>
      <c r="C456" s="862"/>
      <c r="D456" s="820"/>
      <c r="E456" s="870"/>
      <c r="F456" s="533"/>
      <c r="G456" s="533"/>
      <c r="H456" s="533"/>
      <c r="I456" s="533"/>
      <c r="N456" s="823"/>
    </row>
    <row r="457" spans="2:14" ht="17.45" customHeight="1" x14ac:dyDescent="0.15">
      <c r="B457" s="857"/>
      <c r="C457" s="537"/>
      <c r="D457" s="537"/>
      <c r="E457" s="537"/>
      <c r="F457" s="537"/>
      <c r="G457" s="537"/>
      <c r="H457" s="537"/>
      <c r="I457" s="537"/>
      <c r="J457" s="537"/>
      <c r="K457" s="537"/>
      <c r="L457" s="537"/>
      <c r="M457" s="537"/>
      <c r="N457" s="537"/>
    </row>
    <row r="458" spans="2:14" ht="17.45" customHeight="1" x14ac:dyDescent="0.15">
      <c r="B458" s="891"/>
      <c r="C458" s="881"/>
      <c r="D458" s="881"/>
      <c r="E458" s="882"/>
      <c r="F458" s="828"/>
      <c r="N458" s="824"/>
    </row>
    <row r="459" spans="2:14" ht="17.45" customHeight="1" x14ac:dyDescent="0.15">
      <c r="C459" s="884"/>
      <c r="D459" s="885"/>
      <c r="E459" s="886"/>
      <c r="F459" s="533"/>
      <c r="G459" s="533"/>
      <c r="H459" s="533"/>
      <c r="I459" s="533"/>
    </row>
    <row r="460" spans="2:14" ht="17.45" customHeight="1" x14ac:dyDescent="0.15">
      <c r="C460" s="884"/>
      <c r="D460" s="885"/>
      <c r="E460" s="886"/>
      <c r="F460" s="533"/>
      <c r="G460" s="533"/>
      <c r="H460" s="533"/>
      <c r="I460" s="533"/>
    </row>
    <row r="461" spans="2:14" ht="17.45" customHeight="1" x14ac:dyDescent="0.15">
      <c r="B461" s="857"/>
      <c r="C461" s="884"/>
      <c r="D461" s="885"/>
      <c r="E461" s="886"/>
      <c r="F461" s="533"/>
      <c r="G461" s="533"/>
      <c r="H461" s="533"/>
      <c r="I461" s="533"/>
    </row>
    <row r="462" spans="2:14" ht="17.45" customHeight="1" x14ac:dyDescent="0.15">
      <c r="B462" s="891"/>
      <c r="C462" s="884"/>
      <c r="D462" s="885"/>
      <c r="E462" s="886"/>
      <c r="F462" s="533"/>
      <c r="G462" s="533"/>
      <c r="H462" s="533"/>
      <c r="I462" s="533"/>
    </row>
    <row r="463" spans="2:14" ht="17.45" customHeight="1" x14ac:dyDescent="0.15">
      <c r="B463" s="857"/>
      <c r="C463" s="884"/>
      <c r="D463" s="885"/>
      <c r="E463" s="886"/>
      <c r="F463" s="533"/>
      <c r="G463" s="533"/>
      <c r="H463" s="533"/>
      <c r="I463" s="533"/>
    </row>
    <row r="464" spans="2:14" ht="17.45" customHeight="1" x14ac:dyDescent="0.15">
      <c r="C464" s="884"/>
      <c r="D464" s="884"/>
      <c r="E464" s="884"/>
      <c r="F464" s="533"/>
      <c r="G464" s="533"/>
      <c r="H464" s="533"/>
      <c r="I464" s="533"/>
    </row>
    <row r="465" spans="2:9" ht="17.45" customHeight="1" x14ac:dyDescent="0.15">
      <c r="C465" s="884"/>
      <c r="D465" s="884"/>
      <c r="E465" s="884"/>
      <c r="F465" s="533"/>
      <c r="G465" s="533"/>
      <c r="H465" s="533"/>
      <c r="I465" s="533"/>
    </row>
    <row r="466" spans="2:9" ht="17.45" customHeight="1" x14ac:dyDescent="0.15">
      <c r="B466" s="857"/>
      <c r="C466" s="884"/>
      <c r="D466" s="884"/>
      <c r="E466" s="884"/>
      <c r="F466" s="533"/>
      <c r="G466" s="533"/>
      <c r="H466" s="533"/>
      <c r="I466" s="533"/>
    </row>
    <row r="467" spans="2:9" ht="17.45" customHeight="1" x14ac:dyDescent="0.15">
      <c r="B467" s="857"/>
      <c r="C467" s="884"/>
      <c r="D467" s="884"/>
      <c r="E467" s="884"/>
      <c r="F467" s="533"/>
      <c r="G467" s="533"/>
      <c r="H467" s="533"/>
      <c r="I467" s="533"/>
    </row>
    <row r="468" spans="2:9" ht="17.45" customHeight="1" x14ac:dyDescent="0.15">
      <c r="B468" s="891"/>
      <c r="C468" s="884"/>
      <c r="D468" s="884"/>
      <c r="E468" s="884"/>
      <c r="F468" s="533"/>
      <c r="G468" s="533"/>
      <c r="H468" s="533"/>
      <c r="I468" s="533"/>
    </row>
    <row r="469" spans="2:9" ht="17.45" customHeight="1" x14ac:dyDescent="0.15">
      <c r="B469" s="891"/>
    </row>
    <row r="470" spans="2:9" ht="17.45" customHeight="1" x14ac:dyDescent="0.15">
      <c r="C470" s="820"/>
      <c r="D470" s="820"/>
    </row>
    <row r="471" spans="2:9" ht="17.45" customHeight="1" x14ac:dyDescent="0.15">
      <c r="B471" s="857"/>
      <c r="C471" s="820"/>
      <c r="D471" s="820"/>
    </row>
    <row r="472" spans="2:9" ht="17.45" customHeight="1" x14ac:dyDescent="0.15">
      <c r="C472" s="820"/>
      <c r="D472" s="820"/>
    </row>
    <row r="473" spans="2:9" ht="17.45" customHeight="1" x14ac:dyDescent="0.15">
      <c r="C473" s="820"/>
      <c r="D473" s="820"/>
    </row>
    <row r="474" spans="2:9" ht="17.45" customHeight="1" x14ac:dyDescent="0.15">
      <c r="C474" s="820"/>
      <c r="D474" s="820"/>
    </row>
    <row r="475" spans="2:9" ht="17.45" customHeight="1" x14ac:dyDescent="0.15">
      <c r="B475" s="857"/>
      <c r="C475" s="820"/>
      <c r="D475" s="820"/>
    </row>
    <row r="476" spans="2:9" ht="17.45" customHeight="1" x14ac:dyDescent="0.15">
      <c r="B476" s="857"/>
      <c r="C476" s="820"/>
      <c r="D476" s="820"/>
    </row>
    <row r="477" spans="2:9" ht="17.45" customHeight="1" x14ac:dyDescent="0.15">
      <c r="B477" s="857"/>
    </row>
    <row r="479" spans="2:9" ht="17.45" customHeight="1" x14ac:dyDescent="0.15">
      <c r="B479" s="857"/>
    </row>
    <row r="480" spans="2:9" ht="17.45" customHeight="1" x14ac:dyDescent="0.15">
      <c r="B480" s="891"/>
    </row>
    <row r="486" spans="2:2" ht="17.45" customHeight="1" x14ac:dyDescent="0.15">
      <c r="B486" s="891"/>
    </row>
    <row r="489" spans="2:2" ht="17.45" customHeight="1" x14ac:dyDescent="0.15">
      <c r="B489" s="857"/>
    </row>
    <row r="493" spans="2:2" ht="17.45" customHeight="1" x14ac:dyDescent="0.15">
      <c r="B493" s="857"/>
    </row>
    <row r="496" spans="2:2" ht="17.45" customHeight="1" x14ac:dyDescent="0.15">
      <c r="B496" s="891"/>
    </row>
    <row r="499" spans="2:2" ht="17.45" customHeight="1" x14ac:dyDescent="0.15">
      <c r="B499" s="857"/>
    </row>
    <row r="500" spans="2:2" ht="17.45" customHeight="1" x14ac:dyDescent="0.15">
      <c r="B500" s="891"/>
    </row>
    <row r="501" spans="2:2" ht="17.45" customHeight="1" x14ac:dyDescent="0.15">
      <c r="B501" s="857"/>
    </row>
    <row r="502" spans="2:2" ht="17.45" customHeight="1" x14ac:dyDescent="0.15">
      <c r="B502" s="857"/>
    </row>
    <row r="503" spans="2:2" ht="17.45" customHeight="1" x14ac:dyDescent="0.15">
      <c r="B503" s="857"/>
    </row>
    <row r="504" spans="2:2" ht="17.45" customHeight="1" x14ac:dyDescent="0.15">
      <c r="B504" s="891"/>
    </row>
    <row r="505" spans="2:2" ht="17.45" customHeight="1" x14ac:dyDescent="0.15">
      <c r="B505" s="857"/>
    </row>
    <row r="506" spans="2:2" ht="17.45" customHeight="1" x14ac:dyDescent="0.15">
      <c r="B506" s="891"/>
    </row>
    <row r="507" spans="2:2" ht="17.45" customHeight="1" x14ac:dyDescent="0.15">
      <c r="B507" s="857"/>
    </row>
    <row r="508" spans="2:2" ht="17.45" customHeight="1" x14ac:dyDescent="0.15">
      <c r="B508" s="891"/>
    </row>
    <row r="509" spans="2:2" ht="17.45" customHeight="1" x14ac:dyDescent="0.15">
      <c r="B509" s="857"/>
    </row>
    <row r="510" spans="2:2" ht="17.45" customHeight="1" x14ac:dyDescent="0.15">
      <c r="B510" s="891"/>
    </row>
    <row r="511" spans="2:2" ht="17.45" customHeight="1" x14ac:dyDescent="0.15">
      <c r="B511" s="891"/>
    </row>
    <row r="512" spans="2:2" ht="17.45" customHeight="1" x14ac:dyDescent="0.15">
      <c r="B512" s="857"/>
    </row>
    <row r="514" spans="2:2" ht="17.45" customHeight="1" x14ac:dyDescent="0.15">
      <c r="B514" s="891"/>
    </row>
    <row r="515" spans="2:2" ht="17.45" customHeight="1" x14ac:dyDescent="0.15">
      <c r="B515" s="891"/>
    </row>
    <row r="516" spans="2:2" ht="17.45" customHeight="1" x14ac:dyDescent="0.15">
      <c r="B516" s="891"/>
    </row>
    <row r="517" spans="2:2" ht="17.45" customHeight="1" x14ac:dyDescent="0.15">
      <c r="B517" s="891"/>
    </row>
    <row r="518" spans="2:2" ht="17.45" customHeight="1" x14ac:dyDescent="0.15">
      <c r="B518" s="891"/>
    </row>
    <row r="519" spans="2:2" ht="17.45" customHeight="1" x14ac:dyDescent="0.15">
      <c r="B519" s="891"/>
    </row>
    <row r="521" spans="2:2" ht="17.45" customHeight="1" x14ac:dyDescent="0.15">
      <c r="B521" s="857"/>
    </row>
  </sheetData>
  <sheetProtection password="97A9" sheet="1" objects="1" scenarios="1"/>
  <mergeCells count="121">
    <mergeCell ref="C262:R265"/>
    <mergeCell ref="C208:R210"/>
    <mergeCell ref="C217:R218"/>
    <mergeCell ref="C239:R240"/>
    <mergeCell ref="C224:R226"/>
    <mergeCell ref="C346:R346"/>
    <mergeCell ref="C308:R310"/>
    <mergeCell ref="C327:R329"/>
    <mergeCell ref="C336:R339"/>
    <mergeCell ref="C341:R344"/>
    <mergeCell ref="C312:R314"/>
    <mergeCell ref="C316:R318"/>
    <mergeCell ref="C320:R322"/>
    <mergeCell ref="C331:R334"/>
    <mergeCell ref="C228:R229"/>
    <mergeCell ref="C230:R231"/>
    <mergeCell ref="C249:R250"/>
    <mergeCell ref="C236:R237"/>
    <mergeCell ref="C232:R234"/>
    <mergeCell ref="C244:R244"/>
    <mergeCell ref="C242:R242"/>
    <mergeCell ref="C246:R247"/>
    <mergeCell ref="O1:R1"/>
    <mergeCell ref="C199:R200"/>
    <mergeCell ref="C159:S159"/>
    <mergeCell ref="C134:R135"/>
    <mergeCell ref="C137:R138"/>
    <mergeCell ref="C140:R141"/>
    <mergeCell ref="C143:R144"/>
    <mergeCell ref="C145:S145"/>
    <mergeCell ref="C147:R148"/>
    <mergeCell ref="C150:R151"/>
    <mergeCell ref="C153:R155"/>
    <mergeCell ref="C157:S157"/>
    <mergeCell ref="C130:R131"/>
    <mergeCell ref="C132:R132"/>
    <mergeCell ref="C128:R128"/>
    <mergeCell ref="C26:R28"/>
    <mergeCell ref="C72:S72"/>
    <mergeCell ref="C74:S74"/>
    <mergeCell ref="C64:R68"/>
    <mergeCell ref="C30:R32"/>
    <mergeCell ref="C44:R45"/>
    <mergeCell ref="C41:R43"/>
    <mergeCell ref="C108:R110"/>
    <mergeCell ref="C114:R116"/>
    <mergeCell ref="C118:R119"/>
    <mergeCell ref="C121:R123"/>
    <mergeCell ref="C125:R126"/>
    <mergeCell ref="C127:R127"/>
    <mergeCell ref="B2:R3"/>
    <mergeCell ref="B21:R22"/>
    <mergeCell ref="B12:R14"/>
    <mergeCell ref="B17:R19"/>
    <mergeCell ref="C11:D11"/>
    <mergeCell ref="B6:R6"/>
    <mergeCell ref="B8:R8"/>
    <mergeCell ref="B10:R10"/>
    <mergeCell ref="C100:R104"/>
    <mergeCell ref="C90:R91"/>
    <mergeCell ref="C82:R83"/>
    <mergeCell ref="C47:S47"/>
    <mergeCell ref="C50:S50"/>
    <mergeCell ref="C79:R80"/>
    <mergeCell ref="C52:R53"/>
    <mergeCell ref="C57:R58"/>
    <mergeCell ref="C75:S75"/>
    <mergeCell ref="C62:R63"/>
    <mergeCell ref="C37:S37"/>
    <mergeCell ref="C39:S39"/>
    <mergeCell ref="C34:R35"/>
    <mergeCell ref="C98:R99"/>
    <mergeCell ref="C92:R96"/>
    <mergeCell ref="C84:R88"/>
    <mergeCell ref="C270:R273"/>
    <mergeCell ref="C281:R284"/>
    <mergeCell ref="C267:R268"/>
    <mergeCell ref="C278:R279"/>
    <mergeCell ref="C297:R299"/>
    <mergeCell ref="C301:R303"/>
    <mergeCell ref="C170:R173"/>
    <mergeCell ref="C180:R182"/>
    <mergeCell ref="C163:R164"/>
    <mergeCell ref="C166:R168"/>
    <mergeCell ref="C175:R178"/>
    <mergeCell ref="C289:R290"/>
    <mergeCell ref="C252:R253"/>
    <mergeCell ref="C254:S254"/>
    <mergeCell ref="C258:R260"/>
    <mergeCell ref="C286:R287"/>
    <mergeCell ref="C220:R222"/>
    <mergeCell ref="C191:R193"/>
    <mergeCell ref="C184:R189"/>
    <mergeCell ref="C195:R197"/>
    <mergeCell ref="C202:R203"/>
    <mergeCell ref="C205:R206"/>
    <mergeCell ref="C214:R215"/>
    <mergeCell ref="C211:R212"/>
    <mergeCell ref="C396:R398"/>
    <mergeCell ref="C400:R402"/>
    <mergeCell ref="C404:R406"/>
    <mergeCell ref="C305:R306"/>
    <mergeCell ref="C292:R295"/>
    <mergeCell ref="C429:R432"/>
    <mergeCell ref="C420:R422"/>
    <mergeCell ref="C424:R427"/>
    <mergeCell ref="C434:R435"/>
    <mergeCell ref="C408:R411"/>
    <mergeCell ref="C413:R414"/>
    <mergeCell ref="C416:R418"/>
    <mergeCell ref="C351:R352"/>
    <mergeCell ref="C390:R394"/>
    <mergeCell ref="C354:R358"/>
    <mergeCell ref="C366:R368"/>
    <mergeCell ref="C370:R372"/>
    <mergeCell ref="C360:R364"/>
    <mergeCell ref="C374:R377"/>
    <mergeCell ref="C379:R382"/>
    <mergeCell ref="C384:R388"/>
    <mergeCell ref="C345:R345"/>
    <mergeCell ref="C324:R325"/>
  </mergeCells>
  <phoneticPr fontId="0" type="noConversion"/>
  <conditionalFormatting sqref="M438:M456 M459:M482">
    <cfRule type="cellIs" dxfId="431" priority="1" stopIfTrue="1" operator="equal">
      <formula>"ANUÊNIO"</formula>
    </cfRule>
    <cfRule type="cellIs" dxfId="430" priority="2" stopIfTrue="1" operator="equal">
      <formula>"TRIÊNIO"</formula>
    </cfRule>
    <cfRule type="cellIs" dxfId="429" priority="3" stopIfTrue="1" operator="equal">
      <formula>"QUINQUÊNIO"</formula>
    </cfRule>
  </conditionalFormatting>
  <conditionalFormatting sqref="J277 J350">
    <cfRule type="cellIs" dxfId="428" priority="4" stopIfTrue="1" operator="equal">
      <formula>"ATENDE TEMPO NO CARGO"</formula>
    </cfRule>
    <cfRule type="cellIs" dxfId="427" priority="5" stopIfTrue="1" operator="equal">
      <formula>"NÃO CUMPRE TEMPO NO CARGO"</formula>
    </cfRule>
  </conditionalFormatting>
  <conditionalFormatting sqref="L261 L256:M256 L257 M146 M160:M161">
    <cfRule type="cellIs" dxfId="426" priority="6" stopIfTrue="1" operator="equal">
      <formula>"ATENDE"</formula>
    </cfRule>
    <cfRule type="cellIs" dxfId="425" priority="7" stopIfTrue="1" operator="equal">
      <formula>"NÃO ATENDE"</formula>
    </cfRule>
    <cfRule type="cellIs" dxfId="424" priority="8" stopIfTrue="1" operator="equal">
      <formula>"OK"</formula>
    </cfRule>
  </conditionalFormatting>
  <conditionalFormatting sqref="F142">
    <cfRule type="cellIs" dxfId="423" priority="9" stopIfTrue="1" operator="equal">
      <formula>"NADA A CUMPRIR"</formula>
    </cfRule>
    <cfRule type="cellIs" dxfId="422" priority="10" stopIfTrue="1" operator="equal">
      <formula>"NÃO CABE"</formula>
    </cfRule>
    <cfRule type="cellIs" dxfId="421" priority="11" stopIfTrue="1" operator="greaterThanOrEqual">
      <formula>0</formula>
    </cfRule>
  </conditionalFormatting>
  <conditionalFormatting sqref="C143">
    <cfRule type="cellIs" dxfId="420" priority="12" stopIfTrue="1" operator="equal">
      <formula>"FALTA DATA"</formula>
    </cfRule>
  </conditionalFormatting>
  <conditionalFormatting sqref="O139">
    <cfRule type="cellIs" dxfId="419" priority="13" stopIfTrue="1" operator="equal">
      <formula>"REVER TIPO DE ADICIONAL"</formula>
    </cfRule>
  </conditionalFormatting>
  <conditionalFormatting sqref="K70">
    <cfRule type="expression" dxfId="418" priority="14" stopIfTrue="1">
      <formula>$E$70&lt;=0</formula>
    </cfRule>
  </conditionalFormatting>
  <conditionalFormatting sqref="M70">
    <cfRule type="expression" dxfId="417" priority="15" stopIfTrue="1">
      <formula>$E$70&lt;=0</formula>
    </cfRule>
  </conditionalFormatting>
  <conditionalFormatting sqref="K11">
    <cfRule type="expression" dxfId="416" priority="16" stopIfTrue="1">
      <formula>"SE($N$8=0)"</formula>
    </cfRule>
  </conditionalFormatting>
  <printOptions horizontalCentered="1" gridLinesSet="0"/>
  <pageMargins left="0.19685039370078741" right="0" top="0.78740157480314965" bottom="0.78740157480314965" header="0.19685039370078741" footer="3.937007874015748E-2"/>
  <pageSetup paperSize="9" scale="68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U820"/>
  <sheetViews>
    <sheetView showGridLines="0" topLeftCell="A41" zoomScale="75" zoomScaleNormal="75" workbookViewId="0" xr3:uid="{9B253EF2-77E0-53E3-AE26-4D66ECD923F3}">
      <selection activeCell="F72" sqref="F72"/>
    </sheetView>
  </sheetViews>
  <sheetFormatPr defaultColWidth="5.2578125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7.664062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5" width="9.16796875" style="21" hidden="1" customWidth="1"/>
    <col min="256" max="16384" width="5.2578125" style="21"/>
  </cols>
  <sheetData>
    <row r="1" spans="1:53" ht="6" customHeight="1" x14ac:dyDescent="0.15">
      <c r="A1" s="295"/>
      <c r="BA1" s="80"/>
    </row>
    <row r="2" spans="1:53" s="362" customFormat="1" x14ac:dyDescent="0.15">
      <c r="A2" s="295"/>
      <c r="B2" s="650" t="s">
        <v>435</v>
      </c>
      <c r="C2" s="651"/>
      <c r="D2" s="651" t="s">
        <v>433</v>
      </c>
      <c r="E2" s="1850" t="s">
        <v>450</v>
      </c>
      <c r="F2" s="1850"/>
      <c r="G2" s="1850"/>
      <c r="H2" s="1850"/>
      <c r="I2" s="1850"/>
      <c r="J2" s="652" t="s">
        <v>462</v>
      </c>
      <c r="K2" s="1939" t="s">
        <v>463</v>
      </c>
      <c r="L2" s="1940"/>
      <c r="M2" s="1940"/>
      <c r="N2" s="1941"/>
      <c r="O2" s="1052" t="s">
        <v>463</v>
      </c>
      <c r="P2" s="1067" t="s">
        <v>528</v>
      </c>
      <c r="Q2" s="1068" t="s">
        <v>533</v>
      </c>
      <c r="R2" s="1068" t="s">
        <v>532</v>
      </c>
      <c r="S2" s="972" t="s">
        <v>534</v>
      </c>
      <c r="T2" s="972" t="s">
        <v>535</v>
      </c>
      <c r="U2" s="972" t="s">
        <v>536</v>
      </c>
      <c r="AD2" s="363"/>
      <c r="AE2" s="363"/>
      <c r="AF2" s="363"/>
      <c r="BA2" s="1069"/>
    </row>
    <row r="3" spans="1:53" s="362" customFormat="1" ht="6" customHeight="1" x14ac:dyDescent="0.15">
      <c r="A3" s="295"/>
      <c r="B3" s="21"/>
      <c r="C3" s="40"/>
      <c r="D3" s="40"/>
      <c r="E3" s="21"/>
      <c r="F3" s="21"/>
      <c r="G3" s="21"/>
      <c r="H3" s="21"/>
      <c r="I3" s="21"/>
      <c r="J3" s="21"/>
      <c r="K3" s="21"/>
      <c r="L3" s="21"/>
      <c r="M3" s="21"/>
      <c r="N3" s="21"/>
      <c r="O3" s="1052" t="s">
        <v>485</v>
      </c>
      <c r="P3" s="364"/>
      <c r="AD3" s="363"/>
      <c r="AE3" s="363"/>
      <c r="AF3" s="363"/>
      <c r="BA3" s="1069"/>
    </row>
    <row r="4" spans="1:53" s="362" customFormat="1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364" t="s">
        <v>529</v>
      </c>
      <c r="Q4" s="362" t="str">
        <f>IF(OR($E$2=$B$86,$E$2=$B$87,E2=B88),IF($M$13&gt;=5,"ATENDE","NÃO CUMPRE"),"NÃO CABE")</f>
        <v>NÃO CUMPRE</v>
      </c>
      <c r="R4" s="362" t="str">
        <f>IF($N$8&lt;$Q$11,IF($M$13&gt;=5,"ATENDE","NÃO CUMPRE"),"REVER FUNDAMENTAÇÃO")</f>
        <v>NÃO CUMPRE</v>
      </c>
      <c r="S4" s="362" t="str">
        <f>IF($N$8&lt;$Q$13,IF($M$13&gt;=5,"ATENDE","NÃO ATENDE"),"REVER FUNDAMENTAÇÃO")</f>
        <v>NÃO ATENDE</v>
      </c>
      <c r="T4" s="362" t="str">
        <f>IF($N$8&lt;$Q$11,IF($M$13&gt;=5,"ATENDE","NÃO ATENDE"),"REVER FUNDAMENT.")</f>
        <v>NÃO ATENDE</v>
      </c>
      <c r="U4" s="362" t="str">
        <f>IF($N$8&lt;$Q$11,IF($M$13&gt;=5,"ATENDE","NÃO ATENDE"),"REVER FUNDAMENT.")</f>
        <v>NÃO ATENDE</v>
      </c>
      <c r="AD4" s="363"/>
      <c r="AE4" s="363"/>
      <c r="AF4" s="363"/>
      <c r="BA4" s="1069"/>
    </row>
    <row r="5" spans="1:53" s="2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1070"/>
      <c r="Q5" s="1071"/>
      <c r="R5" s="1071"/>
      <c r="S5" s="1071"/>
      <c r="T5" s="1071"/>
      <c r="U5" s="1071"/>
      <c r="V5" s="1071"/>
      <c r="W5" s="1071"/>
      <c r="X5" s="1071"/>
      <c r="Y5" s="1071"/>
      <c r="Z5" s="1071"/>
      <c r="AA5" s="1071"/>
      <c r="AB5" s="1071"/>
      <c r="AC5" s="1071"/>
      <c r="AD5" s="1072"/>
      <c r="AE5" s="1072"/>
      <c r="AF5" s="1072"/>
      <c r="AG5" s="1071"/>
      <c r="AH5" s="1071"/>
      <c r="AI5" s="1071"/>
      <c r="AJ5" s="1071"/>
      <c r="AK5" s="1071"/>
      <c r="AL5" s="1071"/>
      <c r="AM5" s="1071"/>
      <c r="AN5" s="1071"/>
      <c r="AO5" s="1071"/>
      <c r="AP5" s="1071"/>
      <c r="AQ5" s="1071"/>
      <c r="AR5" s="1071"/>
      <c r="AS5" s="1071"/>
      <c r="AT5" s="1071"/>
      <c r="AU5" s="1071"/>
      <c r="AV5" s="1071"/>
      <c r="AW5" s="1071"/>
      <c r="AX5" s="1071"/>
      <c r="AY5" s="1071"/>
      <c r="AZ5" s="1071"/>
      <c r="BA5" s="1073"/>
    </row>
    <row r="6" spans="1:53" s="362" customFormat="1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366" t="s">
        <v>530</v>
      </c>
      <c r="Q6" s="2" t="s">
        <v>537</v>
      </c>
      <c r="R6" s="2" t="str">
        <f>IF($N$8&lt;$Q$11,"NÃO CABE","REVER FUNDAM.")</f>
        <v>NÃO CABE</v>
      </c>
      <c r="S6" s="2" t="str">
        <f>IF($N$8&lt;$Q$13,IF($M$14&gt;=10,"ATENDE","NÃO ATENDE"),"REVER FUNDAMEN.")</f>
        <v>NÃO ATENDE</v>
      </c>
      <c r="T6" s="2" t="str">
        <f>IF($N$8&lt;$Q$11,"NÃO CABE","REVER FUNDAMENT.")</f>
        <v>NÃO CABE</v>
      </c>
      <c r="U6" s="2" t="str">
        <f>IF($N$8&lt;$Q$11,IF($M$14&gt;=15,"ATENDE","NÃO ATENDE"),"REVER FUNDAMENT.")</f>
        <v>NÃO ATENDE</v>
      </c>
      <c r="V6" s="2"/>
      <c r="W6" s="2"/>
      <c r="X6" s="2"/>
      <c r="Y6" s="2"/>
      <c r="Z6" s="2"/>
      <c r="AA6" s="2"/>
      <c r="AB6" s="2"/>
      <c r="AC6" s="1074"/>
      <c r="AD6" s="1075"/>
      <c r="AE6" s="1075"/>
      <c r="AF6" s="1075"/>
      <c r="AG6" s="1074"/>
      <c r="AH6" s="1074"/>
      <c r="AI6" s="1074"/>
      <c r="AJ6" s="1074"/>
      <c r="AK6" s="1074"/>
      <c r="AL6" s="1074"/>
      <c r="AM6" s="1074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1076"/>
    </row>
    <row r="7" spans="1:53" s="362" customFormat="1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656">
        <f>CRÍTICA_IGP1!N7</f>
        <v>0</v>
      </c>
      <c r="O7" s="1053" t="s">
        <v>466</v>
      </c>
      <c r="P7" s="366" t="s">
        <v>531</v>
      </c>
      <c r="Q7" s="972" t="str">
        <f>IF(OR($E$2=$B$86,$E$2=$B$87,E2=B88),IF($M$15&gt;=10,"ATENDE","NÃO CUMPRE"),O76)</f>
        <v>NÃO CUMPRE</v>
      </c>
      <c r="R7" s="3">
        <v>0</v>
      </c>
      <c r="S7" s="2" t="str">
        <f>IF($N$8&lt;$Q$13,IF($M$15&gt;=20,"ATENDE","NÃO ATENDE"),"REVER FUNDAMENT.")</f>
        <v>NÃO ATENDE</v>
      </c>
      <c r="T7" s="3">
        <v>0</v>
      </c>
      <c r="U7" s="2" t="str">
        <f>IF($N$8&lt;$Q$11,IF($M$15&gt;=25,"ATENDE","NÃO ATENDE"),"REVER FUNDAMENT.")</f>
        <v>NÃO ATENDE</v>
      </c>
      <c r="V7" s="2"/>
      <c r="W7" s="2"/>
      <c r="X7" s="2"/>
      <c r="Y7" s="2"/>
      <c r="Z7" s="2"/>
      <c r="AA7" s="2"/>
      <c r="AB7" s="2"/>
      <c r="AC7" s="1074"/>
      <c r="AD7" s="1075"/>
      <c r="AE7" s="1075"/>
      <c r="AF7" s="1075"/>
      <c r="AG7" s="1074"/>
      <c r="AH7" s="1074"/>
      <c r="AI7" s="1074"/>
      <c r="AJ7" s="1074"/>
      <c r="AK7" s="1074"/>
      <c r="AL7" s="1074"/>
      <c r="AM7" s="1074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1076"/>
    </row>
    <row r="8" spans="1:53" s="362" customFormat="1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657">
        <f>CRÍTICA_IGP1!J8</f>
        <v>0</v>
      </c>
      <c r="K8" s="153" t="s">
        <v>542</v>
      </c>
      <c r="L8" s="154"/>
      <c r="M8" s="45"/>
      <c r="N8" s="657">
        <f>CRÍTICA_IGP1!N8</f>
        <v>0</v>
      </c>
      <c r="O8" s="1065"/>
      <c r="P8" s="366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074"/>
      <c r="AD8" s="1075"/>
      <c r="AE8" s="1075"/>
      <c r="AF8" s="1075"/>
      <c r="AG8" s="1074"/>
      <c r="AH8" s="1074"/>
      <c r="AI8" s="1074"/>
      <c r="AJ8" s="1074"/>
      <c r="AK8" s="1074"/>
      <c r="AL8" s="1074"/>
      <c r="AM8" s="1074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1076"/>
    </row>
    <row r="9" spans="1:53" s="362" customFormat="1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657">
        <f>CRÍTICA_IGP1!J9</f>
        <v>0</v>
      </c>
      <c r="K9" s="153" t="s">
        <v>443</v>
      </c>
      <c r="L9" s="154"/>
      <c r="M9" s="155"/>
      <c r="N9" s="657">
        <f>CRÍTICA_IGP1!N9</f>
        <v>0</v>
      </c>
      <c r="O9" s="1055">
        <f>IF($N$9=0,0,O$10-N9)</f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074"/>
      <c r="AD9" s="1075"/>
      <c r="AE9" s="1075"/>
      <c r="AF9" s="1075"/>
      <c r="AG9" s="1074"/>
      <c r="AH9" s="1074"/>
      <c r="AI9" s="1074"/>
      <c r="AJ9" s="1074"/>
      <c r="AK9" s="1074"/>
      <c r="AL9" s="1074"/>
      <c r="AM9" s="1074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1076"/>
    </row>
    <row r="10" spans="1:53" s="362" customFormat="1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>
        <f>IF($O$10=0,"-",$O$11)</f>
        <v>36144</v>
      </c>
      <c r="O10" s="1066">
        <f>IF($K$2=$O$3,IF($D$14="X",$R$12,IF($G$14="X",$H$19,0)),IF($K$2=$O$2,$R$11,IF($K$2=$O$4,$R$13,$H$19)))</f>
        <v>36144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1074"/>
      <c r="AD10" s="1075"/>
      <c r="AE10" s="1075"/>
      <c r="AF10" s="1075"/>
      <c r="AG10" s="1074"/>
      <c r="AH10" s="1074"/>
      <c r="AI10" s="1074"/>
      <c r="AJ10" s="1074"/>
      <c r="AK10" s="1074"/>
      <c r="AL10" s="1074"/>
      <c r="AM10" s="1074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1076"/>
    </row>
    <row r="11" spans="1:53" s="362" customFormat="1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36144</v>
      </c>
      <c r="P11" s="3" t="s">
        <v>715</v>
      </c>
      <c r="Q11" s="1077">
        <v>36145</v>
      </c>
      <c r="R11" s="1078">
        <f>IF($H$19&lt;36144,$H$19,36144)</f>
        <v>36144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1074"/>
      <c r="AD11" s="1075"/>
      <c r="AE11" s="1075"/>
      <c r="AF11" s="1075"/>
      <c r="AG11" s="1074"/>
      <c r="AH11" s="1074"/>
      <c r="AI11" s="1074"/>
      <c r="AJ11" s="1074"/>
      <c r="AK11" s="1074"/>
      <c r="AL11" s="1074"/>
      <c r="AM11" s="1074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1076"/>
    </row>
    <row r="12" spans="1:53" s="362" customFormat="1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3" t="s">
        <v>717</v>
      </c>
      <c r="Q12" s="1079">
        <v>38037</v>
      </c>
      <c r="R12" s="1078">
        <f>IF($H$19&lt;38036,$H$19,38036)</f>
        <v>38036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1074"/>
      <c r="AD12" s="1075"/>
      <c r="AE12" s="1075"/>
      <c r="AF12" s="1075"/>
      <c r="AG12" s="1074"/>
      <c r="AH12" s="1074"/>
      <c r="AI12" s="1074"/>
      <c r="AJ12" s="1074"/>
      <c r="AK12" s="1074"/>
      <c r="AL12" s="1074"/>
      <c r="AM12" s="1074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1076"/>
    </row>
    <row r="13" spans="1:53" s="362" customFormat="1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3" t="s">
        <v>716</v>
      </c>
      <c r="Q13" s="1077">
        <v>37986</v>
      </c>
      <c r="R13" s="1078">
        <f>IF($H$19&lt;37985,$H$19,37985)</f>
        <v>37985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1074"/>
      <c r="AD13" s="1075"/>
      <c r="AE13" s="1075"/>
      <c r="AF13" s="1075"/>
      <c r="AG13" s="1074"/>
      <c r="AH13" s="1074"/>
      <c r="AI13" s="1074"/>
      <c r="AJ13" s="1074"/>
      <c r="AK13" s="1074"/>
      <c r="AL13" s="1074"/>
      <c r="AM13" s="1074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1076"/>
    </row>
    <row r="14" spans="1:53" s="362" customFormat="1" x14ac:dyDescent="0.15">
      <c r="A14" s="295"/>
      <c r="B14" s="249" t="s">
        <v>735</v>
      </c>
      <c r="C14" s="150"/>
      <c r="D14" s="656">
        <f>CRÍTICA_IGP1!D14</f>
        <v>0</v>
      </c>
      <c r="E14" s="1835" t="s">
        <v>728</v>
      </c>
      <c r="F14" s="1872"/>
      <c r="G14" s="656" t="str">
        <f>CRÍTICA_IGP1!G14</f>
        <v>x</v>
      </c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3" t="s">
        <v>545</v>
      </c>
      <c r="Q14" s="1077">
        <v>32421</v>
      </c>
      <c r="R14" s="1077"/>
      <c r="S14" s="2"/>
      <c r="T14" s="2"/>
      <c r="U14" s="2"/>
      <c r="V14" s="2"/>
      <c r="W14" s="2"/>
      <c r="X14" s="2"/>
      <c r="Y14" s="2"/>
      <c r="Z14" s="2"/>
      <c r="AA14" s="2"/>
      <c r="AB14" s="2"/>
      <c r="AC14" s="1074"/>
      <c r="AD14" s="1075"/>
      <c r="AE14" s="1075"/>
      <c r="AF14" s="1075"/>
      <c r="AG14" s="1074"/>
      <c r="AH14" s="1074"/>
      <c r="AI14" s="1074"/>
      <c r="AJ14" s="1074"/>
      <c r="AK14" s="1074"/>
      <c r="AL14" s="1074"/>
      <c r="AM14" s="1074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1076"/>
    </row>
    <row r="15" spans="1:53" s="362" customFormat="1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3" t="s">
        <v>705</v>
      </c>
      <c r="Q15" s="1077">
        <v>35915</v>
      </c>
      <c r="R15" s="1077"/>
      <c r="S15" s="2"/>
      <c r="T15" s="2"/>
      <c r="U15" s="2"/>
      <c r="V15" s="2"/>
      <c r="W15" s="2"/>
      <c r="X15" s="2"/>
      <c r="Y15" s="2"/>
      <c r="Z15" s="2"/>
      <c r="AA15" s="2"/>
      <c r="AB15" s="2"/>
      <c r="AC15" s="1074"/>
      <c r="AD15" s="1075"/>
      <c r="AE15" s="1075"/>
      <c r="AF15" s="1075"/>
      <c r="AG15" s="1074"/>
      <c r="AH15" s="1074"/>
      <c r="AI15" s="1074"/>
      <c r="AJ15" s="1074"/>
      <c r="AK15" s="1074"/>
      <c r="AL15" s="1074"/>
      <c r="AM15" s="1074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1076"/>
    </row>
    <row r="16" spans="1:53" s="362" customFormat="1" x14ac:dyDescent="0.15">
      <c r="A16" s="295"/>
      <c r="B16" s="21"/>
      <c r="C16" s="40"/>
      <c r="D16" s="40"/>
      <c r="E16" s="21"/>
      <c r="F16" s="21"/>
      <c r="G16" s="21"/>
      <c r="H16" s="21"/>
      <c r="I16" s="21"/>
      <c r="J16" s="21"/>
      <c r="K16" s="21"/>
      <c r="L16" s="21"/>
      <c r="M16" s="21"/>
      <c r="N16" s="658"/>
      <c r="O16" s="1133">
        <f>IF($N$10&lt;$Q$11,SUM($F$27:$F$34),IF($N$10&lt;$Q$12,SUM($F$27:$F$34)+$H$51-$O$20,SUM($F$27:$F$34)+$H$51+$H$60-$O$22))</f>
        <v>0</v>
      </c>
      <c r="AC16" s="1074"/>
      <c r="AD16" s="1075"/>
      <c r="AE16" s="1075"/>
      <c r="AF16" s="1075"/>
      <c r="AG16" s="1074"/>
      <c r="AH16" s="1074"/>
      <c r="AI16" s="1074"/>
      <c r="AJ16" s="1074"/>
      <c r="AK16" s="1074"/>
      <c r="AL16" s="1074"/>
      <c r="AM16" s="1074"/>
      <c r="BA16" s="1069"/>
    </row>
    <row r="17" spans="1:53" s="362" customFormat="1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362" t="s">
        <v>696</v>
      </c>
      <c r="AC17" s="1074"/>
      <c r="AD17" s="1075"/>
      <c r="AE17" s="1075"/>
      <c r="AF17" s="1075"/>
      <c r="AG17" s="1074"/>
      <c r="AH17" s="1074"/>
      <c r="AI17" s="1074"/>
      <c r="AJ17" s="1074"/>
      <c r="AK17" s="1074"/>
      <c r="AL17" s="1074"/>
      <c r="AM17" s="1074"/>
      <c r="BA17" s="1069"/>
    </row>
    <row r="18" spans="1:53" s="362" customFormat="1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1080" t="s">
        <v>527</v>
      </c>
      <c r="AC18" s="1074"/>
      <c r="AD18" s="1075"/>
      <c r="AE18" s="1075"/>
      <c r="AF18" s="1075"/>
      <c r="AG18" s="1074"/>
      <c r="AH18" s="1074"/>
      <c r="AI18" s="1074"/>
      <c r="AJ18" s="1074"/>
      <c r="AK18" s="1074"/>
      <c r="AL18" s="1074"/>
      <c r="AM18" s="1074"/>
      <c r="BA18" s="1069"/>
    </row>
    <row r="19" spans="1:53" s="362" customFormat="1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v>40863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081" t="s">
        <v>613</v>
      </c>
      <c r="AC19" s="1074"/>
      <c r="AD19" s="1075"/>
      <c r="AE19" s="1075"/>
      <c r="AF19" s="1075"/>
      <c r="AG19" s="1074"/>
      <c r="AH19" s="1074"/>
      <c r="AI19" s="1074"/>
      <c r="AJ19" s="1074"/>
      <c r="AK19" s="1074"/>
      <c r="AL19" s="1074"/>
      <c r="AM19" s="1074"/>
      <c r="BA19" s="1069"/>
    </row>
    <row r="20" spans="1:53" s="362" customFormat="1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081" t="s">
        <v>547</v>
      </c>
      <c r="AC20" s="1074"/>
      <c r="AD20" s="1075"/>
      <c r="AE20" s="1075"/>
      <c r="AF20" s="1075"/>
      <c r="AG20" s="1074"/>
      <c r="AH20" s="1074"/>
      <c r="AI20" s="1074"/>
      <c r="AJ20" s="1074"/>
      <c r="AK20" s="1074"/>
      <c r="AL20" s="1074"/>
      <c r="AM20" s="1074"/>
      <c r="BA20" s="1069"/>
    </row>
    <row r="21" spans="1:53" s="362" customFormat="1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081" t="s">
        <v>702</v>
      </c>
      <c r="AC21" s="1074"/>
      <c r="AD21" s="1075"/>
      <c r="AE21" s="1075"/>
      <c r="AF21" s="1075"/>
      <c r="AG21" s="1074"/>
      <c r="AH21" s="1074"/>
      <c r="AI21" s="1074"/>
      <c r="AJ21" s="1074"/>
      <c r="AK21" s="1074"/>
      <c r="AL21" s="1074"/>
      <c r="AM21" s="1074"/>
      <c r="BA21" s="1069"/>
    </row>
    <row r="22" spans="1:53" s="362" customFormat="1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1074"/>
      <c r="AD22" s="1075"/>
      <c r="AE22" s="1075"/>
      <c r="AF22" s="1075"/>
      <c r="AG22" s="1074"/>
      <c r="AH22" s="1074"/>
      <c r="AI22" s="1074"/>
      <c r="AJ22" s="1074"/>
      <c r="AK22" s="1074"/>
      <c r="AL22" s="1074"/>
      <c r="AM22" s="1074"/>
      <c r="BA22" s="1069"/>
    </row>
    <row r="23" spans="1:53" s="362" customFormat="1" x14ac:dyDescent="0.15">
      <c r="A23" s="295"/>
      <c r="B23" s="667" t="s">
        <v>330</v>
      </c>
      <c r="C23" s="668"/>
      <c r="D23" s="43"/>
      <c r="E23" s="21"/>
      <c r="F23" s="21"/>
      <c r="G23" s="21"/>
      <c r="H23" s="21"/>
      <c r="I23" s="21"/>
      <c r="J23" s="21"/>
      <c r="K23" s="21"/>
      <c r="L23" s="21"/>
      <c r="M23" s="21"/>
      <c r="N23" s="658"/>
      <c r="O23" s="390"/>
      <c r="P23" s="1082" t="s">
        <v>599</v>
      </c>
      <c r="Q23" s="1082">
        <v>1</v>
      </c>
      <c r="R23" s="1082">
        <v>2</v>
      </c>
      <c r="S23" s="1082">
        <v>3</v>
      </c>
      <c r="T23" s="1082">
        <v>4</v>
      </c>
      <c r="U23" s="1082">
        <v>5</v>
      </c>
      <c r="V23" s="1082">
        <v>6</v>
      </c>
      <c r="W23" s="1082">
        <v>7</v>
      </c>
      <c r="X23" s="1082">
        <v>8</v>
      </c>
      <c r="Y23" s="1082">
        <v>9</v>
      </c>
      <c r="Z23" s="1082">
        <v>10</v>
      </c>
      <c r="AA23" s="1082">
        <v>11</v>
      </c>
      <c r="AB23" s="1082">
        <v>12</v>
      </c>
      <c r="AC23" s="1082">
        <v>13</v>
      </c>
      <c r="AD23" s="1082">
        <v>14</v>
      </c>
      <c r="AE23" s="1082">
        <v>15</v>
      </c>
      <c r="AF23" s="1082">
        <v>16</v>
      </c>
      <c r="AG23" s="1082">
        <v>17</v>
      </c>
      <c r="AH23" s="1082">
        <v>18</v>
      </c>
      <c r="AI23" s="1082">
        <v>19</v>
      </c>
      <c r="AJ23" s="1082">
        <v>20</v>
      </c>
      <c r="AK23" s="1082">
        <v>21</v>
      </c>
      <c r="AL23" s="1082">
        <v>22</v>
      </c>
      <c r="AM23" s="1082">
        <v>23</v>
      </c>
      <c r="AN23" s="1082">
        <v>24</v>
      </c>
      <c r="AO23" s="1082">
        <v>25</v>
      </c>
      <c r="AP23" s="1082">
        <v>26</v>
      </c>
      <c r="AQ23" s="1082">
        <v>27</v>
      </c>
      <c r="AR23" s="1082">
        <v>28</v>
      </c>
      <c r="AS23" s="1082">
        <v>29</v>
      </c>
      <c r="AT23" s="1082">
        <v>30</v>
      </c>
      <c r="AU23" s="1082">
        <v>31</v>
      </c>
      <c r="AV23" s="1082">
        <v>32</v>
      </c>
      <c r="AW23" s="1082">
        <v>33</v>
      </c>
      <c r="AX23" s="1082">
        <v>34</v>
      </c>
      <c r="AY23" s="1082">
        <v>35</v>
      </c>
      <c r="BA23" s="1069"/>
    </row>
    <row r="24" spans="1:53" s="362" customFormat="1" ht="6" customHeight="1" thickBot="1" x14ac:dyDescent="0.2">
      <c r="A24" s="295"/>
      <c r="B24" s="44"/>
      <c r="C24" s="43"/>
      <c r="D24" s="4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54"/>
      <c r="AC24" s="1074"/>
      <c r="AD24" s="1075"/>
      <c r="AE24" s="1075"/>
      <c r="AF24" s="1075"/>
      <c r="AG24" s="1074"/>
      <c r="AH24" s="1074"/>
      <c r="AI24" s="1074"/>
      <c r="AJ24" s="1074"/>
      <c r="AK24" s="1074"/>
      <c r="AL24" s="1074"/>
      <c r="AM24" s="1074"/>
      <c r="BA24" s="1069"/>
    </row>
    <row r="25" spans="1:53" s="362" customFormat="1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083" t="s">
        <v>601</v>
      </c>
      <c r="Q25" s="1084"/>
      <c r="R25" s="1084"/>
      <c r="S25" s="1084"/>
      <c r="T25" s="1084"/>
      <c r="U25" s="1084"/>
      <c r="V25" s="1084"/>
      <c r="W25" s="1084"/>
      <c r="X25" s="1084"/>
      <c r="Y25" s="1084"/>
      <c r="Z25" s="1084"/>
      <c r="AA25" s="1084"/>
      <c r="AB25" s="1084"/>
      <c r="AC25" s="1085"/>
      <c r="AD25" s="1086"/>
      <c r="AE25" s="1086"/>
      <c r="AF25" s="1086"/>
      <c r="AG25" s="1085"/>
      <c r="AH25" s="1085"/>
      <c r="AI25" s="1085"/>
      <c r="AJ25" s="1085"/>
      <c r="AK25" s="1085"/>
      <c r="AL25" s="1085"/>
      <c r="AM25" s="1085"/>
      <c r="AN25" s="1084"/>
      <c r="AO25" s="1084"/>
      <c r="AP25" s="1084"/>
      <c r="AQ25" s="1084"/>
      <c r="AR25" s="1084"/>
      <c r="AS25" s="1084"/>
      <c r="AT25" s="1084"/>
      <c r="AU25" s="1084"/>
      <c r="AV25" s="1084"/>
      <c r="AW25" s="1084"/>
      <c r="AX25" s="1085"/>
      <c r="AY25" s="1087"/>
      <c r="AZ25" s="1074"/>
      <c r="BA25" s="1088"/>
    </row>
    <row r="26" spans="1:53" s="362" customFormat="1" x14ac:dyDescent="0.15">
      <c r="A26" s="295"/>
      <c r="B26" s="168" t="s">
        <v>335</v>
      </c>
      <c r="C26" s="674">
        <f>CRÍTICA_IGP1!C26</f>
        <v>0</v>
      </c>
      <c r="D26" s="169" t="s">
        <v>336</v>
      </c>
      <c r="E26" s="674">
        <f>CRÍTICA_IGP1!E26</f>
        <v>0</v>
      </c>
      <c r="F26" s="675">
        <f>CRÍTICA_IGP1!F26</f>
        <v>0</v>
      </c>
      <c r="G26" s="149" t="s">
        <v>337</v>
      </c>
      <c r="H26" s="5"/>
      <c r="I26" s="5"/>
      <c r="J26" s="656">
        <f>CRÍTICA_IGP1!J26</f>
        <v>0</v>
      </c>
      <c r="K26" s="150"/>
      <c r="L26" s="150" t="s">
        <v>524</v>
      </c>
      <c r="M26" s="5"/>
      <c r="N26" s="656">
        <f>CRÍTICA_IGP1!N26</f>
        <v>0</v>
      </c>
      <c r="O26" s="255"/>
      <c r="P26" s="1089" t="s">
        <v>349</v>
      </c>
      <c r="Q26" s="2">
        <v>1</v>
      </c>
      <c r="R26" s="2">
        <v>2</v>
      </c>
      <c r="S26" s="2">
        <v>3</v>
      </c>
      <c r="T26" s="2">
        <v>4</v>
      </c>
      <c r="U26" s="2">
        <v>5</v>
      </c>
      <c r="V26" s="2">
        <v>6</v>
      </c>
      <c r="W26" s="2">
        <v>7</v>
      </c>
      <c r="X26" s="2">
        <v>8</v>
      </c>
      <c r="Y26" s="2">
        <v>9</v>
      </c>
      <c r="Z26" s="2">
        <v>10</v>
      </c>
      <c r="AA26" s="2">
        <v>11</v>
      </c>
      <c r="AB26" s="2">
        <v>12</v>
      </c>
      <c r="AC26" s="1090">
        <v>13</v>
      </c>
      <c r="AD26" s="1091">
        <v>14</v>
      </c>
      <c r="AE26" s="1091">
        <v>15</v>
      </c>
      <c r="AF26" s="1091">
        <v>16</v>
      </c>
      <c r="AG26" s="1091">
        <v>17</v>
      </c>
      <c r="AH26" s="1091">
        <v>18</v>
      </c>
      <c r="AI26" s="1091">
        <v>19</v>
      </c>
      <c r="AJ26" s="1091">
        <v>20</v>
      </c>
      <c r="AK26" s="1091">
        <v>21</v>
      </c>
      <c r="AL26" s="1091">
        <v>22</v>
      </c>
      <c r="AM26" s="1091">
        <v>23</v>
      </c>
      <c r="AN26" s="1091">
        <v>24</v>
      </c>
      <c r="AO26" s="1091">
        <v>25</v>
      </c>
      <c r="AP26" s="1091">
        <v>26</v>
      </c>
      <c r="AQ26" s="1091">
        <v>27</v>
      </c>
      <c r="AR26" s="1091">
        <v>28</v>
      </c>
      <c r="AS26" s="1091">
        <v>29</v>
      </c>
      <c r="AT26" s="1091">
        <v>30</v>
      </c>
      <c r="AU26" s="1091">
        <v>31</v>
      </c>
      <c r="AV26" s="1091">
        <v>32</v>
      </c>
      <c r="AW26" s="1091">
        <v>33</v>
      </c>
      <c r="AX26" s="1091">
        <v>34</v>
      </c>
      <c r="AY26" s="1092">
        <v>35</v>
      </c>
      <c r="AZ26" s="2"/>
      <c r="BA26" s="1076"/>
    </row>
    <row r="27" spans="1:53" s="362" customFormat="1" x14ac:dyDescent="0.15">
      <c r="A27" s="295"/>
      <c r="B27" s="149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675">
        <f>CRÍTICA_IGP1!F27</f>
        <v>0</v>
      </c>
      <c r="G27" s="149" t="s">
        <v>339</v>
      </c>
      <c r="H27" s="5"/>
      <c r="I27" s="5"/>
      <c r="J27" s="656" t="e">
        <f>CRÍTICA_IGP1!J27</f>
        <v>#REF!</v>
      </c>
      <c r="K27" s="150"/>
      <c r="L27" s="150" t="s">
        <v>524</v>
      </c>
      <c r="M27" s="5"/>
      <c r="N27" s="656">
        <f>CRÍTICA_IGP1!N27</f>
        <v>0</v>
      </c>
      <c r="O27" s="391"/>
      <c r="P27" s="1093" t="s">
        <v>351</v>
      </c>
      <c r="Q27" s="1094">
        <v>0.01</v>
      </c>
      <c r="R27" s="1094">
        <v>0.02</v>
      </c>
      <c r="S27" s="1094">
        <v>0.03</v>
      </c>
      <c r="T27" s="1094">
        <v>0.04</v>
      </c>
      <c r="U27" s="1094">
        <v>0.05</v>
      </c>
      <c r="V27" s="1094">
        <v>0.06</v>
      </c>
      <c r="W27" s="1094">
        <v>7.0000000000000007E-2</v>
      </c>
      <c r="X27" s="1094">
        <v>0.08</v>
      </c>
      <c r="Y27" s="1094">
        <v>0.09</v>
      </c>
      <c r="Z27" s="1094">
        <v>0.1</v>
      </c>
      <c r="AA27" s="1094">
        <v>0.11</v>
      </c>
      <c r="AB27" s="1094">
        <v>0.12</v>
      </c>
      <c r="AC27" s="1094">
        <v>0.13</v>
      </c>
      <c r="AD27" s="1094">
        <v>0.14000000000000001</v>
      </c>
      <c r="AE27" s="1094">
        <v>0.15</v>
      </c>
      <c r="AF27" s="1094">
        <v>0.16</v>
      </c>
      <c r="AG27" s="1094">
        <v>0.17</v>
      </c>
      <c r="AH27" s="1094">
        <v>0.18</v>
      </c>
      <c r="AI27" s="1094">
        <v>0.19</v>
      </c>
      <c r="AJ27" s="1094">
        <v>0.2</v>
      </c>
      <c r="AK27" s="1094">
        <v>0.21</v>
      </c>
      <c r="AL27" s="1094">
        <v>0.22</v>
      </c>
      <c r="AM27" s="1094">
        <v>0.23</v>
      </c>
      <c r="AN27" s="1094">
        <v>0.24</v>
      </c>
      <c r="AO27" s="1094">
        <v>0.25</v>
      </c>
      <c r="AP27" s="1094">
        <v>0.26</v>
      </c>
      <c r="AQ27" s="1094">
        <v>0.27</v>
      </c>
      <c r="AR27" s="1094">
        <v>0.28000000000000003</v>
      </c>
      <c r="AS27" s="1094">
        <v>0.28999999999999998</v>
      </c>
      <c r="AT27" s="1094">
        <v>0.3</v>
      </c>
      <c r="AU27" s="1094">
        <v>0.31</v>
      </c>
      <c r="AV27" s="1094">
        <v>0.32</v>
      </c>
      <c r="AW27" s="1094">
        <v>0.33</v>
      </c>
      <c r="AX27" s="1094">
        <v>0.34</v>
      </c>
      <c r="AY27" s="1095">
        <v>0.35</v>
      </c>
      <c r="AZ27" s="2"/>
      <c r="BA27" s="1076"/>
    </row>
    <row r="28" spans="1:53" s="362" customFormat="1" x14ac:dyDescent="0.15">
      <c r="A28" s="295"/>
      <c r="B28" s="149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656" t="e">
        <f>CRÍTICA_IGP1!J28</f>
        <v>#REF!</v>
      </c>
      <c r="K28" s="150"/>
      <c r="L28" s="150" t="s">
        <v>524</v>
      </c>
      <c r="M28" s="5"/>
      <c r="N28" s="656">
        <f>CRÍTICA_IGP1!N28</f>
        <v>0</v>
      </c>
      <c r="O28" s="391"/>
      <c r="P28" s="1080"/>
      <c r="Q28" s="1096"/>
      <c r="R28" s="1096"/>
      <c r="S28" s="1096"/>
      <c r="T28" s="1096"/>
      <c r="U28" s="1096"/>
      <c r="V28" s="1096"/>
      <c r="W28" s="1096"/>
      <c r="X28" s="1096"/>
      <c r="Y28" s="1096"/>
      <c r="Z28" s="1096"/>
      <c r="AA28" s="1096"/>
      <c r="AB28" s="1096"/>
      <c r="AC28" s="1096"/>
      <c r="AD28" s="1096"/>
      <c r="AE28" s="1096"/>
      <c r="AF28" s="1096"/>
      <c r="AG28" s="1096"/>
      <c r="AH28" s="1096"/>
      <c r="AI28" s="1096"/>
      <c r="AJ28" s="1096"/>
      <c r="AK28" s="1096"/>
      <c r="AL28" s="1096"/>
      <c r="AM28" s="1096"/>
      <c r="AN28" s="1096"/>
      <c r="AO28" s="1096"/>
      <c r="AP28" s="1096"/>
      <c r="AQ28" s="1096"/>
      <c r="AR28" s="1096"/>
      <c r="AS28" s="1096"/>
      <c r="AT28" s="1096"/>
      <c r="AU28" s="1096"/>
      <c r="AV28" s="1096"/>
      <c r="AW28" s="1096"/>
      <c r="AX28" s="1096"/>
      <c r="AY28" s="1096"/>
      <c r="AZ28" s="2"/>
      <c r="BA28" s="1076"/>
    </row>
    <row r="29" spans="1:53" s="362" customFormat="1" x14ac:dyDescent="0.15">
      <c r="A29" s="295"/>
      <c r="B29" s="149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675">
        <f>CRÍTICA_IGP1!F29</f>
        <v>0</v>
      </c>
      <c r="G29" s="149" t="s">
        <v>339</v>
      </c>
      <c r="H29" s="5"/>
      <c r="I29" s="5"/>
      <c r="J29" s="656">
        <f>CRÍTICA_IGP1!J29</f>
        <v>0</v>
      </c>
      <c r="K29" s="150"/>
      <c r="L29" s="5"/>
      <c r="M29" s="5"/>
      <c r="N29" s="676"/>
      <c r="O29" s="391"/>
      <c r="P29" s="1083" t="s">
        <v>602</v>
      </c>
      <c r="Q29" s="1084">
        <v>1</v>
      </c>
      <c r="R29" s="1084">
        <v>2</v>
      </c>
      <c r="S29" s="1084">
        <v>3</v>
      </c>
      <c r="T29" s="1084">
        <v>4</v>
      </c>
      <c r="U29" s="1084">
        <v>5</v>
      </c>
      <c r="V29" s="1084">
        <v>6</v>
      </c>
      <c r="W29" s="1084">
        <v>7</v>
      </c>
      <c r="X29" s="1084">
        <v>8</v>
      </c>
      <c r="Y29" s="1084">
        <v>9</v>
      </c>
      <c r="Z29" s="1084">
        <v>10</v>
      </c>
      <c r="AA29" s="1084">
        <v>11</v>
      </c>
      <c r="AB29" s="1084">
        <v>12</v>
      </c>
      <c r="AC29" s="1084">
        <v>13</v>
      </c>
      <c r="AD29" s="1084">
        <v>14</v>
      </c>
      <c r="AE29" s="1084">
        <v>15</v>
      </c>
      <c r="AF29" s="1084">
        <v>16</v>
      </c>
      <c r="AG29" s="1084">
        <v>17</v>
      </c>
      <c r="AH29" s="1084">
        <v>18</v>
      </c>
      <c r="AI29" s="1084">
        <v>19</v>
      </c>
      <c r="AJ29" s="1084">
        <v>20</v>
      </c>
      <c r="AK29" s="1084">
        <v>21</v>
      </c>
      <c r="AL29" s="1084">
        <v>22</v>
      </c>
      <c r="AM29" s="1084">
        <v>23</v>
      </c>
      <c r="AN29" s="1084">
        <v>24</v>
      </c>
      <c r="AO29" s="1084">
        <v>25</v>
      </c>
      <c r="AP29" s="1084">
        <v>26</v>
      </c>
      <c r="AQ29" s="1084">
        <v>27</v>
      </c>
      <c r="AR29" s="1084">
        <v>28</v>
      </c>
      <c r="AS29" s="1084">
        <v>29</v>
      </c>
      <c r="AT29" s="1097">
        <v>30</v>
      </c>
      <c r="AU29" s="2"/>
      <c r="AV29" s="2"/>
      <c r="AW29" s="2"/>
      <c r="AX29" s="2"/>
      <c r="AY29" s="2"/>
      <c r="AZ29" s="2"/>
      <c r="BA29" s="1076"/>
    </row>
    <row r="30" spans="1:53" s="362" customFormat="1" x14ac:dyDescent="0.15">
      <c r="A30" s="295"/>
      <c r="B30" s="149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675">
        <f>CRÍTICA_IGP1!F30</f>
        <v>0</v>
      </c>
      <c r="G30" s="149" t="s">
        <v>339</v>
      </c>
      <c r="H30" s="5"/>
      <c r="I30" s="5"/>
      <c r="J30" s="656">
        <f>CRÍTICA_IGP1!J30</f>
        <v>0</v>
      </c>
      <c r="K30" s="150"/>
      <c r="L30" s="5"/>
      <c r="M30" s="5"/>
      <c r="N30" s="298"/>
      <c r="O30" s="391"/>
      <c r="P30" s="1093" t="s">
        <v>351</v>
      </c>
      <c r="Q30" s="1098">
        <v>1.4999999999999999E-2</v>
      </c>
      <c r="R30" s="1094">
        <v>0.03</v>
      </c>
      <c r="S30" s="1098">
        <v>4.4999999999999998E-2</v>
      </c>
      <c r="T30" s="1094">
        <v>0.06</v>
      </c>
      <c r="U30" s="1098">
        <v>7.4999999999999997E-2</v>
      </c>
      <c r="V30" s="1094">
        <v>0.09</v>
      </c>
      <c r="W30" s="1098">
        <v>0.105</v>
      </c>
      <c r="X30" s="1094">
        <v>0.12</v>
      </c>
      <c r="Y30" s="1098">
        <v>0.13500000000000001</v>
      </c>
      <c r="Z30" s="1094">
        <v>0.15</v>
      </c>
      <c r="AA30" s="1098">
        <v>0.16500000000000001</v>
      </c>
      <c r="AB30" s="1094">
        <v>0.18</v>
      </c>
      <c r="AC30" s="1098">
        <v>0.19500000000000001</v>
      </c>
      <c r="AD30" s="1094">
        <v>0.21</v>
      </c>
      <c r="AE30" s="1098">
        <v>0.22500000000000001</v>
      </c>
      <c r="AF30" s="1094">
        <v>0.24</v>
      </c>
      <c r="AG30" s="1098">
        <v>0.255</v>
      </c>
      <c r="AH30" s="1094">
        <v>0.27</v>
      </c>
      <c r="AI30" s="1098">
        <v>0.28499999999999998</v>
      </c>
      <c r="AJ30" s="1094">
        <v>0.3</v>
      </c>
      <c r="AK30" s="1098">
        <v>0.315</v>
      </c>
      <c r="AL30" s="1094">
        <v>0.33</v>
      </c>
      <c r="AM30" s="1098">
        <v>0.34499999999999997</v>
      </c>
      <c r="AN30" s="1094">
        <v>0.36</v>
      </c>
      <c r="AO30" s="1098">
        <v>0.375</v>
      </c>
      <c r="AP30" s="1094">
        <v>0.39</v>
      </c>
      <c r="AQ30" s="1098">
        <v>0.40500000000000003</v>
      </c>
      <c r="AR30" s="1094">
        <v>0.42</v>
      </c>
      <c r="AS30" s="1098">
        <v>0.435</v>
      </c>
      <c r="AT30" s="1095">
        <v>0.45</v>
      </c>
      <c r="AX30" s="2"/>
      <c r="AY30" s="2"/>
      <c r="AZ30" s="2"/>
      <c r="BA30" s="1076"/>
    </row>
    <row r="31" spans="1:53" s="362" customFormat="1" x14ac:dyDescent="0.15">
      <c r="B31" s="149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675">
        <f>CRÍTICA_IGP1!N31</f>
        <v>0</v>
      </c>
      <c r="O31" s="391"/>
      <c r="AU31" s="2"/>
      <c r="AV31" s="2"/>
      <c r="AW31" s="2"/>
      <c r="AX31" s="1075"/>
      <c r="AY31" s="2"/>
      <c r="AZ31" s="2"/>
      <c r="BA31" s="1076"/>
    </row>
    <row r="32" spans="1:53" s="362" customFormat="1" x14ac:dyDescent="0.15">
      <c r="B32" s="149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243"/>
      <c r="O32" s="391"/>
      <c r="P32" s="1083" t="s">
        <v>603</v>
      </c>
      <c r="Q32" s="1084">
        <v>1</v>
      </c>
      <c r="R32" s="1084">
        <v>2</v>
      </c>
      <c r="S32" s="1084">
        <v>3</v>
      </c>
      <c r="T32" s="1084">
        <v>4</v>
      </c>
      <c r="U32" s="1084">
        <v>5</v>
      </c>
      <c r="V32" s="1084">
        <v>6</v>
      </c>
      <c r="W32" s="1084">
        <v>7</v>
      </c>
      <c r="X32" s="1084">
        <v>8</v>
      </c>
      <c r="Y32" s="1084">
        <v>9</v>
      </c>
      <c r="Z32" s="1084">
        <v>10</v>
      </c>
      <c r="AA32" s="1084">
        <v>11</v>
      </c>
      <c r="AB32" s="1084">
        <v>12</v>
      </c>
      <c r="AC32" s="1085">
        <v>13</v>
      </c>
      <c r="AD32" s="1086">
        <v>14</v>
      </c>
      <c r="AE32" s="1086">
        <v>15</v>
      </c>
      <c r="AF32" s="1099">
        <v>16</v>
      </c>
      <c r="AU32" s="1096"/>
      <c r="AV32" s="1096"/>
      <c r="AW32" s="1096"/>
      <c r="AX32" s="1096"/>
      <c r="AY32" s="2"/>
      <c r="AZ32" s="2"/>
      <c r="BA32" s="1076"/>
    </row>
    <row r="33" spans="1:53" s="362" customFormat="1" x14ac:dyDescent="0.15">
      <c r="A33" s="295"/>
      <c r="B33" s="149" t="s">
        <v>340</v>
      </c>
      <c r="C33" s="1859" t="s">
        <v>453</v>
      </c>
      <c r="D33" s="1860"/>
      <c r="E33" s="678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32">
        <f>SUM(F27:F33)</f>
        <v>0</v>
      </c>
      <c r="O33" s="255">
        <f>SUM($F$27:$F$33)+$F$45</f>
        <v>0</v>
      </c>
      <c r="P33" s="1093" t="s">
        <v>351</v>
      </c>
      <c r="Q33" s="1094">
        <v>0.1</v>
      </c>
      <c r="R33" s="1094">
        <v>0.12</v>
      </c>
      <c r="S33" s="1094">
        <v>0.14000000000000001</v>
      </c>
      <c r="T33" s="1094">
        <v>0.16</v>
      </c>
      <c r="U33" s="1094">
        <v>0.18</v>
      </c>
      <c r="V33" s="1094">
        <v>0.2</v>
      </c>
      <c r="W33" s="1094">
        <v>0.22</v>
      </c>
      <c r="X33" s="1094">
        <v>0.24</v>
      </c>
      <c r="Y33" s="1094">
        <v>0.26</v>
      </c>
      <c r="Z33" s="1094">
        <v>0.28000000000000003</v>
      </c>
      <c r="AA33" s="1094">
        <v>0.3</v>
      </c>
      <c r="AB33" s="1094">
        <v>0.32</v>
      </c>
      <c r="AC33" s="1094">
        <v>0.34</v>
      </c>
      <c r="AD33" s="1094">
        <v>0.36</v>
      </c>
      <c r="AE33" s="1094">
        <v>0.38</v>
      </c>
      <c r="AF33" s="1095">
        <v>0.4</v>
      </c>
      <c r="AG33" s="1074"/>
      <c r="AX33" s="2"/>
      <c r="AY33" s="2"/>
      <c r="AZ33" s="2"/>
      <c r="BA33" s="1076"/>
    </row>
    <row r="34" spans="1:53" s="362" customFormat="1" x14ac:dyDescent="0.15">
      <c r="A34" s="374"/>
      <c r="B34" s="149" t="s">
        <v>341</v>
      </c>
      <c r="C34" s="172" t="s">
        <v>349</v>
      </c>
      <c r="D34" s="173"/>
      <c r="E34" s="678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1">
        <f>ROUNDDOWN(N33/365,0)</f>
        <v>0</v>
      </c>
      <c r="O34" s="1058">
        <f>ROUNDDOWN($O$33/365,0)</f>
        <v>0</v>
      </c>
      <c r="AG34" s="1074"/>
      <c r="AX34" s="2"/>
      <c r="AY34" s="2"/>
      <c r="AZ34" s="2"/>
      <c r="BA34" s="1076"/>
    </row>
    <row r="35" spans="1:53" s="362" customFormat="1" ht="15" thickBot="1" x14ac:dyDescent="0.2">
      <c r="A35" s="374">
        <v>32421</v>
      </c>
      <c r="B35" s="1937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IF(E2=B94,IF(D12="X",IF(G10="X",ROUNDDOWN(SUM(F26:F34)*0.2,0),ROUNDDOWN(SUM(F26:F34)*0.17,0)),0),0)</f>
        <v>0</v>
      </c>
      <c r="N35" s="380">
        <f>IF(E2="VOLUNTÁRIA ESPECIAL",IF(D12="X",IF(G10="X",ROUNDDOWN(SUM(F26:F34)*0.2,0),ROUNDDOWN(SUM(F26:F34)*0.17,0)),0),0)</f>
        <v>0</v>
      </c>
      <c r="O35" s="1058"/>
      <c r="P35" s="1083" t="s">
        <v>693</v>
      </c>
      <c r="Q35" s="1084">
        <v>1</v>
      </c>
      <c r="R35" s="1084">
        <v>2</v>
      </c>
      <c r="S35" s="1084">
        <v>3</v>
      </c>
      <c r="T35" s="1084">
        <v>4</v>
      </c>
      <c r="U35" s="1084">
        <v>5</v>
      </c>
      <c r="V35" s="1084">
        <v>6</v>
      </c>
      <c r="W35" s="1084">
        <v>7</v>
      </c>
      <c r="X35" s="1084">
        <v>8</v>
      </c>
      <c r="Y35" s="1084">
        <v>9</v>
      </c>
      <c r="Z35" s="1084">
        <v>10</v>
      </c>
      <c r="AA35" s="1084">
        <v>11</v>
      </c>
      <c r="AB35" s="1084">
        <v>12</v>
      </c>
      <c r="AC35" s="1084">
        <v>13</v>
      </c>
      <c r="AD35" s="1084">
        <v>14</v>
      </c>
      <c r="AE35" s="1084">
        <v>15</v>
      </c>
      <c r="AF35" s="1084">
        <v>16</v>
      </c>
      <c r="AG35" s="1084">
        <v>17</v>
      </c>
      <c r="AH35" s="1084">
        <v>18</v>
      </c>
      <c r="AI35" s="1084">
        <v>19</v>
      </c>
      <c r="AJ35" s="1084">
        <v>20</v>
      </c>
      <c r="AK35" s="1084">
        <v>21</v>
      </c>
      <c r="AL35" s="1084">
        <v>22</v>
      </c>
      <c r="AM35" s="1084">
        <v>23</v>
      </c>
      <c r="AN35" s="1084">
        <v>24</v>
      </c>
      <c r="AO35" s="1084">
        <v>25</v>
      </c>
      <c r="AP35" s="1084">
        <v>26</v>
      </c>
      <c r="AQ35" s="1084">
        <v>27</v>
      </c>
      <c r="AR35" s="1084">
        <v>28</v>
      </c>
      <c r="AS35" s="1084">
        <v>29</v>
      </c>
      <c r="AT35" s="1084">
        <v>30</v>
      </c>
      <c r="AU35" s="1084">
        <v>31</v>
      </c>
      <c r="AV35" s="1084">
        <v>32</v>
      </c>
      <c r="AW35" s="1084">
        <v>33</v>
      </c>
      <c r="AX35" s="1084">
        <v>34</v>
      </c>
      <c r="AY35" s="1097">
        <v>35</v>
      </c>
      <c r="AZ35" s="2"/>
      <c r="BA35" s="1076"/>
    </row>
    <row r="36" spans="1:53" s="362" customFormat="1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093" t="s">
        <v>351</v>
      </c>
      <c r="Q36" s="1094">
        <v>0</v>
      </c>
      <c r="R36" s="1094">
        <v>0</v>
      </c>
      <c r="S36" s="1094">
        <v>0.02</v>
      </c>
      <c r="T36" s="1094">
        <v>0.04</v>
      </c>
      <c r="U36" s="1094">
        <v>0.06</v>
      </c>
      <c r="V36" s="1094">
        <v>0.08</v>
      </c>
      <c r="W36" s="1094">
        <v>0.1</v>
      </c>
      <c r="X36" s="1094">
        <v>0.12</v>
      </c>
      <c r="Y36" s="1094">
        <v>0.14000000000000001</v>
      </c>
      <c r="Z36" s="1094">
        <v>0.16</v>
      </c>
      <c r="AA36" s="1094">
        <v>0.18</v>
      </c>
      <c r="AB36" s="1094">
        <v>0.2</v>
      </c>
      <c r="AC36" s="1094">
        <v>0.22</v>
      </c>
      <c r="AD36" s="1094">
        <v>0.24</v>
      </c>
      <c r="AE36" s="1094">
        <v>0.26</v>
      </c>
      <c r="AF36" s="1094">
        <v>0.28000000000000003</v>
      </c>
      <c r="AG36" s="1094">
        <v>0.3</v>
      </c>
      <c r="AH36" s="1094">
        <v>0.32</v>
      </c>
      <c r="AI36" s="1094">
        <v>0.34</v>
      </c>
      <c r="AJ36" s="1094">
        <v>0.36</v>
      </c>
      <c r="AK36" s="1094">
        <v>0.38</v>
      </c>
      <c r="AL36" s="1094">
        <v>0.4</v>
      </c>
      <c r="AM36" s="1094">
        <v>0.42</v>
      </c>
      <c r="AN36" s="1094">
        <v>0.44</v>
      </c>
      <c r="AO36" s="1094">
        <v>0.46</v>
      </c>
      <c r="AP36" s="1094">
        <v>0.48</v>
      </c>
      <c r="AQ36" s="1094">
        <v>0.5</v>
      </c>
      <c r="AR36" s="1094">
        <v>0.52</v>
      </c>
      <c r="AS36" s="1094">
        <v>0.54</v>
      </c>
      <c r="AT36" s="1094">
        <v>0.56000000000000005</v>
      </c>
      <c r="AU36" s="1094">
        <v>0.57999999999999996</v>
      </c>
      <c r="AV36" s="1094">
        <v>0.6</v>
      </c>
      <c r="AW36" s="1094">
        <v>0.62</v>
      </c>
      <c r="AX36" s="1094">
        <v>0.64</v>
      </c>
      <c r="AY36" s="1095">
        <v>0.66</v>
      </c>
      <c r="AZ36" s="2"/>
      <c r="BA36" s="1076"/>
    </row>
    <row r="37" spans="1:53" s="362" customFormat="1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 t="str">
        <f>IF(E38&lt;36145,E38,"REVER")</f>
        <v>REVER</v>
      </c>
      <c r="F37" s="157">
        <f>IF($E$37&gt;$A$37,0,SUM($F$26:$F$35))</f>
        <v>0</v>
      </c>
      <c r="G37" s="150"/>
      <c r="H37" s="662" t="str">
        <f>E38</f>
        <v>REVER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Z37" s="2"/>
      <c r="BA37" s="1076"/>
    </row>
    <row r="38" spans="1:53" s="362" customFormat="1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 t="str">
        <f>IF(E32&gt;0,E32,IF(E31&gt;0,E31,IF(E30&gt;0,E30,IF(E29&gt;0,E29,IF(E28&gt;0,E28,IF(E27&gt;0,E27,IF(E26&gt;0,F26,"REVER")))))))</f>
        <v>REVER</v>
      </c>
      <c r="F38" s="270"/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083" t="s">
        <v>344</v>
      </c>
      <c r="Q38" s="1100" t="s">
        <v>596</v>
      </c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101"/>
      <c r="AZ38" s="2"/>
      <c r="BA38" s="1076"/>
    </row>
    <row r="39" spans="1:53" s="362" customFormat="1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089" t="s">
        <v>694</v>
      </c>
      <c r="Q39" s="2">
        <v>3</v>
      </c>
      <c r="R39" s="2">
        <v>6</v>
      </c>
      <c r="S39" s="2">
        <v>9</v>
      </c>
      <c r="T39" s="2">
        <v>12</v>
      </c>
      <c r="U39" s="2">
        <v>15</v>
      </c>
      <c r="V39" s="2">
        <v>18</v>
      </c>
      <c r="W39" s="2">
        <v>21</v>
      </c>
      <c r="X39" s="2">
        <v>24</v>
      </c>
      <c r="Y39" s="2">
        <v>27</v>
      </c>
      <c r="Z39" s="2">
        <v>30</v>
      </c>
      <c r="AA39" s="2">
        <v>33</v>
      </c>
      <c r="AB39" s="1102">
        <v>36</v>
      </c>
      <c r="AG39" s="1096"/>
      <c r="AX39" s="2"/>
      <c r="AY39" s="2"/>
      <c r="AZ39" s="2"/>
      <c r="BA39" s="1076"/>
    </row>
    <row r="40" spans="1:53" s="362" customFormat="1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093" t="s">
        <v>351</v>
      </c>
      <c r="Q40" s="1094">
        <v>0.1</v>
      </c>
      <c r="R40" s="1094">
        <v>0.15</v>
      </c>
      <c r="S40" s="1094">
        <v>0.2</v>
      </c>
      <c r="T40" s="1094">
        <v>0.25</v>
      </c>
      <c r="U40" s="1094">
        <v>0.3</v>
      </c>
      <c r="V40" s="1094">
        <v>0.35</v>
      </c>
      <c r="W40" s="1094">
        <v>0.4</v>
      </c>
      <c r="X40" s="1094">
        <v>0.45</v>
      </c>
      <c r="Y40" s="1094">
        <v>0.5</v>
      </c>
      <c r="Z40" s="1094">
        <v>0.55000000000000004</v>
      </c>
      <c r="AA40" s="1094">
        <v>0.6</v>
      </c>
      <c r="AB40" s="1103">
        <v>0.65</v>
      </c>
      <c r="AC40" s="1090"/>
      <c r="AD40" s="1075"/>
      <c r="AE40" s="1075"/>
      <c r="AX40" s="2"/>
      <c r="AY40" s="2"/>
      <c r="AZ40" s="2"/>
      <c r="BA40" s="1076"/>
    </row>
    <row r="41" spans="1:53" s="362" customFormat="1" x14ac:dyDescent="0.15">
      <c r="A41" s="295"/>
      <c r="B41" s="177" t="s">
        <v>493</v>
      </c>
      <c r="C41" s="178">
        <f>IF(E41&gt;0,IF(E2=B86,E41,IF(E2=B87,E41,IF(E2=B93,E41,))),0)</f>
        <v>12775</v>
      </c>
      <c r="D41" s="178" t="b">
        <f>IF(E41&gt;0,IF(K2=O5,IF(E2=B94,E41,0)),0)</f>
        <v>0</v>
      </c>
      <c r="E41" s="179">
        <f>IF($E$2=B93,IF($G$10="X",(25*365)-$F$37,(30*365)-$F$37),IF($G$10="X",(30*365)-$F$37,(35*365)-$F$37))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X41" s="2"/>
      <c r="AY41" s="2"/>
      <c r="AZ41" s="2"/>
      <c r="BA41" s="1076"/>
    </row>
    <row r="42" spans="1:53" s="362" customFormat="1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CUMPRIR",IF(K2=O5,IF(E2=B94,"HÁ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O42" s="254"/>
      <c r="P42" s="1083" t="s">
        <v>597</v>
      </c>
      <c r="Q42" s="1084">
        <v>3</v>
      </c>
      <c r="R42" s="1084">
        <v>6</v>
      </c>
      <c r="S42" s="1084">
        <v>9</v>
      </c>
      <c r="T42" s="1084">
        <v>12</v>
      </c>
      <c r="U42" s="1084">
        <v>15</v>
      </c>
      <c r="V42" s="1084">
        <v>18</v>
      </c>
      <c r="W42" s="1084">
        <v>21</v>
      </c>
      <c r="X42" s="1084">
        <v>24</v>
      </c>
      <c r="Y42" s="1084">
        <v>27</v>
      </c>
      <c r="Z42" s="1084">
        <v>30</v>
      </c>
      <c r="AA42" s="1084">
        <v>33</v>
      </c>
      <c r="AB42" s="1084">
        <v>36</v>
      </c>
      <c r="AC42" s="1084">
        <v>39</v>
      </c>
      <c r="AD42" s="1084">
        <v>42</v>
      </c>
      <c r="AE42" s="1084">
        <v>45</v>
      </c>
      <c r="AF42" s="1084">
        <v>48</v>
      </c>
      <c r="AG42" s="1097">
        <v>51</v>
      </c>
      <c r="AX42" s="2"/>
      <c r="AY42" s="2"/>
      <c r="AZ42" s="2"/>
      <c r="BA42" s="1076"/>
    </row>
    <row r="43" spans="1:53" s="362" customFormat="1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IF(E42&gt;0,IF(E2=B93,ROUNDUP(E42*0.4,0),ROUNDUP(E42*0.2,0)),0)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093" t="s">
        <v>351</v>
      </c>
      <c r="Q43" s="1094">
        <v>0.03</v>
      </c>
      <c r="R43" s="1094">
        <v>0.06</v>
      </c>
      <c r="S43" s="1094">
        <v>0.09</v>
      </c>
      <c r="T43" s="1094">
        <v>0.12</v>
      </c>
      <c r="U43" s="1094">
        <v>0.15</v>
      </c>
      <c r="V43" s="1094">
        <v>0.18</v>
      </c>
      <c r="W43" s="1094">
        <v>0.21</v>
      </c>
      <c r="X43" s="1094">
        <v>0.24</v>
      </c>
      <c r="Y43" s="1094">
        <v>0.27</v>
      </c>
      <c r="Z43" s="1094">
        <v>0.3</v>
      </c>
      <c r="AA43" s="1094">
        <v>0.33</v>
      </c>
      <c r="AB43" s="1094">
        <v>0.36</v>
      </c>
      <c r="AC43" s="1094">
        <v>0.39</v>
      </c>
      <c r="AD43" s="1094">
        <v>0.42</v>
      </c>
      <c r="AE43" s="1094">
        <v>0.45</v>
      </c>
      <c r="AF43" s="1094">
        <v>0.48</v>
      </c>
      <c r="AG43" s="1095">
        <v>0.51</v>
      </c>
      <c r="AX43" s="2"/>
      <c r="AY43" s="2"/>
      <c r="AZ43" s="2"/>
      <c r="BA43" s="1076"/>
    </row>
    <row r="44" spans="1:53" s="362" customFormat="1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X44" s="2"/>
      <c r="AY44" s="2"/>
      <c r="AZ44" s="2"/>
      <c r="BA44" s="1076"/>
    </row>
    <row r="45" spans="1:53" s="362" customFormat="1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IF(K2=O2,0,IF(K2=O3,A42,IF(K2=O4,A43,A44)))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083" t="s">
        <v>598</v>
      </c>
      <c r="Q45" s="1084">
        <v>3</v>
      </c>
      <c r="R45" s="1084">
        <v>6</v>
      </c>
      <c r="S45" s="1084">
        <v>9</v>
      </c>
      <c r="T45" s="1084">
        <v>12</v>
      </c>
      <c r="U45" s="1084">
        <v>15</v>
      </c>
      <c r="V45" s="1084">
        <v>18</v>
      </c>
      <c r="W45" s="1084">
        <v>21</v>
      </c>
      <c r="X45" s="1084">
        <v>24</v>
      </c>
      <c r="Y45" s="1084">
        <v>27</v>
      </c>
      <c r="Z45" s="1084">
        <v>30</v>
      </c>
      <c r="AA45" s="1084">
        <v>33</v>
      </c>
      <c r="AB45" s="1097">
        <v>36</v>
      </c>
      <c r="AC45" s="1074"/>
      <c r="AD45" s="1075"/>
      <c r="AE45" s="1075"/>
      <c r="AF45" s="1075"/>
      <c r="AG45" s="1074"/>
      <c r="AX45" s="2"/>
      <c r="AY45" s="2"/>
      <c r="AZ45" s="2"/>
      <c r="BA45" s="1076"/>
    </row>
    <row r="46" spans="1:53" s="362" customFormat="1" ht="15.75" customHeight="1" thickBot="1" x14ac:dyDescent="0.2">
      <c r="A46" s="376"/>
      <c r="B46" s="153"/>
      <c r="C46" s="273"/>
      <c r="D46" s="274"/>
      <c r="E46" s="275"/>
      <c r="F46" s="278">
        <f>SUM(F47:F50)</f>
        <v>0</v>
      </c>
      <c r="G46" s="1256" t="str">
        <f>IF(AND($E$51&gt;=36145,$E$51&lt;=37985),$E$51,"REVER")</f>
        <v>REVER</v>
      </c>
      <c r="H46" s="377" t="str">
        <f>IF(AND($E$51&gt;=36145,$E$51&lt;38037),$E$51,"REVER")</f>
        <v>REVER</v>
      </c>
      <c r="I46" s="230"/>
      <c r="J46" s="230"/>
      <c r="K46" s="230"/>
      <c r="L46" s="230"/>
      <c r="M46" s="378"/>
      <c r="N46" s="230"/>
      <c r="O46" s="391"/>
      <c r="P46" s="1093" t="s">
        <v>351</v>
      </c>
      <c r="Q46" s="1094">
        <v>0.08</v>
      </c>
      <c r="R46" s="1094">
        <v>0.16</v>
      </c>
      <c r="S46" s="1094">
        <v>0.26</v>
      </c>
      <c r="T46" s="1094">
        <v>0.36</v>
      </c>
      <c r="U46" s="1094">
        <v>0.46</v>
      </c>
      <c r="V46" s="1094">
        <v>0.56000000000000005</v>
      </c>
      <c r="W46" s="1094">
        <v>0.66</v>
      </c>
      <c r="X46" s="1094">
        <v>0.76</v>
      </c>
      <c r="Y46" s="1094">
        <v>0.86</v>
      </c>
      <c r="Z46" s="1094">
        <v>0.96</v>
      </c>
      <c r="AA46" s="1094">
        <v>1.06</v>
      </c>
      <c r="AB46" s="1095">
        <v>1.1599999999999999</v>
      </c>
      <c r="AC46" s="1074"/>
      <c r="AD46" s="1075"/>
      <c r="AE46" s="1075"/>
      <c r="AF46" s="1075"/>
      <c r="AG46" s="1074"/>
      <c r="AX46" s="2"/>
      <c r="AY46" s="2"/>
      <c r="AZ46" s="2"/>
      <c r="BA46" s="1076"/>
    </row>
    <row r="47" spans="1:53" s="362" customFormat="1" x14ac:dyDescent="0.15">
      <c r="A47" s="376"/>
      <c r="B47" s="151" t="s">
        <v>335</v>
      </c>
      <c r="C47" s="674">
        <f>CRÍTICA_IGP1!C47</f>
        <v>0</v>
      </c>
      <c r="D47" s="170" t="s">
        <v>336</v>
      </c>
      <c r="E47" s="674">
        <f>CRÍTICA_IGP1!E47</f>
        <v>0</v>
      </c>
      <c r="F47" s="675">
        <f>CRÍTICA_IGP1!F47</f>
        <v>0</v>
      </c>
      <c r="G47" s="296" t="s">
        <v>337</v>
      </c>
      <c r="H47" s="118"/>
      <c r="I47" s="118"/>
      <c r="J47" s="656">
        <f>CRÍTICA_IGP1!J47</f>
        <v>0</v>
      </c>
      <c r="K47" s="180"/>
      <c r="L47" s="180" t="s">
        <v>524</v>
      </c>
      <c r="M47" s="118"/>
      <c r="N47" s="656">
        <f>CRÍTICA_IGP1!N47</f>
        <v>0</v>
      </c>
      <c r="O47" s="391"/>
      <c r="P47" s="1080"/>
      <c r="Q47" s="1096"/>
      <c r="R47" s="1096"/>
      <c r="S47" s="1096"/>
      <c r="T47" s="1096"/>
      <c r="U47" s="1096"/>
      <c r="V47" s="1096"/>
      <c r="W47" s="1096"/>
      <c r="X47" s="1096"/>
      <c r="Y47" s="1096"/>
      <c r="Z47" s="1096"/>
      <c r="AA47" s="1096"/>
      <c r="AB47" s="2"/>
      <c r="AC47" s="1074"/>
      <c r="AD47" s="1075"/>
      <c r="AE47" s="1075"/>
      <c r="AF47" s="1075"/>
      <c r="AG47" s="1074"/>
      <c r="AX47" s="2"/>
      <c r="AY47" s="2"/>
      <c r="AZ47" s="2"/>
      <c r="BA47" s="1076"/>
    </row>
    <row r="48" spans="1:53" s="362" customFormat="1" x14ac:dyDescent="0.15">
      <c r="A48" s="376"/>
      <c r="B48" s="149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656">
        <f>CRÍTICA_IGP1!J48</f>
        <v>0</v>
      </c>
      <c r="K48" s="150"/>
      <c r="L48" s="150"/>
      <c r="M48" s="276"/>
      <c r="N48" s="298"/>
      <c r="O48" s="391"/>
      <c r="P48" s="1083" t="s">
        <v>600</v>
      </c>
      <c r="Q48" s="1084">
        <v>3</v>
      </c>
      <c r="R48" s="1084">
        <v>6</v>
      </c>
      <c r="S48" s="1084">
        <v>9</v>
      </c>
      <c r="T48" s="1084">
        <v>12</v>
      </c>
      <c r="U48" s="1084">
        <v>15</v>
      </c>
      <c r="V48" s="1084">
        <v>18</v>
      </c>
      <c r="W48" s="1084">
        <v>21</v>
      </c>
      <c r="X48" s="1084">
        <v>24</v>
      </c>
      <c r="Y48" s="1084">
        <v>27</v>
      </c>
      <c r="Z48" s="1084">
        <v>30</v>
      </c>
      <c r="AA48" s="1084">
        <v>33</v>
      </c>
      <c r="AB48" s="1084">
        <v>36</v>
      </c>
      <c r="AC48" s="1084">
        <v>39</v>
      </c>
      <c r="AD48" s="1084">
        <v>42</v>
      </c>
      <c r="AE48" s="1084">
        <v>45</v>
      </c>
      <c r="AF48" s="1084">
        <v>48</v>
      </c>
      <c r="AG48" s="1084">
        <v>51</v>
      </c>
      <c r="AH48" s="1084">
        <v>54</v>
      </c>
      <c r="AI48" s="1084">
        <v>57</v>
      </c>
      <c r="AJ48" s="1097">
        <v>60</v>
      </c>
      <c r="AX48" s="2"/>
      <c r="AY48" s="2"/>
      <c r="AZ48" s="2"/>
      <c r="BA48" s="1076"/>
    </row>
    <row r="49" spans="1:53" s="362" customFormat="1" x14ac:dyDescent="0.15">
      <c r="A49" s="376"/>
      <c r="B49" s="149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656" t="str">
        <f>CRÍTICA_IGP1!J49</f>
        <v>anos</v>
      </c>
      <c r="K49" s="150"/>
      <c r="L49" s="150"/>
      <c r="M49" s="276"/>
      <c r="N49" s="298"/>
      <c r="O49" s="391"/>
      <c r="P49" s="1093" t="s">
        <v>351</v>
      </c>
      <c r="Q49" s="1094">
        <v>0.05</v>
      </c>
      <c r="R49" s="1094">
        <v>0.1</v>
      </c>
      <c r="S49" s="1094">
        <v>0.15</v>
      </c>
      <c r="T49" s="1094">
        <v>0.2</v>
      </c>
      <c r="U49" s="1094">
        <v>0.25</v>
      </c>
      <c r="V49" s="1094">
        <v>0.3</v>
      </c>
      <c r="W49" s="1094">
        <v>0.35</v>
      </c>
      <c r="X49" s="1094">
        <v>0.4</v>
      </c>
      <c r="Y49" s="1094">
        <v>0.45</v>
      </c>
      <c r="Z49" s="1094">
        <v>0.5</v>
      </c>
      <c r="AA49" s="1094">
        <v>0.55000000000000004</v>
      </c>
      <c r="AB49" s="1094">
        <v>0.6</v>
      </c>
      <c r="AC49" s="1094">
        <v>0.65</v>
      </c>
      <c r="AD49" s="1094">
        <v>0.7</v>
      </c>
      <c r="AE49" s="1094">
        <v>0.75</v>
      </c>
      <c r="AF49" s="1094">
        <v>0.8</v>
      </c>
      <c r="AG49" s="1094">
        <v>0.85</v>
      </c>
      <c r="AH49" s="1094">
        <v>0.9</v>
      </c>
      <c r="AI49" s="1094">
        <v>0.95</v>
      </c>
      <c r="AJ49" s="1095">
        <v>1</v>
      </c>
      <c r="AX49" s="2"/>
      <c r="AY49" s="2"/>
      <c r="AZ49" s="2"/>
      <c r="BA49" s="1076"/>
    </row>
    <row r="50" spans="1:53" s="362" customFormat="1" ht="15.75" customHeight="1" x14ac:dyDescent="0.15">
      <c r="A50" s="376"/>
      <c r="B50" s="251" t="s">
        <v>606</v>
      </c>
      <c r="C50" s="674">
        <f>CRÍTICA_IGP1!C50</f>
        <v>0</v>
      </c>
      <c r="D50" s="271" t="s">
        <v>336</v>
      </c>
      <c r="E50" s="677">
        <f>CRÍTICA_IGP1!E50</f>
        <v>25567</v>
      </c>
      <c r="F50" s="171">
        <f>IF(C50=0,0,IF(E50=0,0,E50-C50+1))-N50</f>
        <v>0</v>
      </c>
      <c r="G50" s="251"/>
      <c r="H50" s="131"/>
      <c r="I50" s="131"/>
      <c r="J50" s="287" t="s">
        <v>704</v>
      </c>
      <c r="K50" s="162"/>
      <c r="L50" s="162"/>
      <c r="M50" s="297"/>
      <c r="N50" s="675">
        <f>CRÍTICA_IGP1!N50</f>
        <v>0</v>
      </c>
      <c r="O50" s="391"/>
      <c r="P50" s="1080"/>
      <c r="Q50" s="1096"/>
      <c r="R50" s="1096"/>
      <c r="S50" s="1096"/>
      <c r="T50" s="1096"/>
      <c r="U50" s="1096"/>
      <c r="V50" s="1096"/>
      <c r="W50" s="1096"/>
      <c r="X50" s="1096"/>
      <c r="Y50" s="1096"/>
      <c r="Z50" s="1096"/>
      <c r="AA50" s="1096"/>
      <c r="AB50" s="2"/>
      <c r="AC50" s="1074"/>
      <c r="AD50" s="1075"/>
      <c r="AE50" s="1075"/>
      <c r="AF50" s="1075"/>
      <c r="AG50" s="1074"/>
      <c r="AX50" s="2"/>
      <c r="AY50" s="2"/>
      <c r="AZ50" s="2"/>
      <c r="BA50" s="1076"/>
    </row>
    <row r="51" spans="1:53" s="362" customFormat="1" ht="14.25" customHeight="1" thickBot="1" x14ac:dyDescent="0.2">
      <c r="A51" s="295"/>
      <c r="C51" s="277" t="str">
        <f>IF($C$47&gt;0,$C$47,IF($C$48&gt;0,$C$48,IF($C$49&gt;0,$C$49,IF($C$50&gt;0,$C$50,"REVER"))))</f>
        <v>REVER</v>
      </c>
      <c r="E51" s="1066">
        <f>IF($E$50&gt;0,$E$50,IF($E$49&gt;0,$E$49,IF($E$48&gt;0,$E$48,IF($E$47&gt;0,$E$47,"REVER"))))</f>
        <v>25567</v>
      </c>
      <c r="F51" s="362" t="s">
        <v>741</v>
      </c>
      <c r="H51" s="363">
        <f>SUM($F$48:$F$50)</f>
        <v>0</v>
      </c>
      <c r="I51" s="362" t="s">
        <v>743</v>
      </c>
      <c r="J51" s="363">
        <f>SUM(F49:F50)</f>
        <v>0</v>
      </c>
      <c r="O51" s="254"/>
      <c r="P51" s="1083" t="s">
        <v>687</v>
      </c>
      <c r="Q51" s="1084">
        <v>3</v>
      </c>
      <c r="R51" s="1084">
        <v>6</v>
      </c>
      <c r="S51" s="1084">
        <v>9</v>
      </c>
      <c r="T51" s="1084">
        <v>12</v>
      </c>
      <c r="U51" s="1084">
        <v>15</v>
      </c>
      <c r="V51" s="1084">
        <v>18</v>
      </c>
      <c r="W51" s="1084">
        <v>21</v>
      </c>
      <c r="X51" s="1084">
        <v>24</v>
      </c>
      <c r="Y51" s="1084">
        <v>27</v>
      </c>
      <c r="Z51" s="1084">
        <v>30</v>
      </c>
      <c r="AA51" s="1084">
        <v>33</v>
      </c>
      <c r="AB51" s="1097">
        <v>36</v>
      </c>
      <c r="AX51" s="2"/>
      <c r="AY51" s="2"/>
      <c r="AZ51" s="2"/>
      <c r="BA51" s="1076"/>
    </row>
    <row r="52" spans="1:53" s="362" customFormat="1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093" t="s">
        <v>351</v>
      </c>
      <c r="Q52" s="1094">
        <v>0.1</v>
      </c>
      <c r="R52" s="1094">
        <v>0.15</v>
      </c>
      <c r="S52" s="1094">
        <v>0.2</v>
      </c>
      <c r="T52" s="1094">
        <v>0.25</v>
      </c>
      <c r="U52" s="1094">
        <v>0.28000000000000003</v>
      </c>
      <c r="V52" s="1094">
        <v>0.31</v>
      </c>
      <c r="W52" s="1094">
        <v>0.34</v>
      </c>
      <c r="X52" s="1094">
        <v>0.37</v>
      </c>
      <c r="Y52" s="1094">
        <v>0.4</v>
      </c>
      <c r="Z52" s="1094"/>
      <c r="AA52" s="1094"/>
      <c r="AB52" s="1095"/>
      <c r="AX52" s="2"/>
      <c r="AY52" s="2"/>
      <c r="AZ52" s="2"/>
      <c r="BA52" s="1076"/>
    </row>
    <row r="53" spans="1:53" s="362" customFormat="1" ht="6" customHeight="1" x14ac:dyDescent="0.15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1080"/>
      <c r="Q53" s="1096"/>
      <c r="R53" s="1096"/>
      <c r="S53" s="1096"/>
      <c r="T53" s="1096"/>
      <c r="U53" s="1096"/>
      <c r="V53" s="1096"/>
      <c r="W53" s="1096"/>
      <c r="X53" s="1096"/>
      <c r="Y53" s="1096"/>
      <c r="Z53" s="1096"/>
      <c r="AA53" s="1096"/>
      <c r="AB53" s="1096"/>
      <c r="AX53" s="2"/>
      <c r="AY53" s="2"/>
      <c r="AZ53" s="2"/>
      <c r="BA53" s="1076"/>
    </row>
    <row r="54" spans="1:53" s="362" customFormat="1" x14ac:dyDescent="0.15">
      <c r="A54" s="376"/>
      <c r="B54" s="151" t="s">
        <v>335</v>
      </c>
      <c r="C54" s="674">
        <f>CRÍTICA_IGP1!C54</f>
        <v>0</v>
      </c>
      <c r="D54" s="170" t="s">
        <v>336</v>
      </c>
      <c r="E54" s="674">
        <f>CRÍTICA_IGP1!E54</f>
        <v>0</v>
      </c>
      <c r="F54" s="675">
        <f>CRÍTICA_IGP1!F54</f>
        <v>0</v>
      </c>
      <c r="G54" s="296" t="s">
        <v>337</v>
      </c>
      <c r="H54" s="118"/>
      <c r="I54" s="118"/>
      <c r="J54" s="656">
        <f>CRÍTICA_IGP1!J54</f>
        <v>0</v>
      </c>
      <c r="K54" s="180"/>
      <c r="L54" s="180" t="s">
        <v>524</v>
      </c>
      <c r="M54" s="118"/>
      <c r="N54" s="656">
        <f>CRÍTICA_IGP1!N54</f>
        <v>0</v>
      </c>
      <c r="O54" s="391"/>
      <c r="P54" s="1083" t="s">
        <v>688</v>
      </c>
      <c r="Q54" s="1084">
        <v>3</v>
      </c>
      <c r="R54" s="1084">
        <v>4</v>
      </c>
      <c r="S54" s="1084">
        <v>5</v>
      </c>
      <c r="T54" s="1084">
        <v>6</v>
      </c>
      <c r="U54" s="1084">
        <v>7</v>
      </c>
      <c r="V54" s="1084">
        <v>8</v>
      </c>
      <c r="W54" s="1084">
        <v>9</v>
      </c>
      <c r="X54" s="1084">
        <v>10</v>
      </c>
      <c r="Y54" s="1084">
        <v>11</v>
      </c>
      <c r="Z54" s="1084">
        <v>12</v>
      </c>
      <c r="AA54" s="1084">
        <v>13</v>
      </c>
      <c r="AB54" s="1084">
        <v>14</v>
      </c>
      <c r="AC54" s="1084">
        <v>15</v>
      </c>
      <c r="AD54" s="1084">
        <v>16</v>
      </c>
      <c r="AE54" s="1084">
        <v>17</v>
      </c>
      <c r="AF54" s="1084">
        <v>18</v>
      </c>
      <c r="AG54" s="1084">
        <v>19</v>
      </c>
      <c r="AH54" s="1084">
        <v>20</v>
      </c>
      <c r="AI54" s="1084">
        <v>21</v>
      </c>
      <c r="AJ54" s="1084">
        <v>22</v>
      </c>
      <c r="AK54" s="1084">
        <v>23</v>
      </c>
      <c r="AL54" s="1084">
        <v>24</v>
      </c>
      <c r="AM54" s="1084">
        <v>25</v>
      </c>
      <c r="AN54" s="1084">
        <v>26</v>
      </c>
      <c r="AO54" s="1084">
        <v>27</v>
      </c>
      <c r="AP54" s="1084">
        <v>28</v>
      </c>
      <c r="AQ54" s="1084">
        <v>29</v>
      </c>
      <c r="AR54" s="1097">
        <v>30</v>
      </c>
      <c r="AX54" s="2"/>
      <c r="AY54" s="2"/>
      <c r="AZ54" s="2"/>
      <c r="BA54" s="1076"/>
    </row>
    <row r="55" spans="1:53" s="362" customFormat="1" x14ac:dyDescent="0.15">
      <c r="A55" s="376"/>
      <c r="B55" s="149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656">
        <f>CRÍTICA_IGP1!J55</f>
        <v>0</v>
      </c>
      <c r="K55" s="150"/>
      <c r="L55" s="150"/>
      <c r="M55" s="276"/>
      <c r="N55" s="298"/>
      <c r="O55" s="391"/>
      <c r="P55" s="1093" t="s">
        <v>351</v>
      </c>
      <c r="Q55" s="1094">
        <v>0.03</v>
      </c>
      <c r="R55" s="1094">
        <v>0.04</v>
      </c>
      <c r="S55" s="1094">
        <v>0.05</v>
      </c>
      <c r="T55" s="1094">
        <v>0.06</v>
      </c>
      <c r="U55" s="1094">
        <v>7.0000000000000007E-2</v>
      </c>
      <c r="V55" s="1094">
        <v>0.08</v>
      </c>
      <c r="W55" s="1094">
        <v>0.09</v>
      </c>
      <c r="X55" s="1094">
        <v>0.1</v>
      </c>
      <c r="Y55" s="1094">
        <v>0.11</v>
      </c>
      <c r="Z55" s="1094">
        <v>0.12</v>
      </c>
      <c r="AA55" s="1094">
        <v>0.13</v>
      </c>
      <c r="AB55" s="1094">
        <v>0.14000000000000001</v>
      </c>
      <c r="AC55" s="1094">
        <v>0.15</v>
      </c>
      <c r="AD55" s="1094">
        <v>0.16</v>
      </c>
      <c r="AE55" s="1094">
        <v>0.17</v>
      </c>
      <c r="AF55" s="1094">
        <v>0.18</v>
      </c>
      <c r="AG55" s="1094">
        <v>0.19</v>
      </c>
      <c r="AH55" s="1094">
        <v>0.2</v>
      </c>
      <c r="AI55" s="1094">
        <v>0.21</v>
      </c>
      <c r="AJ55" s="1094">
        <v>0.22</v>
      </c>
      <c r="AK55" s="1094">
        <v>0.23</v>
      </c>
      <c r="AL55" s="1094">
        <v>0.24</v>
      </c>
      <c r="AM55" s="1094">
        <v>0.25</v>
      </c>
      <c r="AN55" s="1094">
        <v>0.26</v>
      </c>
      <c r="AO55" s="1094">
        <v>0.27</v>
      </c>
      <c r="AP55" s="1094">
        <v>0.28000000000000003</v>
      </c>
      <c r="AQ55" s="1094">
        <v>0.28999999999999998</v>
      </c>
      <c r="AR55" s="1095">
        <v>0.3</v>
      </c>
      <c r="AX55" s="2"/>
      <c r="AY55" s="2"/>
      <c r="AZ55" s="2"/>
      <c r="BA55" s="1076"/>
    </row>
    <row r="56" spans="1:53" s="362" customFormat="1" x14ac:dyDescent="0.15">
      <c r="A56" s="376"/>
      <c r="B56" s="149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656">
        <f>CRÍTICA_IGP1!J56</f>
        <v>0</v>
      </c>
      <c r="K56" s="150"/>
      <c r="L56" s="150"/>
      <c r="M56" s="276"/>
      <c r="N56" s="298"/>
      <c r="O56" s="391"/>
      <c r="P56" s="1080"/>
      <c r="Q56" s="1096"/>
      <c r="R56" s="1096"/>
      <c r="S56" s="1096"/>
      <c r="T56" s="1096"/>
      <c r="U56" s="1096"/>
      <c r="V56" s="1096"/>
      <c r="W56" s="1096"/>
      <c r="X56" s="1096"/>
      <c r="Y56" s="1096"/>
      <c r="Z56" s="1096"/>
      <c r="AA56" s="1096"/>
      <c r="AB56" s="1096"/>
      <c r="AX56" s="2"/>
      <c r="AY56" s="2"/>
      <c r="AZ56" s="2"/>
      <c r="BA56" s="1076"/>
    </row>
    <row r="57" spans="1:53" s="362" customFormat="1" x14ac:dyDescent="0.15">
      <c r="A57" s="376"/>
      <c r="B57" s="251" t="s">
        <v>606</v>
      </c>
      <c r="C57" s="677">
        <f>CRÍTICA_IGP1!C57</f>
        <v>0</v>
      </c>
      <c r="D57" s="271" t="s">
        <v>336</v>
      </c>
      <c r="E57" s="674">
        <f>CRÍTICA_IGP1!E57</f>
        <v>0</v>
      </c>
      <c r="F57" s="171">
        <f>IF(C57=0,0,IF(E57=0,0,E57-C57+1))-N57</f>
        <v>0</v>
      </c>
      <c r="G57" s="251"/>
      <c r="H57" s="131"/>
      <c r="I57" s="131"/>
      <c r="J57" s="287" t="s">
        <v>704</v>
      </c>
      <c r="K57" s="162"/>
      <c r="L57" s="162"/>
      <c r="M57" s="297"/>
      <c r="N57" s="675">
        <f>CRÍTICA_IGP1!N57</f>
        <v>0</v>
      </c>
      <c r="O57" s="391"/>
      <c r="P57" s="1083" t="s">
        <v>690</v>
      </c>
      <c r="Q57" s="1084">
        <v>3</v>
      </c>
      <c r="R57" s="1084">
        <v>6</v>
      </c>
      <c r="S57" s="1084">
        <v>9</v>
      </c>
      <c r="T57" s="1084">
        <v>12</v>
      </c>
      <c r="U57" s="1084">
        <v>15</v>
      </c>
      <c r="V57" s="1084">
        <v>18</v>
      </c>
      <c r="W57" s="1084">
        <v>21</v>
      </c>
      <c r="X57" s="1084">
        <v>24</v>
      </c>
      <c r="Y57" s="1084">
        <v>27</v>
      </c>
      <c r="Z57" s="1084">
        <v>30</v>
      </c>
      <c r="AA57" s="1097">
        <v>33</v>
      </c>
      <c r="AB57" s="1096"/>
      <c r="AX57" s="2"/>
      <c r="AY57" s="2"/>
      <c r="AZ57" s="2"/>
      <c r="BA57" s="1076"/>
    </row>
    <row r="58" spans="1:53" s="362" customFormat="1" ht="6" customHeight="1" thickBot="1" x14ac:dyDescent="0.2">
      <c r="A58" s="295"/>
      <c r="B58" s="685"/>
      <c r="C58" s="277" t="str">
        <f>IF(C54&gt;0,C54,IF(C55&gt;0,C55,IF(C56&gt;0,C56,IF(C57&gt;0,C57,"REVER"))))</f>
        <v>REVER</v>
      </c>
      <c r="D58" s="22"/>
      <c r="E58" s="289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391"/>
      <c r="P58" s="1093" t="s">
        <v>351</v>
      </c>
      <c r="Q58" s="1094">
        <v>0.1</v>
      </c>
      <c r="R58" s="1094">
        <v>0.14000000000000001</v>
      </c>
      <c r="S58" s="1094">
        <v>0.18</v>
      </c>
      <c r="T58" s="1094">
        <v>0.22</v>
      </c>
      <c r="U58" s="1094">
        <v>0.25</v>
      </c>
      <c r="V58" s="1094">
        <v>0.3</v>
      </c>
      <c r="W58" s="1094">
        <v>0.32</v>
      </c>
      <c r="X58" s="1094">
        <v>0.35</v>
      </c>
      <c r="Y58" s="1094">
        <v>0.4</v>
      </c>
      <c r="Z58" s="1094">
        <v>0.45</v>
      </c>
      <c r="AA58" s="1095">
        <v>0.5</v>
      </c>
      <c r="AB58" s="1104"/>
      <c r="AC58" s="1090"/>
      <c r="AD58" s="1091"/>
      <c r="AE58" s="1091"/>
      <c r="AF58" s="1091"/>
      <c r="AG58" s="1090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1076"/>
    </row>
    <row r="59" spans="1:53" s="362" customFormat="1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X59" s="2"/>
      <c r="AY59" s="2"/>
      <c r="AZ59" s="2"/>
      <c r="BA59" s="1076"/>
    </row>
    <row r="60" spans="1:53" s="362" customFormat="1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083" t="s">
        <v>692</v>
      </c>
      <c r="Q60" s="1084">
        <v>3</v>
      </c>
      <c r="R60" s="1084">
        <v>6</v>
      </c>
      <c r="S60" s="1084">
        <v>9</v>
      </c>
      <c r="T60" s="1084">
        <v>12</v>
      </c>
      <c r="U60" s="1084">
        <v>15</v>
      </c>
      <c r="V60" s="1084">
        <v>18</v>
      </c>
      <c r="W60" s="1084">
        <v>21</v>
      </c>
      <c r="X60" s="1084">
        <v>24</v>
      </c>
      <c r="Y60" s="1084">
        <v>27</v>
      </c>
      <c r="Z60" s="1084">
        <v>30</v>
      </c>
      <c r="AA60" s="1084">
        <v>33</v>
      </c>
      <c r="AB60" s="1084">
        <v>34</v>
      </c>
      <c r="AC60" s="1097">
        <v>35</v>
      </c>
      <c r="AK60" s="1096"/>
      <c r="AL60" s="1096"/>
      <c r="AM60" s="1096"/>
      <c r="AN60" s="1096"/>
      <c r="AO60" s="2"/>
      <c r="AP60" s="2"/>
      <c r="AQ60" s="2"/>
      <c r="AR60" s="2"/>
      <c r="AS60" s="2"/>
      <c r="AT60" s="2"/>
      <c r="AU60" s="2"/>
      <c r="AX60" s="2"/>
      <c r="AY60" s="2"/>
      <c r="AZ60" s="2"/>
      <c r="BA60" s="1076"/>
    </row>
    <row r="61" spans="1:53" s="362" customFormat="1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093" t="s">
        <v>351</v>
      </c>
      <c r="Q61" s="1094">
        <v>0.03</v>
      </c>
      <c r="R61" s="1094">
        <v>0.06</v>
      </c>
      <c r="S61" s="1094">
        <v>0.09</v>
      </c>
      <c r="T61" s="1094">
        <v>0.12</v>
      </c>
      <c r="U61" s="1094">
        <v>0.15</v>
      </c>
      <c r="V61" s="1094">
        <v>0.18</v>
      </c>
      <c r="W61" s="1094">
        <v>0.21</v>
      </c>
      <c r="X61" s="1094">
        <v>0.24</v>
      </c>
      <c r="Y61" s="1094">
        <v>0.27</v>
      </c>
      <c r="Z61" s="1094">
        <v>0.3</v>
      </c>
      <c r="AA61" s="1094">
        <v>0.33</v>
      </c>
      <c r="AB61" s="1094">
        <v>0.34</v>
      </c>
      <c r="AC61" s="1095">
        <v>0.35</v>
      </c>
      <c r="AD61" s="1075"/>
      <c r="AE61" s="1075"/>
      <c r="AF61" s="1075"/>
      <c r="AG61" s="1074"/>
      <c r="AX61" s="2"/>
      <c r="AY61" s="2"/>
      <c r="AZ61" s="2"/>
      <c r="BA61" s="1076"/>
    </row>
    <row r="62" spans="1:53" s="362" customFormat="1" ht="6" customHeight="1" thickBot="1" x14ac:dyDescent="0.2">
      <c r="A62" s="259"/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1075"/>
      <c r="AE62" s="1075"/>
      <c r="AF62" s="1075"/>
      <c r="AG62" s="1074"/>
      <c r="AX62" s="2"/>
      <c r="AY62" s="2"/>
      <c r="AZ62" s="2"/>
      <c r="BA62" s="1076"/>
    </row>
    <row r="63" spans="1:53" s="362" customFormat="1" x14ac:dyDescent="0.15">
      <c r="A63" s="259"/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105" t="s">
        <v>697</v>
      </c>
      <c r="Q63" s="1084">
        <v>3</v>
      </c>
      <c r="R63" s="1084">
        <v>6</v>
      </c>
      <c r="S63" s="1084">
        <v>9</v>
      </c>
      <c r="T63" s="1084">
        <v>12</v>
      </c>
      <c r="U63" s="1084">
        <v>15</v>
      </c>
      <c r="V63" s="1084">
        <v>18</v>
      </c>
      <c r="W63" s="1084">
        <v>21</v>
      </c>
      <c r="X63" s="1084">
        <v>24</v>
      </c>
      <c r="Y63" s="1084">
        <v>27</v>
      </c>
      <c r="Z63" s="1084">
        <v>30</v>
      </c>
      <c r="AA63" s="1097">
        <v>33</v>
      </c>
      <c r="AD63" s="1075"/>
      <c r="AE63" s="1075"/>
      <c r="AF63" s="1075"/>
      <c r="AG63" s="1074"/>
      <c r="AX63" s="2"/>
      <c r="AY63" s="2"/>
      <c r="AZ63" s="2"/>
      <c r="BA63" s="1076"/>
    </row>
    <row r="64" spans="1:53" s="362" customFormat="1" x14ac:dyDescent="0.15">
      <c r="A64" s="259"/>
      <c r="B64" s="197"/>
      <c r="C64" s="244">
        <f>IF(E2=B88,"NÃO CABE",IF(E2=B90,"NÃO CABE",IF(E2=B91,"NÃO CABE",IF(E2=B92,"NÃO CABE",IF(C65&gt;0,C65,"NADA A CUMPRIR")))))</f>
        <v>12775</v>
      </c>
      <c r="D64" s="198"/>
      <c r="E64" s="199"/>
      <c r="F64" s="200"/>
      <c r="G64" s="198"/>
      <c r="H64" s="201">
        <f>IF($C$64="NÃO CABE",0,IF($C$65&gt;0,ROUNDDOWN($C$65/365,0),0))</f>
        <v>35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093" t="s">
        <v>351</v>
      </c>
      <c r="Q64" s="1094">
        <v>0.1</v>
      </c>
      <c r="R64" s="1094">
        <v>0.16</v>
      </c>
      <c r="S64" s="1094">
        <v>0.22</v>
      </c>
      <c r="T64" s="1094">
        <v>0.28000000000000003</v>
      </c>
      <c r="U64" s="1094">
        <v>0.34</v>
      </c>
      <c r="V64" s="1094">
        <v>0.4</v>
      </c>
      <c r="W64" s="1094">
        <v>0.46</v>
      </c>
      <c r="X64" s="1094">
        <v>0.52</v>
      </c>
      <c r="Y64" s="1094">
        <v>0.57999999999999996</v>
      </c>
      <c r="Z64" s="1094">
        <v>0.64</v>
      </c>
      <c r="AA64" s="1095">
        <v>0.7</v>
      </c>
      <c r="AC64" s="1090"/>
      <c r="AD64" s="1075"/>
      <c r="AE64" s="1075"/>
      <c r="AF64" s="1075"/>
      <c r="AG64" s="1074"/>
      <c r="AX64" s="2"/>
      <c r="AY64" s="2"/>
      <c r="AZ64" s="2"/>
      <c r="BA64" s="1076"/>
    </row>
    <row r="65" spans="1:53" s="362" customFormat="1" ht="15" thickBot="1" x14ac:dyDescent="0.2">
      <c r="A65" s="259"/>
      <c r="B65" s="204"/>
      <c r="C65" s="209">
        <f>IF(K2=O2,IF(E2=B93,R119,R118),IF(K2=O3,Q117,IF(K2=O6,Q117,IF(K2=O4,Q116,IF(K2=O5,Q116,IF($K$2=O7,Q120,0))))))</f>
        <v>12775</v>
      </c>
      <c r="D65" s="205"/>
      <c r="E65" s="206"/>
      <c r="F65" s="207"/>
      <c r="G65" s="205"/>
      <c r="H65" s="207">
        <f>IF($C$64="NÃO CABE",0,IF($C$65&gt;0,ROUNDDOWN($C$65/365,0),0))</f>
        <v>35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1074"/>
      <c r="AX65" s="2"/>
      <c r="AY65" s="2"/>
      <c r="AZ65" s="2"/>
      <c r="BA65" s="1076"/>
    </row>
    <row r="66" spans="1:53" s="362" customFormat="1" ht="6" customHeight="1" thickBot="1" x14ac:dyDescent="0.2">
      <c r="A66" s="259"/>
      <c r="B66" s="44"/>
      <c r="C66" s="43"/>
      <c r="D66" s="43"/>
      <c r="E66" s="21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105" t="s">
        <v>698</v>
      </c>
      <c r="Q66" s="1084">
        <v>3</v>
      </c>
      <c r="R66" s="1084">
        <v>6</v>
      </c>
      <c r="S66" s="1084">
        <v>9</v>
      </c>
      <c r="T66" s="1084">
        <v>12</v>
      </c>
      <c r="U66" s="1084">
        <v>15</v>
      </c>
      <c r="V66" s="1084">
        <v>18</v>
      </c>
      <c r="W66" s="1084">
        <v>21</v>
      </c>
      <c r="X66" s="1097">
        <v>24</v>
      </c>
      <c r="Y66" s="2"/>
      <c r="Z66" s="2"/>
      <c r="AA66" s="2"/>
      <c r="AB66" s="2"/>
      <c r="AC66" s="2"/>
      <c r="AX66" s="2"/>
      <c r="AY66" s="2"/>
      <c r="AZ66" s="2"/>
      <c r="BA66" s="1076"/>
    </row>
    <row r="67" spans="1:53" s="362" customFormat="1" x14ac:dyDescent="0.15">
      <c r="A67" s="259"/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IF($O$10&lt;$D$127,VLOOKUP($E$6,$B$128:$Q$225,3,FALSE),IF($O$10&lt;$E$127,VLOOKUP($E$6,$B$128:$Q$225,4,FALSE),VLOOKUP($E$6,$B$128:$Q$225,5,FALSE)))</f>
        <v>0</v>
      </c>
      <c r="P67" s="1093" t="s">
        <v>351</v>
      </c>
      <c r="Q67" s="1094">
        <v>0.05</v>
      </c>
      <c r="R67" s="1094">
        <v>0.1</v>
      </c>
      <c r="S67" s="1094">
        <v>0.15</v>
      </c>
      <c r="T67" s="1094">
        <v>0.25</v>
      </c>
      <c r="U67" s="1094">
        <v>0.35</v>
      </c>
      <c r="V67" s="1094">
        <v>0.45</v>
      </c>
      <c r="W67" s="1094">
        <v>0.55000000000000004</v>
      </c>
      <c r="X67" s="1095">
        <v>0.65</v>
      </c>
      <c r="Y67" s="1096"/>
      <c r="Z67" s="1096"/>
      <c r="AA67" s="1096"/>
      <c r="AB67" s="1096"/>
      <c r="AC67" s="1096"/>
      <c r="AD67" s="1075"/>
      <c r="AE67" s="1075"/>
      <c r="AF67" s="1075"/>
      <c r="AG67" s="1074"/>
      <c r="AX67" s="2"/>
      <c r="AY67" s="2"/>
      <c r="AZ67" s="2"/>
      <c r="BA67" s="1076"/>
    </row>
    <row r="68" spans="1:53" s="362" customFormat="1" x14ac:dyDescent="0.15">
      <c r="A68" s="259"/>
      <c r="B68" s="219" t="s">
        <v>360</v>
      </c>
      <c r="C68" s="45"/>
      <c r="D68" s="45"/>
      <c r="E68" s="220" t="e">
        <f>IF($BC$86&lt;=$BC$84,VLOOKUP($C$8,$BB$87:$BH$126,2,FALSE),IF($BC$86&lt;=$BD$84,VLOOKUP($C$8,$BB$87:$BH$126,3,FALSE),IF($BC$86&lt;=$BE$84,VLOOKUP($C$8,$BB$87:$BH$126,4,FALSE),IF($BC$86&lt;=$BF$84,VLOOKUP($C$8,$BB$87:$BH$126,5,FALSE),IF($BC$86&lt;=$BG$84,VLOOKUP($C$8,$BB$87:$BH$126,6,FALSE),VLOOKUP($C$8,$BB$87:$BH$126,7,FALSE))))))</f>
        <v>#N/A</v>
      </c>
      <c r="F68" s="150"/>
      <c r="G68" s="150"/>
      <c r="H68" s="150"/>
      <c r="I68" s="221"/>
      <c r="J68" s="222" t="e">
        <f>IF($BC$83&lt;=$BC$84,VLOOKUP($C$8,$BB$87:$BH$126,2,FALSE),IF($BC$83&lt;=$BD$84,VLOOKUP($C$8,$BB$87:$BH$126,3,FALSE),IF($BC$83&lt;=$BE$84,VLOOKUP($C$8,$BB$87:$BH$126,4,FALSE),IF($BC$83&lt;=$BF$84,VLOOKUP($C$8,$BB$87:$BH$126,5,FALSE),IF($BC$83&lt;=$BG$84,VLOOKUP($C$8,$BB$87:$BH$126,6,FALSE),VLOOKUP($C$8,$BB$87:$BH$126,7,FALSE))))))</f>
        <v>#N/A</v>
      </c>
      <c r="K68" s="150" t="s">
        <v>448</v>
      </c>
      <c r="L68" s="153"/>
      <c r="M68" s="150"/>
      <c r="N68" s="223" t="str">
        <f>IF($K$2=$O$2,J98,IF($K$2=$O$3,J99,IF($K$2=$O$4,J100,IF($K$2=$O$5,J101,"NÃO CABE"))))</f>
        <v>NÃO CABE</v>
      </c>
      <c r="O68" s="254" t="str">
        <f>VLOOKUP($E$6,$B$128:$C$225,2,FALSE)</f>
        <v>TRIÊNIO</v>
      </c>
      <c r="AC68" s="1090"/>
      <c r="AD68" s="1075"/>
      <c r="AE68" s="1075"/>
      <c r="AF68" s="1075"/>
      <c r="AG68" s="1074"/>
      <c r="AX68" s="2"/>
      <c r="AY68" s="2"/>
      <c r="AZ68" s="2"/>
      <c r="BA68" s="1076"/>
    </row>
    <row r="69" spans="1:53" s="362" customFormat="1" x14ac:dyDescent="0.15">
      <c r="A69" s="295"/>
      <c r="B69" s="219" t="s">
        <v>505</v>
      </c>
      <c r="C69" s="150"/>
      <c r="D69" s="224"/>
      <c r="E69" s="31" t="str">
        <f>K2</f>
        <v>REGRAS ANTES EC20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083" t="s">
        <v>700</v>
      </c>
      <c r="Q69" s="1084">
        <v>3</v>
      </c>
      <c r="R69" s="1084">
        <v>6</v>
      </c>
      <c r="S69" s="1084">
        <v>9</v>
      </c>
      <c r="T69" s="1084">
        <v>12</v>
      </c>
      <c r="U69" s="1084">
        <v>15</v>
      </c>
      <c r="V69" s="1084">
        <v>18</v>
      </c>
      <c r="W69" s="1084">
        <v>21</v>
      </c>
      <c r="X69" s="1084">
        <v>24</v>
      </c>
      <c r="Y69" s="1084">
        <v>27</v>
      </c>
      <c r="Z69" s="1084">
        <v>30</v>
      </c>
      <c r="AA69" s="1084">
        <v>33</v>
      </c>
      <c r="AB69" s="1084">
        <v>36</v>
      </c>
      <c r="AC69" s="1097">
        <v>39</v>
      </c>
      <c r="AD69" s="1075"/>
      <c r="AE69" s="1075"/>
      <c r="AF69" s="1075"/>
      <c r="AG69" s="1074"/>
      <c r="AX69" s="2"/>
      <c r="AY69" s="2"/>
      <c r="AZ69" s="2"/>
      <c r="BA69" s="1076"/>
    </row>
    <row r="70" spans="1:53" s="362" customFormat="1" x14ac:dyDescent="0.15">
      <c r="A70" s="295"/>
      <c r="B70" s="219" t="s">
        <v>506</v>
      </c>
      <c r="C70" s="150"/>
      <c r="D70" s="45"/>
      <c r="E70" s="31" t="str">
        <f>E2</f>
        <v>VOLUNTÁRIA INTEGRAL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IF(K2=O3,IF(M100&gt;=N100,N99,"NÃO CABE"),"NÃO CABE")</f>
        <v>NÃO CABE</v>
      </c>
      <c r="O70" s="1064"/>
      <c r="P70" s="1093" t="s">
        <v>351</v>
      </c>
      <c r="Q70" s="1098">
        <v>6.5000000000000002E-2</v>
      </c>
      <c r="R70" s="1098">
        <v>0.13</v>
      </c>
      <c r="S70" s="1098">
        <v>0.19500000000000001</v>
      </c>
      <c r="T70" s="1098">
        <v>0.26</v>
      </c>
      <c r="U70" s="1098">
        <v>0.32500000000000001</v>
      </c>
      <c r="V70" s="1098">
        <v>0.39</v>
      </c>
      <c r="W70" s="1098">
        <v>0.45500000000000002</v>
      </c>
      <c r="X70" s="1098">
        <v>0.52</v>
      </c>
      <c r="Y70" s="1098">
        <v>0.58499999999999996</v>
      </c>
      <c r="Z70" s="1098">
        <v>0.65</v>
      </c>
      <c r="AA70" s="1098">
        <v>0.71499999999999997</v>
      </c>
      <c r="AB70" s="1098">
        <v>0.78</v>
      </c>
      <c r="AC70" s="1106">
        <v>0.84499999999999997</v>
      </c>
      <c r="AD70" s="1075"/>
      <c r="AE70" s="1075"/>
      <c r="AF70" s="1075"/>
      <c r="AG70" s="1074"/>
      <c r="AX70" s="2"/>
      <c r="AY70" s="2"/>
      <c r="AZ70" s="3"/>
      <c r="BA70" s="1107"/>
    </row>
    <row r="71" spans="1:53" s="362" customFormat="1" x14ac:dyDescent="0.15">
      <c r="A71" s="295"/>
      <c r="B71" s="219" t="s">
        <v>501</v>
      </c>
      <c r="C71" s="150"/>
      <c r="D71" s="227"/>
      <c r="E71" s="29" t="str">
        <f>IF($E$2=$L$107,$O$107,IF($E$2=$L$108,$O$108,IF($E$2=$L$109,$O$109,IF($E$2=$L$110,$O$110,IF($E$2=$L$111,$O$111,$O$112)))))</f>
        <v>NADA A CRITICAR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O71" s="254"/>
      <c r="AC71" s="1090"/>
      <c r="AD71" s="1075"/>
      <c r="AE71" s="1075"/>
      <c r="AF71" s="1075"/>
      <c r="AG71" s="1074"/>
      <c r="AX71" s="2"/>
      <c r="AY71" s="2"/>
      <c r="AZ71" s="3"/>
      <c r="BA71" s="1107"/>
    </row>
    <row r="72" spans="1:53" s="362" customFormat="1" x14ac:dyDescent="0.15">
      <c r="A72" s="295"/>
      <c r="B72" s="219" t="s">
        <v>502</v>
      </c>
      <c r="C72" s="29"/>
      <c r="D72" s="227"/>
      <c r="E72" s="232"/>
      <c r="F72" s="72">
        <f>IF(AND(K2=O2,OR(J8&gt;=36145,J9&gt;=36145)),"INCOMPATÍVEL",C64)</f>
        <v>12775</v>
      </c>
      <c r="G72" s="228"/>
      <c r="H72" s="153"/>
      <c r="I72" s="153"/>
      <c r="J72" s="153" t="s">
        <v>333</v>
      </c>
      <c r="K72" s="150"/>
      <c r="L72" s="153"/>
      <c r="M72" s="153"/>
      <c r="N72" s="233"/>
      <c r="O72" s="254"/>
      <c r="P72" s="1083" t="s">
        <v>604</v>
      </c>
      <c r="Q72" s="1084"/>
      <c r="R72" s="1084"/>
      <c r="S72" s="1084"/>
      <c r="T72" s="1084"/>
      <c r="U72" s="1084"/>
      <c r="V72" s="1084"/>
      <c r="W72" s="1084"/>
      <c r="X72" s="1084"/>
      <c r="Y72" s="1084"/>
      <c r="Z72" s="1084"/>
      <c r="AA72" s="1108"/>
      <c r="AB72" s="1097"/>
      <c r="AC72" s="1074"/>
      <c r="AX72" s="3"/>
      <c r="AY72" s="3"/>
      <c r="AZ72" s="3"/>
      <c r="BA72" s="1107"/>
    </row>
    <row r="73" spans="1:53" s="362" customFormat="1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1037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CABE</v>
      </c>
      <c r="N73" s="233"/>
      <c r="O73" s="254"/>
      <c r="P73" s="1089" t="s">
        <v>349</v>
      </c>
      <c r="Q73" s="2">
        <v>5</v>
      </c>
      <c r="R73" s="2">
        <v>10</v>
      </c>
      <c r="S73" s="2">
        <v>15</v>
      </c>
      <c r="T73" s="2">
        <v>20</v>
      </c>
      <c r="U73" s="2">
        <v>25</v>
      </c>
      <c r="V73" s="2">
        <v>30</v>
      </c>
      <c r="W73" s="2">
        <v>35</v>
      </c>
      <c r="X73" s="2">
        <v>40</v>
      </c>
      <c r="Y73" s="2">
        <v>45</v>
      </c>
      <c r="Z73" s="2">
        <v>50</v>
      </c>
      <c r="AA73" s="2">
        <v>55</v>
      </c>
      <c r="AB73" s="243">
        <v>60</v>
      </c>
      <c r="AC73" s="1074"/>
      <c r="AS73" s="2"/>
      <c r="AT73" s="2"/>
      <c r="AU73" s="2"/>
      <c r="AV73" s="2"/>
      <c r="AW73" s="2"/>
      <c r="AX73" s="2"/>
      <c r="AY73" s="2"/>
      <c r="AZ73" s="3"/>
      <c r="BA73" s="1107"/>
    </row>
    <row r="74" spans="1:53" s="362" customFormat="1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O74" s="254"/>
      <c r="P74" s="1093" t="s">
        <v>351</v>
      </c>
      <c r="Q74" s="1094">
        <v>0.05</v>
      </c>
      <c r="R74" s="1094">
        <v>0.1</v>
      </c>
      <c r="S74" s="1094">
        <v>0.15</v>
      </c>
      <c r="T74" s="1094">
        <v>0.2</v>
      </c>
      <c r="U74" s="1094">
        <v>0.25</v>
      </c>
      <c r="V74" s="1094">
        <v>0.3</v>
      </c>
      <c r="W74" s="1094">
        <v>0.35</v>
      </c>
      <c r="X74" s="1094">
        <v>0.4</v>
      </c>
      <c r="Y74" s="1094">
        <v>0.45</v>
      </c>
      <c r="Z74" s="1094">
        <v>0.5</v>
      </c>
      <c r="AA74" s="1094">
        <v>0.55000000000000004</v>
      </c>
      <c r="AB74" s="1095">
        <v>0.6</v>
      </c>
      <c r="AC74" s="1074"/>
      <c r="AS74" s="1096"/>
      <c r="AT74" s="1096"/>
      <c r="AU74" s="1096"/>
      <c r="AV74" s="1096"/>
      <c r="AW74" s="1096"/>
      <c r="AX74" s="1096"/>
      <c r="AY74" s="1096"/>
      <c r="AZ74" s="3"/>
      <c r="BA74" s="1107"/>
    </row>
    <row r="75" spans="1:53" s="362" customFormat="1" ht="15" thickBot="1" x14ac:dyDescent="0.2">
      <c r="A75" s="295"/>
      <c r="B75" s="237" t="s">
        <v>452</v>
      </c>
      <c r="C75" s="238"/>
      <c r="D75" s="239">
        <f>IF(OR(E6=B196,E6=B208,E6=B219),IF(L208&gt;=25,"FAZ JUS A 1/6 DA REMUNERAÇÃO",IF(L219&gt;=25,"FAZ JUS A 1/6 DA REMUNERAÇÃO",IF(L196&gt;=25,"FAZ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CUMPRE</v>
      </c>
      <c r="P75" s="1109" t="s">
        <v>359</v>
      </c>
      <c r="Q75" s="1110"/>
      <c r="R75" s="1111"/>
      <c r="S75" s="1112">
        <f>IF(ISERROR(HLOOKUP($J$173,$Q$73:$W$74,2)),0,HLOOKUP($J$173,$Q$73:$W$74,2))</f>
        <v>0</v>
      </c>
      <c r="T75" s="1113" t="s">
        <v>451</v>
      </c>
      <c r="U75" s="1112"/>
      <c r="V75" s="1113"/>
      <c r="W75" s="1112">
        <f>IF(ISERROR(HLOOKUP($K$173,$Q$73:$W$74,2)),0,HLOOKUP($K$173,$Q$73:$W$74,2))</f>
        <v>0</v>
      </c>
      <c r="X75" s="1112" t="s">
        <v>507</v>
      </c>
      <c r="Y75" s="1114"/>
      <c r="Z75" s="1111"/>
      <c r="AA75" s="1112"/>
      <c r="AB75" s="1115">
        <f>IF(ISERROR(HLOOKUP($L$173,$Q$73:$W$74,2)),0,HLOOKUP($L$173,$Q$73:$W$74,2))</f>
        <v>0</v>
      </c>
      <c r="AC75" s="1090"/>
      <c r="AD75" s="1075"/>
      <c r="AE75" s="1075"/>
      <c r="AF75" s="1075"/>
      <c r="AG75" s="1074"/>
      <c r="AX75" s="3"/>
      <c r="AY75" s="3"/>
      <c r="AZ75" s="3"/>
      <c r="BA75" s="1107"/>
    </row>
    <row r="76" spans="1:53" s="362" customFormat="1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391" t="str">
        <f>IF($F$72="NADA A CUMPRIR","OK",IF($F$72="NÃO CABE","NÃO CABE","NÃO CUMPRE"))</f>
        <v>NÃO CUMPRE</v>
      </c>
      <c r="AC76" s="1074"/>
      <c r="AD76" s="1075"/>
      <c r="AE76" s="1075"/>
      <c r="AF76" s="1075"/>
      <c r="AG76" s="1074"/>
      <c r="AX76" s="3"/>
      <c r="AY76" s="3"/>
      <c r="AZ76" s="3"/>
      <c r="BA76" s="1107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1379" t="s">
        <v>450</v>
      </c>
      <c r="C78" s="619" t="str">
        <f>IF(OR($E$71="NADA A CRITICAR",$E$71="ATENDE LIMITE MÍNIMO DE IDADE"),"SIM","NÃO")</f>
        <v>SIM</v>
      </c>
      <c r="D78" s="620"/>
      <c r="E78" s="621" t="s">
        <v>463</v>
      </c>
      <c r="F78" s="622">
        <f>$I$67</f>
        <v>0</v>
      </c>
      <c r="G78" s="621"/>
      <c r="H78" s="619" t="str">
        <f>IF(OR($F$72="NADA A CUMPRIR",$F$72="NÃO CABE"),"SIM","NÃO")</f>
        <v>NÃO</v>
      </c>
      <c r="I78" s="623" t="str">
        <f>IF(N78="SIM","SIM","NÃO")</f>
        <v>NÃO</v>
      </c>
      <c r="J78" s="619" t="str">
        <f>IF(OR($M$73="NÃO CABE",$M$73="ATENDE"),"SIM","NÃO")</f>
        <v>SIM</v>
      </c>
      <c r="K78" s="619" t="str">
        <f>IF(OR($M$74="NÃO CABE",$M$74="ATENDE"),"SIM","NÃO")</f>
        <v>SIM</v>
      </c>
      <c r="L78" s="624"/>
      <c r="M78" s="619" t="str">
        <f>IF(OR($M$75="ATENDE",$M$75="OK"),"SIM","NÃO")</f>
        <v>NÃO</v>
      </c>
      <c r="N78" s="619" t="str">
        <f>IF($N$8&gt;=36145,"NÃO",IF(AND(C78="SIM",H78="SIM",J78="SIM",K78="SIM",M78="SIM"),"SIM","NÃO"))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>IF(OR($E$71="NADA A CRITICAR",$E$71="ATENDE LIMITE MÍNIMO DE IDADE"),"SIM","NÃO")</f>
        <v>SIM</v>
      </c>
      <c r="D79" s="415"/>
      <c r="E79" s="18" t="s">
        <v>485</v>
      </c>
      <c r="F79" s="416"/>
      <c r="G79" s="18"/>
      <c r="H79" s="414" t="str">
        <f>IF(OR($F$72="NADA A CUMPRIR",$F$72="NÃO CABE"),"SIM","NÃO")</f>
        <v>NÃO</v>
      </c>
      <c r="I79" s="413" t="str">
        <f>IF($D$14="X",IF($N$79="SIM","SIM","NÃO"),"NÃO")</f>
        <v>NÃO</v>
      </c>
      <c r="J79" s="414" t="str">
        <f>IF(OR($M$73="NÃO CABE",$M$73="ATENDE"),"SIM","NÃO")</f>
        <v>SIM</v>
      </c>
      <c r="K79" s="414" t="str">
        <f>IF(OR($M$74="NÃO CABE",$M$74="ATENDE"),"SIM","NÃO")</f>
        <v>SIM</v>
      </c>
      <c r="L79" s="412"/>
      <c r="M79" s="414" t="str">
        <f>IF(OR($M$75="ATENDE",$M$75="OK"),"SIM","NÃO")</f>
        <v>NÃO</v>
      </c>
      <c r="N79" s="414" t="str">
        <f>IF(AND(C79="SIM",H79="SIM",J79="SIM",K79="SIM",M79="SIM"),"SIM","NÃO")</f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>IF(OR($E$71="NADA A CRITICAR",$E$71="ATENDE LIMITE MÍNIMO DE IDADE"),"SIM","NÃO")</f>
        <v>SIM</v>
      </c>
      <c r="D80" s="415"/>
      <c r="E80" s="18" t="s">
        <v>752</v>
      </c>
      <c r="F80" s="416"/>
      <c r="G80" s="18"/>
      <c r="H80" s="414" t="str">
        <f>IF(OR($F$72="NADA A CUMPRIR",$F$72="NÃO CABE"),"SIM","NÃO")</f>
        <v>NÃO</v>
      </c>
      <c r="I80" s="413" t="str">
        <f>IF(N80="SIM","SIM","NÃO")</f>
        <v>NÃO</v>
      </c>
      <c r="J80" s="414" t="str">
        <f>IF(OR($M$73="NÃO CABE",$M$73="ATENDE"),"SIM","NÃO")</f>
        <v>SIM</v>
      </c>
      <c r="K80" s="414" t="str">
        <f>IF(OR($M$74="NÃO CABE",$M$74="ATENDE"),"SIM","NÃO")</f>
        <v>SIM</v>
      </c>
      <c r="L80" s="412"/>
      <c r="M80" s="414" t="str">
        <f>IF(OR($M$75="ATENDE",$M$75="OK"),"SIM","NÃO")</f>
        <v>NÃO</v>
      </c>
      <c r="N80" s="414" t="str">
        <f>IF(AND(C80="SIM",H80="SIM",J80="SIM",K80="SIM",M80="SIM"),"SIM","NÃO")</f>
        <v>NÃO</v>
      </c>
      <c r="O80" s="2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69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>IF(OR($E$71="NADA A CRITICAR",$E$71="ATENDE LIMITE MÍNIMO DE IDADE"),"SIM","NÃO")</f>
        <v>SIM</v>
      </c>
      <c r="D81" s="415"/>
      <c r="E81" s="18" t="s">
        <v>753</v>
      </c>
      <c r="F81" s="416"/>
      <c r="G81" s="18"/>
      <c r="H81" s="414" t="str">
        <f>IF(OR($F$72="NADA A CUMPRIR",$F$72="NÃO CABE"),"SIM","NÃO")</f>
        <v>NÃO</v>
      </c>
      <c r="I81" s="413" t="str">
        <f>IF(N81="SIM","SIM","NÃO")</f>
        <v>NÃO</v>
      </c>
      <c r="J81" s="414" t="str">
        <f>IF(OR($M$73="NÃO CABE",$M$73="ATENDE"),"SIM","NÃO")</f>
        <v>SIM</v>
      </c>
      <c r="K81" s="414" t="str">
        <f>IF(OR($M$74="NÃO CABE",$M$74="ATENDE"),"SIM","NÃO")</f>
        <v>SIM</v>
      </c>
      <c r="L81" s="412"/>
      <c r="M81" s="414" t="str">
        <f>IF(OR($M$75="ATENDE",$M$75="OK"),"SIM","NÃO")</f>
        <v>NÃO</v>
      </c>
      <c r="N81" s="414" t="str">
        <f>IF(AND(C81="SIM",H81="SIM",J81="SIM",K81="SIM",M81="SIM"),"SIM","NÃO")</f>
        <v>NÃO</v>
      </c>
      <c r="O81" s="2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idden="1" thickBot="1" x14ac:dyDescent="0.2">
      <c r="B82" s="35" t="s">
        <v>450</v>
      </c>
      <c r="C82" s="414" t="str">
        <f>IF(OR($E$71="NADA A CRITICAR",$E$71="ATENDE LIMITE MÍNIMO DE IDADE"),"SIM","NÃO")</f>
        <v>SIM</v>
      </c>
      <c r="D82" s="415"/>
      <c r="E82" s="18" t="s">
        <v>754</v>
      </c>
      <c r="F82" s="18"/>
      <c r="G82" s="18"/>
      <c r="H82" s="414" t="str">
        <f>IF(OR($F$72="NADA A CUMPRIR",$F$72="NÃO CABE"),"SIM","NÃO")</f>
        <v>NÃO</v>
      </c>
      <c r="I82" s="413" t="str">
        <f>IF(N82="SIM","SIM","NÃO")</f>
        <v>NÃO</v>
      </c>
      <c r="J82" s="414" t="str">
        <f>IF(OR($M$73="NÃO CABE",$M$73="ATENDE"),"SIM","NÃO")</f>
        <v>SIM</v>
      </c>
      <c r="K82" s="414" t="str">
        <f>IF(OR($M$74="NÃO CABE",$M$74="ATENDE"),"SIM","NÃO")</f>
        <v>SIM</v>
      </c>
      <c r="L82" s="412"/>
      <c r="M82" s="414" t="str">
        <f>IF(OR($M$75="ATENDE",$M$75="OK"),"SIM","NÃO")</f>
        <v>NÃO</v>
      </c>
      <c r="N82" s="414" t="str">
        <f>IF(AND(C82="SIM",H82="SIM",J82="SIM",K82="SIM",M82="SIM"),"SIM","NÃO")</f>
        <v>NÃO</v>
      </c>
      <c r="O82" s="255"/>
      <c r="AC82" s="69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X82" s="11"/>
      <c r="AY82" s="11"/>
      <c r="AZ82" s="11"/>
      <c r="BA82" s="85"/>
    </row>
    <row r="83" spans="1:64" ht="15.95" hidden="1" customHeight="1" thickTop="1" x14ac:dyDescent="0.15">
      <c r="C83" s="21"/>
      <c r="D83" s="21"/>
      <c r="F83" s="5"/>
      <c r="G83" s="5"/>
      <c r="H83" s="5"/>
      <c r="I83" s="5"/>
      <c r="J83" s="5"/>
      <c r="K83" s="5"/>
      <c r="L83" s="5"/>
      <c r="M83" s="2"/>
      <c r="N83" s="5"/>
      <c r="O83" s="255"/>
      <c r="AC83" s="69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Z83" s="11"/>
      <c r="BA83" s="85"/>
      <c r="BB83" s="686"/>
      <c r="BC83" s="687">
        <f>SUM(F30:F32)</f>
        <v>0</v>
      </c>
      <c r="BD83" s="687"/>
      <c r="BE83" s="687"/>
      <c r="BF83" s="688"/>
      <c r="BG83" s="688"/>
      <c r="BH83" s="688"/>
      <c r="BI83" s="688" t="s">
        <v>361</v>
      </c>
      <c r="BJ83" s="689" t="s">
        <v>362</v>
      </c>
      <c r="BK83" s="690" t="s">
        <v>362</v>
      </c>
      <c r="BL83" s="691" t="s">
        <v>363</v>
      </c>
    </row>
    <row r="84" spans="1:64" ht="15.95" hidden="1" customHeight="1" thickBot="1" x14ac:dyDescent="0.2">
      <c r="C84" s="21"/>
      <c r="D84" s="21"/>
      <c r="G84" s="5"/>
      <c r="H84" s="5"/>
      <c r="I84" s="5"/>
      <c r="J84" s="5"/>
      <c r="K84" s="5"/>
      <c r="L84" s="5"/>
      <c r="M84" s="2"/>
      <c r="N84" s="5"/>
      <c r="O84" s="255"/>
      <c r="AC84" s="69"/>
      <c r="AD84" s="70"/>
      <c r="AE84" s="70"/>
      <c r="AF84" s="70"/>
      <c r="AG84" s="69"/>
      <c r="AZ84" s="11"/>
      <c r="BA84" s="85"/>
      <c r="BB84" s="692" t="s">
        <v>364</v>
      </c>
      <c r="BC84" s="693">
        <v>5</v>
      </c>
      <c r="BD84" s="693">
        <v>10</v>
      </c>
      <c r="BE84" s="693">
        <v>15</v>
      </c>
      <c r="BF84" s="693">
        <v>20</v>
      </c>
      <c r="BG84" s="694">
        <v>25</v>
      </c>
      <c r="BH84" s="694" t="s">
        <v>365</v>
      </c>
      <c r="BI84" s="695" t="s">
        <v>366</v>
      </c>
      <c r="BJ84" s="696" t="s">
        <v>367</v>
      </c>
      <c r="BK84" s="697">
        <v>34820</v>
      </c>
      <c r="BL84" s="698">
        <v>34851</v>
      </c>
    </row>
    <row r="85" spans="1:64" ht="15.95" hidden="1" customHeight="1" thickBot="1" x14ac:dyDescent="0.2">
      <c r="B85" s="88" t="s">
        <v>449</v>
      </c>
      <c r="C85" s="89"/>
      <c r="D85" s="97" t="s">
        <v>546</v>
      </c>
      <c r="E85" s="98"/>
      <c r="F85" s="99"/>
      <c r="G85" s="5"/>
      <c r="H85" s="5"/>
      <c r="I85" s="5"/>
      <c r="J85" s="5"/>
      <c r="K85" s="5"/>
      <c r="L85" s="5"/>
      <c r="M85" s="2"/>
      <c r="N85" s="5"/>
      <c r="O85" s="255"/>
      <c r="AC85" s="69"/>
      <c r="AD85" s="70"/>
      <c r="AE85" s="70"/>
      <c r="AF85" s="70"/>
      <c r="AG85" s="69"/>
      <c r="AZ85" s="11"/>
      <c r="BA85" s="85"/>
      <c r="BB85" s="692"/>
      <c r="BC85" s="693"/>
      <c r="BD85" s="693"/>
      <c r="BE85" s="693"/>
      <c r="BF85" s="693"/>
      <c r="BG85" s="694"/>
      <c r="BH85" s="694"/>
      <c r="BI85" s="695"/>
      <c r="BJ85" s="696"/>
      <c r="BK85" s="697"/>
      <c r="BL85" s="698"/>
    </row>
    <row r="86" spans="1:64" ht="15.95" hidden="1" customHeight="1" thickBot="1" x14ac:dyDescent="0.2">
      <c r="B86" s="91" t="s">
        <v>450</v>
      </c>
      <c r="C86" s="90"/>
      <c r="D86" s="90"/>
      <c r="E86" s="90"/>
      <c r="F86" s="92"/>
      <c r="G86" s="5"/>
      <c r="H86" s="5"/>
      <c r="I86" s="5"/>
      <c r="J86" s="5"/>
      <c r="K86" s="5"/>
      <c r="L86" s="5"/>
      <c r="M86" s="2"/>
      <c r="N86" s="5"/>
      <c r="O86" s="255"/>
      <c r="AC86" s="69"/>
      <c r="AD86" s="21"/>
      <c r="AE86" s="21"/>
      <c r="AF86" s="21"/>
      <c r="AZ86" s="11"/>
      <c r="BA86" s="85"/>
      <c r="BB86" s="699"/>
      <c r="BC86" s="700">
        <f>(BC83+F45+F59)/365</f>
        <v>0</v>
      </c>
      <c r="BD86" s="701"/>
      <c r="BE86" s="701"/>
      <c r="BF86" s="701"/>
      <c r="BG86" s="701"/>
      <c r="BH86" s="701"/>
      <c r="BI86" s="702">
        <v>0.45</v>
      </c>
      <c r="BJ86" s="703"/>
      <c r="BK86" s="704"/>
      <c r="BL86" s="705" t="s">
        <v>368</v>
      </c>
    </row>
    <row r="87" spans="1:64" ht="15.95" hidden="1" customHeight="1" x14ac:dyDescent="0.15">
      <c r="B87" s="91" t="s">
        <v>455</v>
      </c>
      <c r="C87" s="90"/>
      <c r="D87" s="90"/>
      <c r="E87" s="90"/>
      <c r="F87" s="92"/>
      <c r="G87" s="5"/>
      <c r="H87" s="5"/>
      <c r="I87" s="5"/>
      <c r="J87" s="5"/>
      <c r="K87" s="5"/>
      <c r="L87" s="5"/>
      <c r="M87" s="2"/>
      <c r="N87" s="5"/>
      <c r="O87" s="255"/>
      <c r="AD87" s="70"/>
      <c r="AE87" s="70"/>
      <c r="AF87" s="70"/>
      <c r="AG87" s="69"/>
      <c r="AZ87" s="11"/>
      <c r="BA87" s="85"/>
      <c r="BB87" s="706" t="s">
        <v>369</v>
      </c>
      <c r="BC87" s="707" t="s">
        <v>370</v>
      </c>
      <c r="BD87" s="708" t="s">
        <v>371</v>
      </c>
      <c r="BE87" s="708" t="s">
        <v>372</v>
      </c>
      <c r="BF87" s="708" t="s">
        <v>373</v>
      </c>
      <c r="BG87" s="708" t="s">
        <v>374</v>
      </c>
      <c r="BH87" s="709" t="s">
        <v>375</v>
      </c>
      <c r="BI87" s="710" t="e">
        <f>#REF!*1.45</f>
        <v>#REF!</v>
      </c>
      <c r="BJ87" s="711">
        <v>80.64</v>
      </c>
      <c r="BK87" s="712">
        <v>100</v>
      </c>
      <c r="BL87" s="713">
        <v>112</v>
      </c>
    </row>
    <row r="88" spans="1:64" ht="15.95" hidden="1" customHeight="1" x14ac:dyDescent="0.15">
      <c r="B88" s="91" t="s">
        <v>467</v>
      </c>
      <c r="C88" s="90"/>
      <c r="D88" s="90"/>
      <c r="E88" s="90"/>
      <c r="F88" s="92"/>
      <c r="G88" s="5"/>
      <c r="H88" s="5"/>
      <c r="I88" s="5"/>
      <c r="J88" s="5"/>
      <c r="K88" s="5"/>
      <c r="L88" s="5"/>
      <c r="M88" s="2"/>
      <c r="N88" s="5"/>
      <c r="O88" s="255"/>
      <c r="AD88" s="70"/>
      <c r="AE88" s="70"/>
      <c r="AF88" s="70"/>
      <c r="AG88" s="69"/>
      <c r="AZ88" s="11"/>
      <c r="BA88" s="85"/>
      <c r="BB88" s="714" t="s">
        <v>376</v>
      </c>
      <c r="BC88" s="715" t="s">
        <v>370</v>
      </c>
      <c r="BD88" s="716" t="s">
        <v>371</v>
      </c>
      <c r="BE88" s="716" t="s">
        <v>372</v>
      </c>
      <c r="BF88" s="716" t="s">
        <v>373</v>
      </c>
      <c r="BG88" s="716" t="s">
        <v>374</v>
      </c>
      <c r="BH88" s="717" t="s">
        <v>375</v>
      </c>
      <c r="BI88" s="718" t="e">
        <f>#REF!*1.45</f>
        <v>#REF!</v>
      </c>
      <c r="BJ88" s="719">
        <v>90.32</v>
      </c>
      <c r="BK88" s="720">
        <v>100</v>
      </c>
      <c r="BL88" s="721">
        <v>125.44</v>
      </c>
    </row>
    <row r="89" spans="1:64" ht="15.95" hidden="1" customHeight="1" x14ac:dyDescent="0.15">
      <c r="B89" s="91" t="s">
        <v>468</v>
      </c>
      <c r="C89" s="90"/>
      <c r="D89" s="90"/>
      <c r="E89" s="90"/>
      <c r="F89" s="92"/>
      <c r="G89" s="5"/>
      <c r="H89" s="5"/>
      <c r="I89" s="5"/>
      <c r="J89" s="5"/>
      <c r="K89" s="5"/>
      <c r="L89" s="5"/>
      <c r="M89" s="2"/>
      <c r="N89" s="5"/>
      <c r="O89" s="255"/>
      <c r="AD89" s="70"/>
      <c r="AE89" s="70"/>
      <c r="AF89" s="70"/>
      <c r="AG89" s="69"/>
      <c r="AZ89" s="11"/>
      <c r="BA89" s="85"/>
      <c r="BB89" s="714" t="s">
        <v>377</v>
      </c>
      <c r="BC89" s="715" t="s">
        <v>371</v>
      </c>
      <c r="BD89" s="716" t="s">
        <v>372</v>
      </c>
      <c r="BE89" s="716" t="s">
        <v>373</v>
      </c>
      <c r="BF89" s="716" t="s">
        <v>374</v>
      </c>
      <c r="BG89" s="716" t="s">
        <v>375</v>
      </c>
      <c r="BH89" s="717" t="s">
        <v>378</v>
      </c>
      <c r="BI89" s="718" t="e">
        <f>#REF!*1.45</f>
        <v>#REF!</v>
      </c>
      <c r="BJ89" s="719">
        <v>101.15</v>
      </c>
      <c r="BK89" s="720">
        <v>101.15</v>
      </c>
      <c r="BL89" s="721">
        <v>140.4</v>
      </c>
    </row>
    <row r="90" spans="1:64" ht="15.95" hidden="1" customHeight="1" x14ac:dyDescent="0.15">
      <c r="B90" s="91" t="s">
        <v>470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D90" s="70"/>
      <c r="AE90" s="70"/>
      <c r="AF90" s="70"/>
      <c r="AG90" s="69"/>
      <c r="AZ90" s="11"/>
      <c r="BA90" s="85"/>
      <c r="BB90" s="714" t="s">
        <v>379</v>
      </c>
      <c r="BC90" s="715" t="s">
        <v>371</v>
      </c>
      <c r="BD90" s="716" t="s">
        <v>372</v>
      </c>
      <c r="BE90" s="716" t="s">
        <v>373</v>
      </c>
      <c r="BF90" s="716" t="s">
        <v>374</v>
      </c>
      <c r="BG90" s="716" t="s">
        <v>375</v>
      </c>
      <c r="BH90" s="717" t="s">
        <v>378</v>
      </c>
      <c r="BI90" s="718" t="e">
        <f>#REF!*1.45</f>
        <v>#REF!</v>
      </c>
      <c r="BJ90" s="719">
        <v>113.29</v>
      </c>
      <c r="BK90" s="720">
        <v>113.29</v>
      </c>
      <c r="BL90" s="721">
        <v>157.35</v>
      </c>
    </row>
    <row r="91" spans="1:64" ht="15.95" hidden="1" customHeight="1" x14ac:dyDescent="0.15">
      <c r="B91" s="91" t="s">
        <v>471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14" t="s">
        <v>380</v>
      </c>
      <c r="BC91" s="715" t="s">
        <v>372</v>
      </c>
      <c r="BD91" s="716" t="s">
        <v>373</v>
      </c>
      <c r="BE91" s="716" t="s">
        <v>374</v>
      </c>
      <c r="BF91" s="716" t="s">
        <v>375</v>
      </c>
      <c r="BG91" s="716" t="s">
        <v>378</v>
      </c>
      <c r="BH91" s="717" t="s">
        <v>381</v>
      </c>
      <c r="BI91" s="718" t="e">
        <f>#REF!*1.45</f>
        <v>#REF!</v>
      </c>
      <c r="BJ91" s="719">
        <v>126.89</v>
      </c>
      <c r="BK91" s="720">
        <v>129.88999999999999</v>
      </c>
      <c r="BL91" s="721">
        <v>176.23</v>
      </c>
    </row>
    <row r="92" spans="1:64" ht="15.95" hidden="1" customHeight="1" x14ac:dyDescent="0.15">
      <c r="B92" s="93" t="s">
        <v>472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328</v>
      </c>
      <c r="BC92" s="715" t="s">
        <v>372</v>
      </c>
      <c r="BD92" s="716" t="s">
        <v>373</v>
      </c>
      <c r="BE92" s="716" t="s">
        <v>374</v>
      </c>
      <c r="BF92" s="716" t="s">
        <v>375</v>
      </c>
      <c r="BG92" s="716" t="s">
        <v>378</v>
      </c>
      <c r="BH92" s="717" t="s">
        <v>381</v>
      </c>
      <c r="BI92" s="718">
        <f>A125*1.45</f>
        <v>0</v>
      </c>
      <c r="BJ92" s="719">
        <v>80.64</v>
      </c>
      <c r="BK92" s="720">
        <v>100</v>
      </c>
      <c r="BL92" s="721">
        <v>112</v>
      </c>
    </row>
    <row r="93" spans="1:64" ht="15.95" hidden="1" customHeight="1" x14ac:dyDescent="0.15">
      <c r="B93" s="93" t="s">
        <v>487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382</v>
      </c>
      <c r="BC93" s="715" t="s">
        <v>372</v>
      </c>
      <c r="BD93" s="716" t="s">
        <v>373</v>
      </c>
      <c r="BE93" s="716" t="s">
        <v>374</v>
      </c>
      <c r="BF93" s="716" t="s">
        <v>375</v>
      </c>
      <c r="BG93" s="716" t="s">
        <v>378</v>
      </c>
      <c r="BH93" s="717" t="s">
        <v>381</v>
      </c>
      <c r="BI93" s="718">
        <f>A126*1.45</f>
        <v>0</v>
      </c>
      <c r="BJ93" s="719">
        <v>90.32</v>
      </c>
      <c r="BK93" s="720">
        <v>100</v>
      </c>
      <c r="BL93" s="721">
        <v>125.44</v>
      </c>
    </row>
    <row r="94" spans="1:64" ht="15.95" hidden="1" customHeight="1" thickBot="1" x14ac:dyDescent="0.2">
      <c r="B94" s="94" t="s">
        <v>484</v>
      </c>
      <c r="C94" s="95"/>
      <c r="D94" s="95"/>
      <c r="E94" s="95"/>
      <c r="F94" s="96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383</v>
      </c>
      <c r="BC94" s="715" t="s">
        <v>372</v>
      </c>
      <c r="BD94" s="716" t="s">
        <v>373</v>
      </c>
      <c r="BE94" s="716" t="s">
        <v>374</v>
      </c>
      <c r="BF94" s="716" t="s">
        <v>375</v>
      </c>
      <c r="BG94" s="716" t="s">
        <v>378</v>
      </c>
      <c r="BH94" s="717" t="s">
        <v>381</v>
      </c>
      <c r="BI94" s="718">
        <f>A127*1.45</f>
        <v>0</v>
      </c>
      <c r="BJ94" s="719">
        <v>101.15</v>
      </c>
      <c r="BK94" s="720">
        <v>101.15</v>
      </c>
      <c r="BL94" s="721">
        <v>140.4</v>
      </c>
    </row>
    <row r="95" spans="1:64" ht="15.95" hidden="1" customHeight="1" x14ac:dyDescent="0.15">
      <c r="B95" s="30"/>
      <c r="C95" s="5"/>
      <c r="D95" s="5"/>
      <c r="E95" s="5"/>
      <c r="F95" s="5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384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>
        <f>A128*1.45</f>
        <v>1.45</v>
      </c>
      <c r="BJ95" s="719">
        <v>113.29</v>
      </c>
      <c r="BK95" s="720">
        <v>113.29</v>
      </c>
      <c r="BL95" s="721">
        <v>157.35</v>
      </c>
    </row>
    <row r="96" spans="1:64" ht="13.5" hidden="1" x14ac:dyDescent="0.15">
      <c r="B96" s="30"/>
      <c r="C96" s="5"/>
      <c r="D96" s="5"/>
      <c r="E96" s="5"/>
      <c r="F96" s="5"/>
      <c r="G96" s="5"/>
      <c r="H96" s="5"/>
      <c r="I96" s="5"/>
      <c r="J96" s="74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385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A128*1.45</f>
        <v>1.45</v>
      </c>
      <c r="BJ96" s="719">
        <v>126.89</v>
      </c>
      <c r="BK96" s="720">
        <v>126.89</v>
      </c>
      <c r="BL96" s="721">
        <v>176.23</v>
      </c>
    </row>
    <row r="97" spans="2:64" ht="13.5" hidden="1" x14ac:dyDescent="0.15">
      <c r="B97" s="1849" t="s">
        <v>508</v>
      </c>
      <c r="C97" s="1849"/>
      <c r="D97" s="1849"/>
      <c r="E97" s="1849"/>
      <c r="H97" s="5"/>
      <c r="I97" s="37"/>
      <c r="J97" s="5"/>
      <c r="K97" s="27"/>
      <c r="L97" s="6"/>
      <c r="M97" s="27"/>
      <c r="N97" s="60"/>
      <c r="O97" s="255"/>
      <c r="AD97" s="70"/>
      <c r="AE97" s="70"/>
      <c r="AF97" s="70"/>
      <c r="AG97" s="69"/>
      <c r="AZ97" s="11"/>
      <c r="BA97" s="85"/>
      <c r="BB97" s="714" t="s">
        <v>386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A129*1.45</f>
        <v>2.9</v>
      </c>
      <c r="BJ97" s="719">
        <v>126.89</v>
      </c>
      <c r="BK97" s="720">
        <v>126.89</v>
      </c>
      <c r="BL97" s="721">
        <v>176.23</v>
      </c>
    </row>
    <row r="98" spans="2:64" hidden="1" thickBot="1" x14ac:dyDescent="0.2">
      <c r="B98" s="34" t="s">
        <v>463</v>
      </c>
      <c r="C98" s="17"/>
      <c r="D98" s="21"/>
      <c r="E98" s="36"/>
      <c r="F98" s="5"/>
      <c r="G98" s="28"/>
      <c r="H98" s="5"/>
      <c r="I98" s="17" t="s">
        <v>463</v>
      </c>
      <c r="J98" s="5" t="str">
        <f>IF(E2=B88,H99,IF(E2=B90,H99,IF(E2=B92,H99,IF(E2=B93,H99,"NÃO CABE"))))</f>
        <v>NÃO CABE</v>
      </c>
      <c r="K98" s="27"/>
      <c r="L98" s="6" t="s">
        <v>510</v>
      </c>
      <c r="M98" s="27"/>
      <c r="N98" s="60"/>
      <c r="O98" s="255"/>
      <c r="X98" s="11"/>
      <c r="Y98" s="11"/>
      <c r="Z98" s="11"/>
      <c r="AA98" s="11"/>
      <c r="AB98" s="11"/>
      <c r="AC98" s="69"/>
      <c r="AD98" s="70"/>
      <c r="AE98" s="70"/>
      <c r="AF98" s="70"/>
      <c r="AG98" s="69"/>
      <c r="AZ98" s="11"/>
      <c r="BA98" s="85"/>
      <c r="BB98" s="714" t="s">
        <v>387</v>
      </c>
      <c r="BC98" s="715" t="s">
        <v>373</v>
      </c>
      <c r="BD98" s="716" t="s">
        <v>374</v>
      </c>
      <c r="BE98" s="716" t="s">
        <v>375</v>
      </c>
      <c r="BF98" s="716" t="s">
        <v>378</v>
      </c>
      <c r="BG98" s="716" t="s">
        <v>381</v>
      </c>
      <c r="BH98" s="717" t="s">
        <v>388</v>
      </c>
      <c r="BI98" s="718" t="e">
        <f>A130*1.45</f>
        <v>#VALUE!</v>
      </c>
      <c r="BJ98" s="719">
        <v>142.12</v>
      </c>
      <c r="BK98" s="720">
        <v>142.12</v>
      </c>
      <c r="BL98" s="721">
        <v>197.38</v>
      </c>
    </row>
    <row r="99" spans="2:64" hidden="1" thickBot="1" x14ac:dyDescent="0.2">
      <c r="B99" s="34" t="s">
        <v>485</v>
      </c>
      <c r="C99" s="17"/>
      <c r="D99" s="16"/>
      <c r="E99" s="57" t="str">
        <f>IF($F$99="NÃO CABE","NÃO CABE",IF($G$10="X",$F$99/30,$F$99/35))</f>
        <v>NÃO CABE</v>
      </c>
      <c r="F99" s="10" t="str">
        <f>IF(E2="VOLUNTÁRIA ESPECIAL","NÃO CABE",IF(E2="VOLUNTÁRIA INTEGRAL","NÃO CABE",IF(E2="COMPULSÓRIA INTEGRAL","NÃO CABE",IF(E2="INVALIDEZ INTEGRAL","NÃO CABE",ROUNDDOWN(F61/365,0)))))</f>
        <v>NÃO CABE</v>
      </c>
      <c r="G99" s="28"/>
      <c r="H99" s="14">
        <f>IF(E99&gt;1,1,E99)</f>
        <v>1</v>
      </c>
      <c r="I99" s="17" t="s">
        <v>485</v>
      </c>
      <c r="J99" s="5" t="str">
        <f>IF($E$2=$B$88,H99,IF($E$2=$B$90,H99,IF($E$2=$B$92,H99,"NÃO CABE")))</f>
        <v>NÃO CABE</v>
      </c>
      <c r="K99" s="27"/>
      <c r="L99" s="57" t="str">
        <f>IF($F$99="NÃO CABE","NÃO CABE",IF($G$10="X",$F$61/10950,$F$61/12775))</f>
        <v>NÃO CABE</v>
      </c>
      <c r="M99" s="14">
        <f>IF(L99&gt;1,1,L99)</f>
        <v>1</v>
      </c>
      <c r="N99" s="5" t="str">
        <f>IF($E$2=$B$88,M99,IF($E$2=$B$90,M99,IF($E$2=$B$92,M99,"NÃO CABE")))</f>
        <v>NÃO CABE</v>
      </c>
      <c r="O99" s="255"/>
      <c r="X99" s="11"/>
      <c r="Y99" s="11"/>
      <c r="Z99" s="11"/>
      <c r="AA99" s="11"/>
      <c r="AB99" s="11"/>
      <c r="AC99" s="69"/>
      <c r="AD99" s="70"/>
      <c r="AE99" s="70"/>
      <c r="AF99" s="70"/>
      <c r="AG99" s="69"/>
      <c r="AZ99" s="11"/>
      <c r="BA99" s="85"/>
      <c r="BB99" s="714" t="s">
        <v>389</v>
      </c>
      <c r="BC99" s="715" t="s">
        <v>373</v>
      </c>
      <c r="BD99" s="716" t="s">
        <v>374</v>
      </c>
      <c r="BE99" s="716" t="s">
        <v>375</v>
      </c>
      <c r="BF99" s="716" t="s">
        <v>378</v>
      </c>
      <c r="BG99" s="716" t="s">
        <v>381</v>
      </c>
      <c r="BH99" s="717" t="s">
        <v>388</v>
      </c>
      <c r="BI99" s="718">
        <f>A132*1.45</f>
        <v>5.8</v>
      </c>
      <c r="BJ99" s="719">
        <v>90.32</v>
      </c>
      <c r="BK99" s="720">
        <v>100</v>
      </c>
      <c r="BL99" s="721">
        <v>125.44</v>
      </c>
    </row>
    <row r="100" spans="2:64" hidden="1" thickBot="1" x14ac:dyDescent="0.2">
      <c r="B100" s="34" t="s">
        <v>476</v>
      </c>
      <c r="C100" s="17"/>
      <c r="D100" s="16"/>
      <c r="E100" s="58" t="str">
        <f>IF(E2=B93,IF(C65&gt;0,"TEMPO A CUMPRIR",IF(F100=1,75%,IF(F100=2,80%,IF(F100=3,85%,IF(F100=4,90%,IF(F100=5,95%,IF(F100&gt;=6,100%,70%))))))),"NÃO CABE")</f>
        <v>NÃO CABE</v>
      </c>
      <c r="F100" s="10">
        <f>IF(G10="X",ROUNDDOWN((F61-(25*365+E43))/365,0),ROUNDDOWN((F61-(30*365+E43))/365,0))</f>
        <v>-30</v>
      </c>
      <c r="G100" s="28"/>
      <c r="I100" s="17" t="s">
        <v>476</v>
      </c>
      <c r="J100" s="5" t="str">
        <f>IF(E2=B93,E100,"NÃO CABE")</f>
        <v>NÃO CABE</v>
      </c>
      <c r="K100" s="27"/>
      <c r="L100" s="65"/>
      <c r="M100" s="66">
        <f>O10</f>
        <v>36144</v>
      </c>
      <c r="N100" s="60">
        <v>38037</v>
      </c>
      <c r="O100" s="255"/>
      <c r="X100" s="11"/>
      <c r="Y100" s="11"/>
      <c r="Z100" s="11"/>
      <c r="AA100" s="11"/>
      <c r="AB100" s="11"/>
      <c r="AC100" s="69"/>
      <c r="AD100" s="70"/>
      <c r="AE100" s="70"/>
      <c r="AF100" s="70"/>
      <c r="AG100" s="69"/>
      <c r="AZ100" s="11"/>
      <c r="BA100" s="85"/>
      <c r="BB100" s="714" t="s">
        <v>390</v>
      </c>
      <c r="BC100" s="715" t="s">
        <v>373</v>
      </c>
      <c r="BD100" s="716" t="s">
        <v>374</v>
      </c>
      <c r="BE100" s="716" t="s">
        <v>375</v>
      </c>
      <c r="BF100" s="716" t="s">
        <v>378</v>
      </c>
      <c r="BG100" s="716" t="s">
        <v>381</v>
      </c>
      <c r="BH100" s="717" t="s">
        <v>388</v>
      </c>
      <c r="BI100" s="718"/>
      <c r="BJ100" s="719"/>
      <c r="BK100" s="720"/>
      <c r="BL100" s="721"/>
    </row>
    <row r="101" spans="2:64" hidden="1" thickBot="1" x14ac:dyDescent="0.2">
      <c r="B101" s="35" t="s">
        <v>464</v>
      </c>
      <c r="C101" s="33"/>
      <c r="D101" s="16"/>
      <c r="E101" s="36" t="s">
        <v>457</v>
      </c>
      <c r="F101" s="5">
        <f>IF($D$12="X",50-$N$11,55-$N$11)</f>
        <v>55</v>
      </c>
      <c r="G101" s="28"/>
      <c r="H101" s="59" t="str">
        <f>IF($G$10="X",IF($O$9&gt;=17532,IF($O$10&gt;=38718,1-($F$101*0.05),1-($F$101*0.035)),"NÃO CABE"),IF($O$9&gt;=19359,IF($O$10&gt;=38718,1-($F$102*0.05),1-($F$102*0.035)),"NÃO CABE"))</f>
        <v>NÃO CABE</v>
      </c>
      <c r="I101" s="33" t="s">
        <v>464</v>
      </c>
      <c r="J101" s="61" t="str">
        <f>IF(E2=B94,H102,"NÃO CABE")</f>
        <v>NÃO CABE</v>
      </c>
      <c r="K101" s="27"/>
      <c r="L101" s="6"/>
      <c r="M101" s="27"/>
      <c r="N101" s="60"/>
      <c r="O101" s="255"/>
      <c r="X101" s="11"/>
      <c r="Y101" s="11"/>
      <c r="Z101" s="11"/>
      <c r="AA101" s="11"/>
      <c r="AB101" s="11"/>
      <c r="AC101" s="69"/>
      <c r="AD101" s="70"/>
      <c r="AE101" s="70"/>
      <c r="AF101" s="70"/>
      <c r="AG101" s="69"/>
      <c r="AX101" s="11"/>
      <c r="AY101" s="11"/>
      <c r="AZ101" s="11"/>
      <c r="BA101" s="85"/>
      <c r="BB101" s="714" t="s">
        <v>391</v>
      </c>
      <c r="BC101" s="715" t="s">
        <v>373</v>
      </c>
      <c r="BD101" s="716" t="s">
        <v>374</v>
      </c>
      <c r="BE101" s="716" t="s">
        <v>375</v>
      </c>
      <c r="BF101" s="716" t="s">
        <v>378</v>
      </c>
      <c r="BG101" s="716" t="s">
        <v>381</v>
      </c>
      <c r="BH101" s="717" t="s">
        <v>388</v>
      </c>
      <c r="BI101" s="718" t="e">
        <f>A134*1.45</f>
        <v>#VALUE!</v>
      </c>
      <c r="BJ101" s="719">
        <v>101.15</v>
      </c>
      <c r="BK101" s="720">
        <v>101.15</v>
      </c>
      <c r="BL101" s="721">
        <v>140.4</v>
      </c>
    </row>
    <row r="102" spans="2:64" ht="13.5" hidden="1" x14ac:dyDescent="0.15">
      <c r="B102" s="39">
        <v>38717</v>
      </c>
      <c r="C102" s="11">
        <v>38717</v>
      </c>
      <c r="D102" s="16"/>
      <c r="E102" s="36" t="s">
        <v>456</v>
      </c>
      <c r="F102" s="5">
        <f>IF($D$12="X",55-$N$11,60-$N$11)</f>
        <v>60</v>
      </c>
      <c r="G102" s="28"/>
      <c r="H102" s="14">
        <f>IF(H101="NÃO CABE",0,IF(H101&gt;1,1,H101))</f>
        <v>0</v>
      </c>
      <c r="I102" s="18"/>
      <c r="J102" s="5"/>
      <c r="K102" s="27"/>
      <c r="L102" s="6"/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S102" s="69"/>
      <c r="AX102" s="11"/>
      <c r="AY102" s="11"/>
      <c r="AZ102" s="11"/>
      <c r="BA102" s="85"/>
      <c r="BB102" s="714" t="s">
        <v>392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/>
      <c r="BJ102" s="719"/>
      <c r="BK102" s="720"/>
      <c r="BL102" s="721"/>
    </row>
    <row r="103" spans="2:64" ht="13.5" hidden="1" x14ac:dyDescent="0.15">
      <c r="B103" s="39">
        <v>38718</v>
      </c>
      <c r="C103" s="11">
        <v>38718</v>
      </c>
      <c r="D103" s="8"/>
      <c r="E103" s="63"/>
      <c r="F103" s="6"/>
      <c r="G103" s="6"/>
      <c r="H103" s="6"/>
      <c r="I103" s="18"/>
      <c r="J103" s="9"/>
      <c r="K103" s="5"/>
      <c r="L103" s="6"/>
      <c r="M103" s="10"/>
      <c r="N103" s="11"/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X103" s="11"/>
      <c r="AY103" s="11"/>
      <c r="AZ103" s="11"/>
      <c r="BA103" s="85"/>
      <c r="BB103" s="714" t="s">
        <v>393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A135*1.45</f>
        <v>8.6999999999999993</v>
      </c>
      <c r="BJ103" s="719">
        <v>113.29</v>
      </c>
      <c r="BK103" s="720">
        <v>113.29</v>
      </c>
      <c r="BL103" s="721">
        <v>157.35</v>
      </c>
    </row>
    <row r="104" spans="2:64" ht="13.5" hidden="1" x14ac:dyDescent="0.15">
      <c r="B104" s="62"/>
      <c r="C104" s="38">
        <v>38097</v>
      </c>
      <c r="D104" s="8"/>
      <c r="E104" s="5"/>
      <c r="F104" s="6"/>
      <c r="G104" s="6"/>
      <c r="H104" s="6"/>
      <c r="I104" s="6"/>
      <c r="J104" s="9"/>
      <c r="K104" s="5"/>
      <c r="L104" s="6"/>
      <c r="M104" s="10"/>
      <c r="N104" s="11"/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X104" s="11"/>
      <c r="AY104" s="11"/>
      <c r="AZ104" s="11"/>
      <c r="BA104" s="85"/>
      <c r="BB104" s="714" t="s">
        <v>394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>
        <f>A136*1.45</f>
        <v>10.15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6"/>
      <c r="C105" s="38"/>
      <c r="D105" s="8"/>
      <c r="E105" s="5"/>
      <c r="F105" s="6"/>
      <c r="G105" s="6"/>
      <c r="H105" s="6"/>
      <c r="I105" s="6"/>
      <c r="J105" s="9"/>
      <c r="K105" s="5"/>
      <c r="L105" s="6"/>
      <c r="M105" s="10"/>
      <c r="N105" s="11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395</v>
      </c>
      <c r="BC105" s="715" t="s">
        <v>396</v>
      </c>
      <c r="BD105" s="716" t="s">
        <v>397</v>
      </c>
      <c r="BE105" s="716" t="s">
        <v>397</v>
      </c>
      <c r="BF105" s="716" t="s">
        <v>398</v>
      </c>
      <c r="BG105" s="716" t="s">
        <v>398</v>
      </c>
      <c r="BH105" s="716" t="s">
        <v>398</v>
      </c>
      <c r="BI105" s="718"/>
      <c r="BJ105" s="719"/>
      <c r="BK105" s="720"/>
      <c r="BL105" s="721"/>
    </row>
    <row r="106" spans="2:64" ht="13.5" hidden="1" x14ac:dyDescent="0.15">
      <c r="B106" s="1849" t="s">
        <v>477</v>
      </c>
      <c r="C106" s="1849"/>
      <c r="D106" s="1849"/>
      <c r="E106" s="1849"/>
      <c r="F106" s="1849"/>
      <c r="G106" s="1849"/>
      <c r="H106" s="1849"/>
      <c r="I106" s="1849"/>
      <c r="J106" s="1849"/>
      <c r="K106" s="1849" t="s">
        <v>477</v>
      </c>
      <c r="L106" s="1849"/>
      <c r="M106" s="1849"/>
      <c r="N106" s="1849"/>
      <c r="O106" s="1849"/>
      <c r="P106" s="1849"/>
      <c r="Q106" s="1849"/>
      <c r="R106" s="1849"/>
      <c r="S106" s="1849"/>
      <c r="T106" s="11"/>
      <c r="U106" s="11"/>
      <c r="V106" s="11"/>
      <c r="W106" s="11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X106" s="11"/>
      <c r="AY106" s="11"/>
      <c r="AZ106" s="11"/>
      <c r="BA106" s="85"/>
      <c r="BB106" s="714" t="s">
        <v>399</v>
      </c>
      <c r="BC106" s="715" t="s">
        <v>396</v>
      </c>
      <c r="BD106" s="716" t="s">
        <v>397</v>
      </c>
      <c r="BE106" s="716" t="s">
        <v>397</v>
      </c>
      <c r="BF106" s="716" t="s">
        <v>398</v>
      </c>
      <c r="BG106" s="716" t="s">
        <v>398</v>
      </c>
      <c r="BH106" s="716" t="s">
        <v>398</v>
      </c>
      <c r="BI106" s="718">
        <f>A139*1.45</f>
        <v>13.049999999999999</v>
      </c>
      <c r="BJ106" s="719">
        <v>126.89</v>
      </c>
      <c r="BK106" s="720">
        <v>126.89</v>
      </c>
      <c r="BL106" s="721">
        <v>176.23</v>
      </c>
    </row>
    <row r="107" spans="2:64" ht="13.5" hidden="1" x14ac:dyDescent="0.15">
      <c r="B107" s="19" t="s">
        <v>480</v>
      </c>
      <c r="C107" s="8"/>
      <c r="D107" s="8"/>
      <c r="E107" s="5"/>
      <c r="F107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07" s="6"/>
      <c r="H107" s="6"/>
      <c r="I107" s="6"/>
      <c r="J107" s="9"/>
      <c r="K107" s="5"/>
      <c r="L107" s="41" t="s">
        <v>450</v>
      </c>
      <c r="M107" s="10"/>
      <c r="N107" s="11"/>
      <c r="O107" s="255" t="str">
        <f>IF(E2=L107,IF(K2=O3,F107,IF(K2=O4,F109,IF(K2=O6,F107,IF(K2=O7,F108,IF(K2=O2,"NADA A CRITICAR","REANALISAR FUNDAMENTAÇÃO E/OU MODALIDADE"))))))</f>
        <v>NADA A CRITICAR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400</v>
      </c>
      <c r="BC107" s="715" t="s">
        <v>396</v>
      </c>
      <c r="BD107" s="716" t="s">
        <v>397</v>
      </c>
      <c r="BE107" s="716" t="s">
        <v>397</v>
      </c>
      <c r="BF107" s="716" t="s">
        <v>398</v>
      </c>
      <c r="BG107" s="716" t="s">
        <v>398</v>
      </c>
      <c r="BH107" s="716" t="s">
        <v>398</v>
      </c>
      <c r="BI107" s="718"/>
      <c r="BJ107" s="719"/>
      <c r="BK107" s="720"/>
      <c r="BL107" s="721"/>
    </row>
    <row r="108" spans="2:64" ht="13.5" hidden="1" x14ac:dyDescent="0.15">
      <c r="B108" s="6" t="s">
        <v>481</v>
      </c>
      <c r="D108" s="10"/>
      <c r="E108" s="11"/>
      <c r="F108" s="6" t="str">
        <f>IF(G10="X",IF(O9&gt;=I121,"ATENDE LIMITE MÍNIMO DE IDADE","NÃO ATENDE LIMITE MÍNIMO DE IDADE"),IF(O9&gt;=J121,"ATENDE LIMITE MÍNIMO DE IDADE","NÃO ATENDE LIMITE MÍNIMO DE IDADE"))</f>
        <v>NÃO ATENDE LIMITE MÍNIMO DE IDADE</v>
      </c>
      <c r="G108" s="6"/>
      <c r="H108" s="6"/>
      <c r="I108" s="6"/>
      <c r="J108" s="9"/>
      <c r="L108" s="41" t="s">
        <v>455</v>
      </c>
      <c r="O108" s="255" t="str">
        <f>IF(E2=L108,IF(K2=O3,F110,IF(K2=O4,F113,IF(K2=O6,F110,IF(K2=O2,"NADA A CRITICAR","REANALISAR FUNDAMENTAÇÃO E/OU MODALIDADE")))),"REANALISAR FUNDAMENTAÇÃO E/OU MODALIDADE")</f>
        <v>REANALISAR FUNDAMENTAÇÃO E/OU MODALIDADE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401</v>
      </c>
      <c r="BC108" s="715" t="s">
        <v>396</v>
      </c>
      <c r="BD108" s="716" t="s">
        <v>397</v>
      </c>
      <c r="BE108" s="716" t="s">
        <v>397</v>
      </c>
      <c r="BF108" s="716" t="s">
        <v>398</v>
      </c>
      <c r="BG108" s="716" t="s">
        <v>398</v>
      </c>
      <c r="BH108" s="716" t="s">
        <v>398</v>
      </c>
      <c r="BI108" s="718">
        <f>A141*1.45</f>
        <v>15.95</v>
      </c>
      <c r="BJ108" s="719">
        <v>142.12</v>
      </c>
      <c r="BK108" s="720">
        <v>142.12</v>
      </c>
      <c r="BL108" s="721">
        <v>197.38</v>
      </c>
    </row>
    <row r="109" spans="2:64" ht="13.5" hidden="1" x14ac:dyDescent="0.15">
      <c r="B109" s="20" t="s">
        <v>482</v>
      </c>
      <c r="F109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09" s="5"/>
      <c r="L109" s="41" t="s">
        <v>467</v>
      </c>
      <c r="O109" s="254" t="str">
        <f>IF(E2=L109,IF(K2=O3,F111,IF(K2=O2,F111,"REANALISAR FUNDAMENTAÇÃO E/OU MODALIDADE")),"REANALISAR FUNDAMENTAÇÃO E/OU MODALIDADE")</f>
        <v>REANALISAR FUNDAMENTAÇÃO E/OU MODALIDADE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22" t="s">
        <v>402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6" t="s">
        <v>478</v>
      </c>
      <c r="C110" s="8"/>
      <c r="D110" s="8"/>
      <c r="E110" s="5"/>
      <c r="F110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0" s="6"/>
      <c r="H110" s="6"/>
      <c r="I110" s="6"/>
      <c r="J110" s="9"/>
      <c r="K110" s="5"/>
      <c r="L110" s="11" t="s">
        <v>487</v>
      </c>
      <c r="M110" s="10"/>
      <c r="N110" s="11"/>
      <c r="O110" s="255" t="str">
        <f>IF(E2=L110,IF(K2=O4,F112,IF(K2=O2,"NADA A CRITICAR","REANALISAR FUNDAMENTAÇÃO E/OU MODALIDADE")),"REANALISAR FUNDAMENTAÇÃO E/OU MODALIDADE")</f>
        <v>REANALISAR FUNDAMENTAÇÃO E/OU MODALIDADE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403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18.849999999999998</v>
      </c>
      <c r="BJ110" s="719">
        <v>159.16999999999999</v>
      </c>
      <c r="BK110" s="720">
        <v>159.16999999999999</v>
      </c>
      <c r="BL110" s="721">
        <v>221.06</v>
      </c>
    </row>
    <row r="111" spans="2:64" ht="13.5" hidden="1" x14ac:dyDescent="0.15">
      <c r="B111" s="6" t="s">
        <v>479</v>
      </c>
      <c r="C111" s="8"/>
      <c r="D111" s="8"/>
      <c r="E111" s="5"/>
      <c r="F111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2" t="s">
        <v>484</v>
      </c>
      <c r="M111" s="10"/>
      <c r="N111" s="11"/>
      <c r="O111" s="255" t="str">
        <f>IF(E2=L111,IF(K2=O5,F109,"REANALISAR FUNDAMENTAÇÃO E/OU MODALIDADE"),"REANALISAR FUNDAMENTAÇÃO E/OU MODALIDADE")</f>
        <v>REANALISAR FUNDAMENTAÇÃO E/OU MODALIDADE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404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>
        <f>A144*1.45</f>
        <v>20.3</v>
      </c>
      <c r="BJ111" s="719">
        <v>101.15</v>
      </c>
      <c r="BK111" s="720">
        <v>101.15</v>
      </c>
      <c r="BL111" s="721">
        <v>140.4</v>
      </c>
    </row>
    <row r="112" spans="2:64" hidden="1" x14ac:dyDescent="0.15">
      <c r="B112" s="20" t="s">
        <v>483</v>
      </c>
      <c r="C112" s="43"/>
      <c r="D112" s="43"/>
      <c r="E112" s="44"/>
      <c r="F112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2" s="44"/>
      <c r="H112" s="44"/>
      <c r="I112" s="44"/>
      <c r="J112" s="44"/>
      <c r="K112" s="45"/>
      <c r="L112" s="46" t="s">
        <v>488</v>
      </c>
      <c r="M112" s="46"/>
      <c r="N112" s="47"/>
      <c r="O112" s="255" t="str">
        <f>IF($K$2=$O$2,IF($E$2=$B$89,$F$114,IF(E2=$B$90,$F$114,IF($E$2=$B$91,"EX OFFICIO",IF($E$2=$B$92,"EX OFFICIO","REANALISAR FUNDAMENTAÇÃO E/OU MODALIDADE")))),IF($K$2=$O$3,IF($E$2=$B$89,$F$114,IF($E$2=$B$90,$F$114,IF($E$2=$B$91,"EX OFFICIO",IF($E$2=$B$92,"EX OFFICIO","REANALISAR FUNDAMENTAÇÃO E/OU MODADALIDADE"))))))</f>
        <v>REANALISAR FUNDAMENTAÇÃO E/OU MODALIDADE</v>
      </c>
      <c r="P112" s="3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405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/>
      <c r="BJ112" s="719"/>
      <c r="BK112" s="720"/>
      <c r="BL112" s="721"/>
    </row>
    <row r="113" spans="1:64" ht="13.5" hidden="1" x14ac:dyDescent="0.15">
      <c r="B113" s="20" t="s">
        <v>486</v>
      </c>
      <c r="C113" s="43"/>
      <c r="D113" s="43"/>
      <c r="E113" s="44"/>
      <c r="F113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3" s="44"/>
      <c r="H113" s="44"/>
      <c r="I113" s="44"/>
      <c r="J113" s="44"/>
      <c r="K113" s="46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3" t="s">
        <v>406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1:64" ht="13.5" hidden="1" x14ac:dyDescent="0.15">
      <c r="B114" s="44" t="s">
        <v>503</v>
      </c>
      <c r="C114" s="43"/>
      <c r="D114" s="43"/>
      <c r="E114" s="44"/>
      <c r="F114" s="44" t="str">
        <f>IF($N$11&gt;=70,"ATENDE LIMITE MÍNIMO DE IDADE","NÃO ATENDE LIMITE MÍNIMO DE IDADE")</f>
        <v>NÃO ATENDE LIMITE MÍNIMO DE IDADE</v>
      </c>
      <c r="G114" s="44"/>
      <c r="H114" s="44"/>
      <c r="I114" s="44"/>
      <c r="J114" s="44"/>
      <c r="K114" s="46"/>
      <c r="L114" s="48"/>
      <c r="M114" s="48"/>
      <c r="N114" s="47"/>
      <c r="O114" s="255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23" t="s">
        <v>407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1:64" ht="13.5" hidden="1" x14ac:dyDescent="0.15">
      <c r="B115" s="44"/>
      <c r="C115" s="43"/>
      <c r="D115" s="43"/>
      <c r="E115" s="44"/>
      <c r="F115" s="44"/>
      <c r="G115" s="44"/>
      <c r="H115" s="44"/>
      <c r="I115" s="44"/>
      <c r="J115" s="44"/>
      <c r="K115" s="46"/>
      <c r="L115" s="49" t="s">
        <v>498</v>
      </c>
      <c r="M115" s="11"/>
      <c r="N115" s="11"/>
      <c r="O115" s="255"/>
      <c r="P115" s="79"/>
      <c r="Q115" s="79"/>
      <c r="R115" s="79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23" t="s">
        <v>408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/>
      <c r="BJ115" s="719"/>
      <c r="BK115" s="720"/>
      <c r="BL115" s="721"/>
    </row>
    <row r="116" spans="1:64" ht="13.5" hidden="1" x14ac:dyDescent="0.15">
      <c r="B116" s="50"/>
      <c r="C116" s="50"/>
      <c r="D116" s="50"/>
      <c r="E116" s="50"/>
      <c r="F116" s="50"/>
      <c r="G116" s="50"/>
      <c r="H116" s="50"/>
      <c r="I116" s="50"/>
      <c r="J116" s="50"/>
      <c r="K116" s="51"/>
      <c r="L116" s="11" t="s">
        <v>499</v>
      </c>
      <c r="M116" s="11"/>
      <c r="N116" s="11"/>
      <c r="O116" s="255"/>
      <c r="P116" s="79"/>
      <c r="Q116" s="86" t="b">
        <f>IF(K2=O4,IF(E2=B86,R116,IF(E2=B87,R116,IF(E2=B93,R116,IF(G10="X",(30*365)-F61,(35*365)-F61)))),IF(K2=O5,IF(E2=B94,R116,IF(G10="X",(30*365)-F61,(35*365)-F61))))</f>
        <v>0</v>
      </c>
      <c r="R116" s="86" t="b">
        <f>IF($K$2=$O$4,IF($F$61&gt;=($F$37+$E$44),0,($F$37+$E$44)-$F$61),IF($K$2=$O$5,IF($F$61&gt;=($F$37+$E$44),0,($F$37+$E$44)-$F$61)))</f>
        <v>0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23" t="s">
        <v>409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1:64" ht="13.5" hidden="1" x14ac:dyDescent="0.15">
      <c r="B117" s="52"/>
      <c r="C117" s="52"/>
      <c r="D117" s="52"/>
      <c r="E117" s="52"/>
      <c r="F117" s="52"/>
      <c r="G117" s="52"/>
      <c r="H117" s="52"/>
      <c r="I117" s="52"/>
      <c r="J117" s="52"/>
      <c r="K117" s="53"/>
      <c r="L117" s="42" t="s">
        <v>500</v>
      </c>
      <c r="M117" s="11"/>
      <c r="N117" s="11"/>
      <c r="O117" s="255"/>
      <c r="P117" s="79"/>
      <c r="Q117" s="86">
        <f>IF(E2="VOLUNTÁRIA ESPECIAL",IF(D12="X",IF(G10="X",(25*365)-F61,(30*365)-F61)),IF(G10="X",(30*365)-F61,(35*365)-F61))</f>
        <v>12775</v>
      </c>
      <c r="R117" s="79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410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1:64" ht="13.5" hidden="1" x14ac:dyDescent="0.15"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17" t="s">
        <v>463</v>
      </c>
      <c r="M118" s="11"/>
      <c r="N118" s="11"/>
      <c r="O118" s="255" t="s">
        <v>504</v>
      </c>
      <c r="P118" s="79"/>
      <c r="Q118" s="87"/>
      <c r="R118" s="86">
        <f>IF(E2="VOLUNTÁRIA ESPECIAL",IF(D12="X",IF(G10="X",(25*365)-$F$37,(30*365)-$F$37)),IF(G10="X",(30*365)-$F$37,(35*365)-$F$37))</f>
        <v>12775</v>
      </c>
      <c r="S118" s="11"/>
      <c r="T118" s="5"/>
      <c r="U118" s="5"/>
      <c r="V118" s="5"/>
      <c r="W118" s="5"/>
      <c r="X118" s="5"/>
      <c r="Y118" s="5"/>
      <c r="Z118" s="5"/>
      <c r="AA118" s="5"/>
      <c r="AB118" s="5"/>
      <c r="AC118" s="69"/>
      <c r="AD118" s="70"/>
      <c r="AE118" s="70"/>
      <c r="AF118" s="70"/>
      <c r="AG118" s="69"/>
      <c r="AX118" s="11"/>
      <c r="AY118" s="11"/>
      <c r="AZ118" s="5"/>
      <c r="BA118" s="724"/>
      <c r="BB118" s="723" t="s">
        <v>411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1:64" ht="13.5" hidden="1" customHeight="1" x14ac:dyDescent="0.15">
      <c r="B119" s="6"/>
      <c r="C119" s="1943" t="s">
        <v>459</v>
      </c>
      <c r="D119" s="1943"/>
      <c r="E119" s="1943"/>
      <c r="F119" s="1943" t="s">
        <v>460</v>
      </c>
      <c r="G119" s="1943"/>
      <c r="H119" s="1943"/>
      <c r="I119" s="1943" t="s">
        <v>461</v>
      </c>
      <c r="J119" s="1943"/>
      <c r="K119" s="51"/>
      <c r="L119" s="51"/>
      <c r="M119" s="54"/>
      <c r="N119" s="54"/>
      <c r="O119" s="255" t="s">
        <v>487</v>
      </c>
      <c r="P119" s="78"/>
      <c r="Q119" s="78"/>
      <c r="R119" s="86">
        <f>IF(E2=B93,IF(G10="X",(25*365)-$F$37,(30*365)-$F$37),IF(G10="X",(30*365)-$F$37,(35*365)-$F$37))</f>
        <v>12775</v>
      </c>
      <c r="AX119" s="11"/>
      <c r="AY119" s="11"/>
      <c r="BB119" s="723" t="s">
        <v>412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1:64" ht="12.75" hidden="1" customHeight="1" x14ac:dyDescent="0.15">
      <c r="B120" s="40" t="s">
        <v>454</v>
      </c>
      <c r="C120" s="40" t="s">
        <v>457</v>
      </c>
      <c r="D120" s="8"/>
      <c r="E120" s="5" t="s">
        <v>456</v>
      </c>
      <c r="F120" s="6" t="s">
        <v>457</v>
      </c>
      <c r="G120" s="6"/>
      <c r="H120" s="6" t="s">
        <v>456</v>
      </c>
      <c r="I120" s="8" t="s">
        <v>457</v>
      </c>
      <c r="J120" s="8" t="s">
        <v>456</v>
      </c>
      <c r="K120" s="51"/>
      <c r="L120" s="18" t="s">
        <v>466</v>
      </c>
      <c r="M120" s="54"/>
      <c r="N120" s="54"/>
      <c r="O120" s="255" t="s">
        <v>509</v>
      </c>
      <c r="P120" s="78"/>
      <c r="Q120" s="86">
        <f>IF(K2=O7,IF($E$2=B86,IF($G$10="X",(30*365)-$F$61,(35*365)-$F$61)),IF($G$10="X",(30*365)-$F$61,(35*365)-$F$61))</f>
        <v>12775</v>
      </c>
      <c r="R120" s="78"/>
      <c r="AX120" s="11"/>
      <c r="AY120" s="11"/>
      <c r="BB120" s="723" t="s">
        <v>413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1:64" ht="13.5" hidden="1" customHeight="1" x14ac:dyDescent="0.15">
      <c r="B121" s="16" t="s">
        <v>450</v>
      </c>
      <c r="C121" s="55">
        <f>30*365</f>
        <v>10950</v>
      </c>
      <c r="D121" s="55"/>
      <c r="E121" s="55">
        <f>35*365</f>
        <v>12775</v>
      </c>
      <c r="F121" s="55">
        <v>20089</v>
      </c>
      <c r="G121" s="55"/>
      <c r="H121" s="55">
        <v>21914</v>
      </c>
      <c r="I121" s="55">
        <f>F121-C124</f>
        <v>31039</v>
      </c>
      <c r="J121" s="55">
        <f>H121-E124</f>
        <v>34689</v>
      </c>
      <c r="K121" s="51"/>
      <c r="L121" s="51"/>
      <c r="M121" s="54"/>
      <c r="N121" s="54"/>
      <c r="P121" s="78"/>
      <c r="Q121" s="78"/>
      <c r="R121" s="78"/>
      <c r="AX121" s="11"/>
      <c r="AY121" s="11"/>
      <c r="BB121" s="723" t="s">
        <v>414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1:64" ht="12.75" hidden="1" customHeight="1" x14ac:dyDescent="0.15">
      <c r="B122" s="16" t="s">
        <v>455</v>
      </c>
      <c r="C122" s="47">
        <f>25*365</f>
        <v>9125</v>
      </c>
      <c r="D122" s="47"/>
      <c r="E122" s="47">
        <f>30*365</f>
        <v>10950</v>
      </c>
      <c r="F122" s="55">
        <v>18264</v>
      </c>
      <c r="G122" s="55"/>
      <c r="H122" s="55">
        <v>20089</v>
      </c>
      <c r="I122" s="47">
        <f>ROUNDDOWN(I121/365,0)</f>
        <v>85</v>
      </c>
      <c r="J122" s="47">
        <f>ROUNDDOWN(J121/365,0)</f>
        <v>95</v>
      </c>
      <c r="K122" s="51"/>
      <c r="L122" s="51"/>
      <c r="M122" s="54"/>
      <c r="N122" s="54"/>
      <c r="P122" s="78"/>
      <c r="Q122" s="78"/>
      <c r="R122" s="78"/>
      <c r="AX122" s="11"/>
      <c r="AY122" s="11"/>
      <c r="BB122" s="723" t="s">
        <v>415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1:64" ht="12.75" hidden="1" customHeight="1" x14ac:dyDescent="0.15">
      <c r="B123" s="48"/>
      <c r="C123" s="48"/>
      <c r="D123" s="48"/>
      <c r="E123" s="46"/>
      <c r="F123" s="48"/>
      <c r="G123" s="48"/>
      <c r="H123" s="48"/>
      <c r="I123" s="48"/>
      <c r="J123" s="46"/>
      <c r="K123" s="51"/>
      <c r="L123" s="51"/>
      <c r="M123" s="54"/>
      <c r="N123" s="54"/>
      <c r="AX123" s="5"/>
      <c r="AY123" s="5"/>
      <c r="BB123" s="723" t="s">
        <v>416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1:64" ht="12.75" hidden="1" customHeight="1" x14ac:dyDescent="0.15">
      <c r="B124" s="48" t="s">
        <v>458</v>
      </c>
      <c r="C124" s="56">
        <f>ROUNDDOWN((F61-C121),0)</f>
        <v>-10950</v>
      </c>
      <c r="D124" s="48"/>
      <c r="E124" s="56">
        <f>ROUNDDOWN((F61-E121),0)</f>
        <v>-12775</v>
      </c>
      <c r="F124" s="48"/>
      <c r="G124" s="48"/>
      <c r="H124" s="48"/>
      <c r="I124" s="48"/>
      <c r="J124" s="46"/>
      <c r="K124" s="51"/>
      <c r="L124" s="51"/>
      <c r="M124" s="54"/>
      <c r="N124" s="54"/>
      <c r="BB124" s="723" t="s">
        <v>417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1:64" ht="12.75" hidden="1" customHeight="1" x14ac:dyDescent="0.15"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4"/>
      <c r="N125" s="54"/>
      <c r="BB125" s="723" t="s">
        <v>418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1:64" ht="12.75" hidden="1" customHeight="1" thickBot="1" x14ac:dyDescent="0.2">
      <c r="B126" s="1848" t="s">
        <v>548</v>
      </c>
      <c r="C126" s="1848"/>
      <c r="D126" s="1848"/>
      <c r="E126" s="1848"/>
      <c r="F126" s="1848"/>
      <c r="G126" s="1848"/>
      <c r="H126" s="1848"/>
      <c r="I126" s="1848"/>
      <c r="J126" s="1848"/>
      <c r="K126" s="1848"/>
      <c r="L126" s="1848"/>
      <c r="M126" s="1848"/>
      <c r="N126" s="1848"/>
      <c r="BB126" s="312"/>
      <c r="BC126" s="313"/>
      <c r="BD126" s="314"/>
      <c r="BE126" s="314"/>
      <c r="BF126" s="315"/>
      <c r="BG126" s="315"/>
      <c r="BH126" s="316"/>
      <c r="BI126" s="317">
        <f>A146*1.45</f>
        <v>23.2</v>
      </c>
      <c r="BJ126" s="318">
        <v>113.29</v>
      </c>
      <c r="BK126" s="319">
        <v>113.29</v>
      </c>
      <c r="BL126" s="320">
        <v>157.35</v>
      </c>
    </row>
    <row r="127" spans="1:64" ht="12.75" hidden="1" customHeight="1" x14ac:dyDescent="0.15">
      <c r="B127" s="51" t="s">
        <v>656</v>
      </c>
      <c r="C127" s="21" t="s">
        <v>657</v>
      </c>
      <c r="D127" s="101">
        <v>36145</v>
      </c>
      <c r="E127" s="101">
        <v>37986</v>
      </c>
      <c r="F127" s="102">
        <v>37986</v>
      </c>
      <c r="G127" s="246" t="s">
        <v>608</v>
      </c>
      <c r="H127" s="51" t="s">
        <v>609</v>
      </c>
      <c r="I127" s="51" t="s">
        <v>610</v>
      </c>
      <c r="J127" s="21" t="s">
        <v>612</v>
      </c>
      <c r="M127" s="40" t="s">
        <v>658</v>
      </c>
      <c r="P127" s="109"/>
      <c r="Q127" s="110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BB127" s="321"/>
      <c r="BC127" s="322"/>
      <c r="BD127" s="322"/>
      <c r="BE127" s="322"/>
      <c r="BF127" s="323"/>
      <c r="BG127" s="323"/>
      <c r="BH127" s="323"/>
      <c r="BI127" s="324"/>
      <c r="BJ127" s="325"/>
      <c r="BK127" s="326"/>
      <c r="BL127" s="327"/>
    </row>
    <row r="128" spans="1:64" ht="12.75" hidden="1" customHeight="1" x14ac:dyDescent="0.15">
      <c r="A128" s="259">
        <v>1</v>
      </c>
      <c r="B128" s="107" t="s">
        <v>549</v>
      </c>
      <c r="C128" s="21" t="s">
        <v>613</v>
      </c>
      <c r="D128" s="104">
        <f>IF(ISERROR(HLOOKUP($N$34,$Q$39:$AA$40,2)),0,HLOOKUP($N$34,$Q$39:$AA$40,2))</f>
        <v>0</v>
      </c>
      <c r="E128" s="105">
        <f>IF(ISERROR(HLOOKUP($O$34,$Q$39:$AA$40,2)),0,HLOOKUP($O$34,$Q$39:$AA$40,2))</f>
        <v>0</v>
      </c>
      <c r="F128" s="106">
        <f>IF(ISERROR(HLOOKUP($O$60,$Q$39:$AA$40,2)),0,HLOOKUP($O$60,$Q$39:$AA$40,2))</f>
        <v>0</v>
      </c>
      <c r="G128" s="21" t="s">
        <v>611</v>
      </c>
      <c r="J128" s="21" t="s">
        <v>611</v>
      </c>
      <c r="M128" s="21" t="s">
        <v>659</v>
      </c>
      <c r="P128" s="328"/>
      <c r="Q128" s="328"/>
      <c r="R128" s="5"/>
      <c r="S128" s="8"/>
      <c r="T128" s="5"/>
      <c r="U128" s="5"/>
      <c r="V128" s="5"/>
      <c r="W128" s="27"/>
      <c r="X128" s="5"/>
      <c r="Y128" s="5"/>
      <c r="Z128" s="100"/>
      <c r="AA128" s="5"/>
      <c r="AB128" s="5"/>
      <c r="BB128" s="321"/>
      <c r="BC128" s="322"/>
      <c r="BD128" s="322"/>
      <c r="BE128" s="322"/>
      <c r="BF128" s="323"/>
      <c r="BG128" s="323"/>
      <c r="BH128" s="323"/>
      <c r="BI128" s="324"/>
      <c r="BJ128" s="325"/>
      <c r="BK128" s="326"/>
      <c r="BL128" s="327"/>
    </row>
    <row r="129" spans="1:64" ht="12.75" hidden="1" customHeight="1" x14ac:dyDescent="0.15">
      <c r="A129" s="259">
        <v>2</v>
      </c>
      <c r="B129" s="51" t="s">
        <v>550</v>
      </c>
      <c r="C129" s="21" t="s">
        <v>527</v>
      </c>
      <c r="D129" s="104">
        <f>IF(ISERROR(HLOOKUP($J$129,$Q$26:$AT$27,2)),0,HLOOKUP($J$129,$Q$26:$AT$27,2))</f>
        <v>0</v>
      </c>
      <c r="E129" s="105">
        <f>IF(ISERROR(HLOOKUP($K$129,$Q$26:$AT$27,2)),0,HLOOKUP($K$129,$Q$26:$AT$27,2))</f>
        <v>0</v>
      </c>
      <c r="F129" s="106">
        <f>IF(ISERROR(HLOOKUP($L$129,$Q$26:$AT$27,2)),0,HLOOKUP($L$129,$Q$26:$AT$27,2))</f>
        <v>0</v>
      </c>
      <c r="G129" s="67">
        <f>SUM($F$27:$F$32)</f>
        <v>0</v>
      </c>
      <c r="H129" s="67">
        <f>SUM($F$27:$F$32)+$J$51</f>
        <v>0</v>
      </c>
      <c r="I129" s="67">
        <f>SUM($F$27:$F$32)+$J$51+$J$60</f>
        <v>0</v>
      </c>
      <c r="J129" s="21">
        <f t="shared" ref="J129:J151" si="0">ROUNDDOWN(G129/365,0)</f>
        <v>0</v>
      </c>
      <c r="K129" s="21">
        <f t="shared" ref="K129:K151" si="1">ROUNDDOWN(H129/365,0)</f>
        <v>0</v>
      </c>
      <c r="L129" s="21">
        <f t="shared" ref="L129:L151" si="2">ROUNDDOWN(I129/365,0)</f>
        <v>0</v>
      </c>
      <c r="M129" s="21" t="s">
        <v>660</v>
      </c>
      <c r="P129" s="328"/>
      <c r="Q129" s="328"/>
      <c r="BB129" s="321"/>
      <c r="BC129" s="322"/>
      <c r="BD129" s="322"/>
      <c r="BE129" s="322"/>
      <c r="BF129" s="323"/>
      <c r="BG129" s="323"/>
      <c r="BH129" s="323"/>
      <c r="BI129" s="324"/>
      <c r="BJ129" s="325"/>
      <c r="BK129" s="326"/>
      <c r="BL129" s="327"/>
    </row>
    <row r="130" spans="1:64" ht="12.75" hidden="1" customHeight="1" x14ac:dyDescent="0.15">
      <c r="A130" s="259" t="s">
        <v>554</v>
      </c>
      <c r="B130" s="51" t="s">
        <v>615</v>
      </c>
      <c r="C130" s="21" t="s">
        <v>613</v>
      </c>
      <c r="D130" s="104">
        <f>IF(ISERROR(HLOOKUP($J$130,$Q$45:$AB$46,2)),0,HLOOKUP($J$130,$Q$45:$AB$46,2))</f>
        <v>0</v>
      </c>
      <c r="E130" s="105">
        <f>IF(ISERROR(HLOOKUP($K$130,$Q$45:$AB$46,2)),0,HLOOKUP($K$130,$Q$45:$AB$46,2))</f>
        <v>0</v>
      </c>
      <c r="F130" s="106">
        <f>IF(ISERROR(HLOOKUP($L$130,$Q$45:$AB$46,2)),0,HLOOKUP($L$130,$Q$45:$AB$46,2))</f>
        <v>0</v>
      </c>
      <c r="G130" s="67">
        <f>SUM($F$27:$F$32)</f>
        <v>0</v>
      </c>
      <c r="H130" s="67">
        <f>SUM($F$27:$F$32)+$J$51</f>
        <v>0</v>
      </c>
      <c r="I130" s="67">
        <f>SUM($F$27:$F$32)+$J$51+$J$60</f>
        <v>0</v>
      </c>
      <c r="J130" s="21">
        <f t="shared" si="0"/>
        <v>0</v>
      </c>
      <c r="K130" s="21">
        <f t="shared" si="1"/>
        <v>0</v>
      </c>
      <c r="L130" s="21">
        <f t="shared" si="2"/>
        <v>0</v>
      </c>
      <c r="M130" s="21" t="s">
        <v>660</v>
      </c>
      <c r="P130" s="328"/>
      <c r="Q130" s="328"/>
      <c r="BB130" s="321"/>
      <c r="BC130" s="322"/>
      <c r="BD130" s="322"/>
      <c r="BE130" s="322"/>
      <c r="BF130" s="323"/>
      <c r="BG130" s="323"/>
      <c r="BH130" s="323"/>
      <c r="BI130" s="324"/>
      <c r="BJ130" s="325"/>
      <c r="BK130" s="326"/>
      <c r="BL130" s="327"/>
    </row>
    <row r="131" spans="1:64" ht="12.75" hidden="1" customHeight="1" x14ac:dyDescent="0.15">
      <c r="A131" s="259">
        <v>3</v>
      </c>
      <c r="B131" s="51" t="s">
        <v>551</v>
      </c>
      <c r="C131" s="21" t="s">
        <v>613</v>
      </c>
      <c r="D131" s="104">
        <f>IF(ISERROR(HLOOKUP($J$131,$Q$48:$AB$49,2)),0,HLOOKUP($J$131,$Q$48:$AB$49,2))</f>
        <v>0</v>
      </c>
      <c r="E131" s="105">
        <f>IF(ISERROR(HLOOKUP($K$131,$Q$48:$AB$49,2)),0,HLOOKUP($K$131,$Q$48:$AB$49,2))</f>
        <v>0</v>
      </c>
      <c r="F131" s="106">
        <f>IF(ISERROR(HLOOKUP($L$131,$Q$48:$AB$49,2)),0,HLOOKUP($L$131,$Q$48:$AB$49,2))</f>
        <v>0</v>
      </c>
      <c r="G131" s="67">
        <f>SUM($F$30:$F$32)</f>
        <v>0</v>
      </c>
      <c r="H131" s="67">
        <f>SUM($F$30:$F$32)+$J$51</f>
        <v>0</v>
      </c>
      <c r="I131" s="67">
        <f>SUM($F$30:$F$32)+$J$51+$J$60</f>
        <v>0</v>
      </c>
      <c r="J131" s="21">
        <f t="shared" si="0"/>
        <v>0</v>
      </c>
      <c r="K131" s="21">
        <f t="shared" si="1"/>
        <v>0</v>
      </c>
      <c r="L131" s="21">
        <f t="shared" si="2"/>
        <v>0</v>
      </c>
      <c r="M131" s="21" t="s">
        <v>660</v>
      </c>
      <c r="P131" s="328"/>
      <c r="Q131" s="328"/>
      <c r="BB131" s="69"/>
      <c r="BC131" s="69"/>
      <c r="BD131" s="69"/>
      <c r="BE131" s="69"/>
      <c r="BF131" s="69"/>
      <c r="BG131" s="69"/>
      <c r="BH131" s="69"/>
      <c r="BI131" s="69"/>
      <c r="BJ131" s="69"/>
      <c r="BK131" s="326"/>
      <c r="BL131" s="327"/>
    </row>
    <row r="132" spans="1:64" ht="12.75" hidden="1" customHeight="1" x14ac:dyDescent="0.15">
      <c r="A132" s="259">
        <v>4</v>
      </c>
      <c r="B132" s="51" t="s">
        <v>552</v>
      </c>
      <c r="C132" s="21" t="s">
        <v>613</v>
      </c>
      <c r="D132" s="104">
        <f>IF(ISERROR(HLOOKUP($J$132,$Q$48:$Z$49,2)),0,HLOOKUP($J$132,$Q$48:$Z$49,2))</f>
        <v>0</v>
      </c>
      <c r="E132" s="105">
        <f>IF(ISERROR(HLOOKUP($K$132,$Q$48:$Z$49,2)),0,HLOOKUP($K$132,$Q$48:$Z$49,2))</f>
        <v>0</v>
      </c>
      <c r="F132" s="106">
        <f>IF(ISERROR(HLOOKUP($L$132,$Q$48:$Z$49,2)),0,HLOOKUP($L$132,$Q$48:$Z$49,2))</f>
        <v>0</v>
      </c>
      <c r="G132" s="67">
        <f>SUM($F$27:$F$32)</f>
        <v>0</v>
      </c>
      <c r="H132" s="67">
        <f>SUM($F$27:$F$32)+$J$51</f>
        <v>0</v>
      </c>
      <c r="I132" s="67">
        <f>SUM($F$27:$F$32)+$J$51+$J$60</f>
        <v>0</v>
      </c>
      <c r="J132" s="21">
        <f t="shared" si="0"/>
        <v>0</v>
      </c>
      <c r="K132" s="21">
        <f t="shared" si="1"/>
        <v>0</v>
      </c>
      <c r="L132" s="21">
        <f t="shared" si="2"/>
        <v>0</v>
      </c>
      <c r="M132" s="21" t="s">
        <v>660</v>
      </c>
      <c r="P132" s="328"/>
      <c r="Q132" s="328"/>
      <c r="BB132" s="69"/>
      <c r="BC132" s="69"/>
      <c r="BD132" s="69" t="s">
        <v>349</v>
      </c>
      <c r="BE132" s="70">
        <v>5</v>
      </c>
      <c r="BF132" s="70">
        <v>10</v>
      </c>
      <c r="BG132" s="70">
        <v>15</v>
      </c>
      <c r="BH132" s="70">
        <v>20</v>
      </c>
      <c r="BI132" s="70">
        <v>25</v>
      </c>
      <c r="BJ132" s="329" t="s">
        <v>365</v>
      </c>
      <c r="BK132" s="326"/>
      <c r="BL132" s="327"/>
    </row>
    <row r="133" spans="1:64" ht="12.75" hidden="1" customHeight="1" x14ac:dyDescent="0.15">
      <c r="A133" s="259">
        <v>5</v>
      </c>
      <c r="B133" s="51" t="s">
        <v>553</v>
      </c>
      <c r="C133" s="21" t="s">
        <v>613</v>
      </c>
      <c r="D133" s="104">
        <f>IF(ISERROR(HLOOKUP($J$133,$Q$48:$AB$49,2)),0,HLOOKUP($J$133,$Q$48:$AB$49,2))</f>
        <v>0</v>
      </c>
      <c r="E133" s="105">
        <f>IF(ISERROR(HLOOKUP($K$133,$Q$48:$AB$49,2)),0,HLOOKUP($K$133,$Q$48:$AB$49,2))</f>
        <v>0</v>
      </c>
      <c r="F133" s="106">
        <f>IF(ISERROR(HLOOKUP($L$133,$Q$48:$AB$49,2)),0,HLOOKUP($L$133,$Q$48:$AB$49,2))</f>
        <v>0</v>
      </c>
      <c r="G133" s="67">
        <f>SUM($F$30:$F$32)</f>
        <v>0</v>
      </c>
      <c r="H133" s="67">
        <f>SUM($F$30:$F$32)+$J$51</f>
        <v>0</v>
      </c>
      <c r="I133" s="67">
        <f>SUM($F$30:$F$32)+$J$51+$J$60</f>
        <v>0</v>
      </c>
      <c r="J133" s="21">
        <f t="shared" si="0"/>
        <v>0</v>
      </c>
      <c r="K133" s="21">
        <f t="shared" si="1"/>
        <v>0</v>
      </c>
      <c r="L133" s="21">
        <f t="shared" si="2"/>
        <v>0</v>
      </c>
      <c r="M133" s="21" t="s">
        <v>660</v>
      </c>
      <c r="P133" s="328"/>
      <c r="Q133" s="328"/>
      <c r="BB133" s="69"/>
      <c r="BC133" s="330" t="s">
        <v>419</v>
      </c>
      <c r="BD133" s="330" t="s">
        <v>420</v>
      </c>
      <c r="BE133" s="69" t="s">
        <v>421</v>
      </c>
      <c r="BF133" s="69" t="s">
        <v>422</v>
      </c>
      <c r="BG133" s="69" t="s">
        <v>423</v>
      </c>
      <c r="BH133" s="69" t="s">
        <v>424</v>
      </c>
      <c r="BI133" s="69" t="s">
        <v>425</v>
      </c>
      <c r="BJ133" s="69" t="s">
        <v>426</v>
      </c>
      <c r="BK133" s="326"/>
      <c r="BL133" s="327"/>
    </row>
    <row r="134" spans="1:64" ht="12.75" hidden="1" customHeight="1" x14ac:dyDescent="0.15">
      <c r="A134" s="259" t="s">
        <v>555</v>
      </c>
      <c r="B134" s="51" t="s">
        <v>616</v>
      </c>
      <c r="C134" s="21" t="s">
        <v>613</v>
      </c>
      <c r="D134" s="104">
        <f>IF(ISERROR(HLOOKUP($J$134,$Q$48:$V$49,2)),0,HLOOKUP($J$134,$Q$48:$V$49,2))</f>
        <v>0</v>
      </c>
      <c r="E134" s="105">
        <f>IF(ISERROR(HLOOKUP($K$134,$Q$48:$V$49,2)),0,HLOOKUP($K$134,$Q$48:$V$49,2))</f>
        <v>0</v>
      </c>
      <c r="F134" s="106">
        <f>IF(ISERROR(HLOOKUP($L$134,$Q$48:$V$49,2)),0,HLOOKUP($L$134,$Q$48:$V$49,2))</f>
        <v>0</v>
      </c>
      <c r="G134" s="67">
        <f>SUM($F$30:$F$32)</f>
        <v>0</v>
      </c>
      <c r="H134" s="67">
        <f>SUM($F$30:$F$32)+$J$51</f>
        <v>0</v>
      </c>
      <c r="I134" s="67">
        <f>SUM($F$30:$F$32)+$J$51+$J$60</f>
        <v>0</v>
      </c>
      <c r="J134" s="21">
        <f t="shared" si="0"/>
        <v>0</v>
      </c>
      <c r="K134" s="21">
        <f t="shared" si="1"/>
        <v>0</v>
      </c>
      <c r="L134" s="21">
        <f t="shared" si="2"/>
        <v>0</v>
      </c>
      <c r="M134" s="21" t="s">
        <v>660</v>
      </c>
      <c r="P134" s="328"/>
      <c r="Q134" s="328"/>
      <c r="BB134" s="69"/>
      <c r="BC134" s="330" t="s">
        <v>427</v>
      </c>
      <c r="BD134" s="330" t="s">
        <v>428</v>
      </c>
      <c r="BE134" s="69" t="s">
        <v>421</v>
      </c>
      <c r="BF134" s="69" t="s">
        <v>422</v>
      </c>
      <c r="BG134" s="69" t="s">
        <v>423</v>
      </c>
      <c r="BH134" s="69" t="s">
        <v>424</v>
      </c>
      <c r="BI134" s="69" t="s">
        <v>425</v>
      </c>
      <c r="BJ134" s="69" t="s">
        <v>426</v>
      </c>
      <c r="BK134" s="326"/>
      <c r="BL134" s="327"/>
    </row>
    <row r="135" spans="1:64" ht="12.75" hidden="1" customHeight="1" x14ac:dyDescent="0.15">
      <c r="A135" s="259">
        <v>6</v>
      </c>
      <c r="B135" s="51" t="s">
        <v>556</v>
      </c>
      <c r="C135" s="21" t="s">
        <v>613</v>
      </c>
      <c r="D135" s="104">
        <f>IF(ISERROR(HLOOKUP($J$135,$Q$48:$AA$49,2)),0,HLOOKUP($J$135,$Q$48:$AA$49,2))</f>
        <v>0</v>
      </c>
      <c r="E135" s="105">
        <f>IF(ISERROR(HLOOKUP(K135,$Q$48:$AA$49,2)),0,HLOOKUP(K135,$Q$48:$AA$49,2))</f>
        <v>0</v>
      </c>
      <c r="F135" s="106">
        <f>IF(ISERROR(HLOOKUP(L135,$Q$48:$AA$49,2)),0,HLOOKUP(L135,$Q$48:$AA$49,2))</f>
        <v>0</v>
      </c>
      <c r="G135" s="396">
        <f>SUM($F$27:$F$33)</f>
        <v>0</v>
      </c>
      <c r="H135" s="103">
        <f>SUM($F$27:$F$33)+$J$51</f>
        <v>0</v>
      </c>
      <c r="I135" s="103">
        <f>SUM($F$27:$F$33)+$J$51+$J$60</f>
        <v>0</v>
      </c>
      <c r="J135" s="21">
        <f t="shared" si="0"/>
        <v>0</v>
      </c>
      <c r="K135" s="21">
        <f t="shared" si="1"/>
        <v>0</v>
      </c>
      <c r="L135" s="21">
        <f t="shared" si="2"/>
        <v>0</v>
      </c>
      <c r="M135" s="21" t="s">
        <v>660</v>
      </c>
      <c r="P135" s="328"/>
      <c r="Q135" s="328"/>
      <c r="BB135" s="69"/>
      <c r="BC135" s="330" t="s">
        <v>429</v>
      </c>
      <c r="BD135" s="330" t="s">
        <v>430</v>
      </c>
      <c r="BE135" s="69" t="s">
        <v>421</v>
      </c>
      <c r="BF135" s="69" t="s">
        <v>422</v>
      </c>
      <c r="BG135" s="69" t="s">
        <v>423</v>
      </c>
      <c r="BH135" s="69" t="s">
        <v>424</v>
      </c>
      <c r="BI135" s="69" t="s">
        <v>425</v>
      </c>
      <c r="BJ135" s="69" t="s">
        <v>426</v>
      </c>
      <c r="BK135" s="7"/>
      <c r="BL135" s="7"/>
    </row>
    <row r="136" spans="1:64" ht="12.75" hidden="1" customHeight="1" x14ac:dyDescent="0.15">
      <c r="A136" s="259">
        <v>7</v>
      </c>
      <c r="B136" s="51" t="s">
        <v>557</v>
      </c>
      <c r="C136" s="21" t="s">
        <v>547</v>
      </c>
      <c r="D136" s="104">
        <f>IF(ISERROR(HLOOKUP($J$136,$Q$77:$W$78,2)),0,HLOOKUP($J$136,$Q$77:$W$78,2))</f>
        <v>0</v>
      </c>
      <c r="E136" s="105">
        <f>IF(ISERROR(HLOOKUP(K136,$Q$77:$W$78,2)),0,HLOOKUP(K136,$Q$77:$W$78,2))</f>
        <v>0</v>
      </c>
      <c r="F136" s="106">
        <f>IF(ISERROR(HLOOKUP(L136,$Q$77:$W$78,2)),0,HLOOKUP(L136,$Q$77:$W$78,2))</f>
        <v>0</v>
      </c>
      <c r="G136" s="396">
        <f>SUM($F$30:$F$32)</f>
        <v>0</v>
      </c>
      <c r="H136" s="103">
        <f>SUM($F$30:$F$32)+$J$51</f>
        <v>0</v>
      </c>
      <c r="I136" s="103">
        <f>SUM($F$30:$F$32)+$J$51+$J$60</f>
        <v>0</v>
      </c>
      <c r="J136" s="21">
        <f t="shared" si="0"/>
        <v>0</v>
      </c>
      <c r="K136" s="21">
        <f t="shared" si="1"/>
        <v>0</v>
      </c>
      <c r="L136" s="21">
        <f t="shared" si="2"/>
        <v>0</v>
      </c>
      <c r="M136" s="21" t="s">
        <v>660</v>
      </c>
      <c r="P136" s="328"/>
      <c r="Q136" s="328"/>
      <c r="BB136" s="69"/>
      <c r="BC136" s="330" t="s">
        <v>431</v>
      </c>
      <c r="BD136" s="330" t="s">
        <v>430</v>
      </c>
      <c r="BE136" s="69" t="s">
        <v>421</v>
      </c>
      <c r="BF136" s="69" t="s">
        <v>422</v>
      </c>
      <c r="BG136" s="69" t="s">
        <v>423</v>
      </c>
      <c r="BH136" s="69" t="s">
        <v>424</v>
      </c>
      <c r="BI136" s="69" t="s">
        <v>425</v>
      </c>
      <c r="BJ136" s="69" t="s">
        <v>426</v>
      </c>
      <c r="BK136" s="5"/>
      <c r="BL136" s="5"/>
    </row>
    <row r="137" spans="1:64" ht="12.75" hidden="1" customHeight="1" x14ac:dyDescent="0.15">
      <c r="A137" s="259" t="s">
        <v>558</v>
      </c>
      <c r="B137" s="51" t="s">
        <v>614</v>
      </c>
      <c r="C137" s="21" t="s">
        <v>547</v>
      </c>
      <c r="D137" s="104">
        <f>IF(ISERROR(HLOOKUP($J$137,$Q$77:$W$78,2)),0,HLOOKUP($J$137,$Q$77:$W$78,2))</f>
        <v>0</v>
      </c>
      <c r="E137" s="105">
        <f>IF(ISERROR(HLOOKUP(K137,$Q$77:$W$78,2)),0,HLOOKUP(K137,$Q$77:$W$78,2))</f>
        <v>0</v>
      </c>
      <c r="F137" s="106">
        <f>IF(ISERROR(HLOOKUP(L137,$Q$77:$W$78,2)),0,HLOOKUP(L137,$Q$77:$W$78,2))</f>
        <v>0</v>
      </c>
      <c r="G137" s="396">
        <f>SUM($F$30:$F$32)</f>
        <v>0</v>
      </c>
      <c r="H137" s="103">
        <f>SUM($F$30:$F$32)+$J$51</f>
        <v>0</v>
      </c>
      <c r="I137" s="103">
        <f>SUM($F$30:$F$32)+$J$51+$J$60</f>
        <v>0</v>
      </c>
      <c r="J137" s="21">
        <f t="shared" si="0"/>
        <v>0</v>
      </c>
      <c r="K137" s="21">
        <f t="shared" si="1"/>
        <v>0</v>
      </c>
      <c r="L137" s="21">
        <f t="shared" si="2"/>
        <v>0</v>
      </c>
      <c r="M137" s="21" t="s">
        <v>660</v>
      </c>
      <c r="P137" s="328"/>
      <c r="Q137" s="328"/>
      <c r="BB137" s="69"/>
      <c r="BC137" s="69" t="s">
        <v>400</v>
      </c>
      <c r="BD137" s="69"/>
      <c r="BE137" s="69" t="s">
        <v>329</v>
      </c>
      <c r="BF137" s="69" t="s">
        <v>356</v>
      </c>
      <c r="BG137" s="69" t="s">
        <v>432</v>
      </c>
      <c r="BH137" s="69" t="s">
        <v>432</v>
      </c>
      <c r="BI137" s="69" t="s">
        <v>432</v>
      </c>
      <c r="BJ137" s="69" t="s">
        <v>432</v>
      </c>
      <c r="BK137" s="5"/>
      <c r="BL137" s="5"/>
    </row>
    <row r="138" spans="1:64" ht="12.75" hidden="1" customHeight="1" x14ac:dyDescent="0.15">
      <c r="A138" s="259">
        <v>8</v>
      </c>
      <c r="B138" s="51" t="s">
        <v>559</v>
      </c>
      <c r="C138" s="21" t="s">
        <v>547</v>
      </c>
      <c r="D138" s="104">
        <f>IF(ISERROR(HLOOKUP($J$138,$Q$73:$W$74,2)),0,HLOOKUP($J$138,$Q$73:$W$74,2))</f>
        <v>0</v>
      </c>
      <c r="E138" s="105">
        <f>IF(ISERROR(HLOOKUP(K138,$Q$73:$W$74,2)),0,HLOOKUP(K138,$Q$73:$W$74,2))</f>
        <v>0</v>
      </c>
      <c r="F138" s="106">
        <f>IF(ISERROR(HLOOKUP(L138,$Q$73:$W$74,2)),0,HLOOKUP(L138,$Q$73:$W$74,2))</f>
        <v>0</v>
      </c>
      <c r="G138" s="396">
        <f>SUM($F$27:$F$32)</f>
        <v>0</v>
      </c>
      <c r="H138" s="103">
        <f>SUM($F$27:$F$32)+$J$51</f>
        <v>0</v>
      </c>
      <c r="I138" s="103">
        <f>SUM($F$27:$F$32)+$J$51+$J$60</f>
        <v>0</v>
      </c>
      <c r="J138" s="21">
        <f t="shared" si="0"/>
        <v>0</v>
      </c>
      <c r="K138" s="21">
        <f t="shared" si="1"/>
        <v>0</v>
      </c>
      <c r="L138" s="21">
        <f t="shared" si="2"/>
        <v>0</v>
      </c>
      <c r="M138" s="21" t="s">
        <v>660</v>
      </c>
      <c r="P138" s="328"/>
      <c r="Q138" s="328"/>
      <c r="BB138" s="69">
        <v>26</v>
      </c>
      <c r="BC138" s="69"/>
      <c r="BD138" s="69"/>
      <c r="BE138" s="69"/>
      <c r="BF138" s="69"/>
      <c r="BG138" s="69"/>
      <c r="BH138" s="69"/>
      <c r="BI138" s="69"/>
      <c r="BJ138" s="69"/>
      <c r="BK138" s="5"/>
      <c r="BL138" s="5"/>
    </row>
    <row r="139" spans="1:64" ht="12.75" hidden="1" customHeight="1" x14ac:dyDescent="0.15">
      <c r="A139" s="259">
        <v>9</v>
      </c>
      <c r="B139" s="51" t="s">
        <v>560</v>
      </c>
      <c r="C139" s="21" t="s">
        <v>547</v>
      </c>
      <c r="D139" s="104">
        <f>IF(ISERROR(HLOOKUP($J$139,$Q$77:$W$78,2)),0,HLOOKUP($J$139,$Q$77:$W$78,2))</f>
        <v>0</v>
      </c>
      <c r="E139" s="105">
        <f>IF(ISERROR(HLOOKUP(K139,$Q$77:$W$78,2)),0,HLOOKUP(K139,$Q$77:$W$78,2))</f>
        <v>0</v>
      </c>
      <c r="F139" s="106">
        <f>IF(ISERROR(HLOOKUP(L139,$Q$77:$W$78,2)),0,HLOOKUP(L139,$Q$77:$W$78,2))</f>
        <v>0</v>
      </c>
      <c r="G139" s="396">
        <f>SUM($F$27:$F$32)</f>
        <v>0</v>
      </c>
      <c r="H139" s="103">
        <f>SUM($F$27:$F$32)+$J$51</f>
        <v>0</v>
      </c>
      <c r="I139" s="103">
        <f>SUM($F$27:$F$32)+$J$51+$J$60</f>
        <v>0</v>
      </c>
      <c r="J139" s="21">
        <f t="shared" si="0"/>
        <v>0</v>
      </c>
      <c r="K139" s="21">
        <f t="shared" si="1"/>
        <v>0</v>
      </c>
      <c r="L139" s="21">
        <f t="shared" si="2"/>
        <v>0</v>
      </c>
      <c r="M139" s="21" t="s">
        <v>660</v>
      </c>
      <c r="P139" s="328"/>
      <c r="Q139" s="328"/>
      <c r="BB139" s="69"/>
      <c r="BC139" s="331"/>
      <c r="BD139" s="116"/>
      <c r="BE139" s="69"/>
      <c r="BF139" s="69"/>
      <c r="BG139" s="69"/>
      <c r="BH139" s="69"/>
      <c r="BI139" s="69"/>
      <c r="BJ139" s="69"/>
      <c r="BK139" s="5"/>
      <c r="BL139" s="5"/>
    </row>
    <row r="140" spans="1:64" ht="12.75" hidden="1" customHeight="1" x14ac:dyDescent="0.15">
      <c r="A140" s="259">
        <v>10</v>
      </c>
      <c r="B140" s="51" t="s">
        <v>561</v>
      </c>
      <c r="C140" s="21" t="s">
        <v>613</v>
      </c>
      <c r="D140" s="104">
        <f>IF(ISERROR(HLOOKUP($J$140,$Q$39:$Y$40,2)),0,HLOOKUP($J$140,$Q$39:$Y$40,2))</f>
        <v>0</v>
      </c>
      <c r="E140" s="105">
        <f>IF(ISERROR(HLOOKUP(K140,$Q$39:$Y$40,2)),0,HLOOKUP(K140,$Q$39:$Y$40,2))</f>
        <v>0</v>
      </c>
      <c r="F140" s="106">
        <f>IF(ISERROR(HLOOKUP(L140,$Q$39:$Y$40,2)),0,HLOOKUP(L140,$Q$39:$Y$40,2))</f>
        <v>0</v>
      </c>
      <c r="G140" s="396">
        <f>SUM($F$27:$F$32)</f>
        <v>0</v>
      </c>
      <c r="H140" s="103">
        <f>SUM($F$27:$F$32)+$J$51</f>
        <v>0</v>
      </c>
      <c r="I140" s="103">
        <f>SUM($F$27:$F$32)+$J$51+$J$60</f>
        <v>0</v>
      </c>
      <c r="J140" s="21">
        <f t="shared" si="0"/>
        <v>0</v>
      </c>
      <c r="K140" s="21">
        <f t="shared" si="1"/>
        <v>0</v>
      </c>
      <c r="L140" s="21">
        <f t="shared" si="2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5"/>
      <c r="BL140" s="5"/>
    </row>
    <row r="141" spans="1:64" ht="12.75" hidden="1" customHeight="1" x14ac:dyDescent="0.15">
      <c r="A141" s="259">
        <v>11</v>
      </c>
      <c r="B141" s="51" t="s">
        <v>562</v>
      </c>
      <c r="C141" s="21" t="s">
        <v>547</v>
      </c>
      <c r="D141" s="104">
        <f>IF(ISERROR(HLOOKUP($J$141,$Q$73:$AB$74,2)),0,HLOOKUP($J$141,$Q$73:$AB$74,2))</f>
        <v>0</v>
      </c>
      <c r="E141" s="105">
        <f>IF(ISERROR(HLOOKUP(K141,$Q$73:$AB$74,2)),0,HLOOKUP(K141,$Q$73:$AB$74,2))</f>
        <v>0</v>
      </c>
      <c r="F141" s="106">
        <f>IF(ISERROR(HLOOKUP(L141,$Q$73:$AB$74,2)),0,HLOOKUP(L141,$Q$73:$AB$74,2))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0"/>
        <v>0</v>
      </c>
      <c r="K141" s="21">
        <f t="shared" si="1"/>
        <v>0</v>
      </c>
      <c r="L141" s="21">
        <f t="shared" si="2"/>
        <v>0</v>
      </c>
      <c r="M141" s="21" t="s">
        <v>660</v>
      </c>
      <c r="P141" s="328"/>
      <c r="Q141" s="328"/>
      <c r="BB141" s="69"/>
      <c r="BC141" s="69"/>
      <c r="BD141" s="69"/>
      <c r="BE141" s="69"/>
      <c r="BF141" s="69"/>
      <c r="BG141" s="69"/>
      <c r="BH141" s="69"/>
      <c r="BI141" s="69"/>
      <c r="BJ141" s="69"/>
      <c r="BK141" s="5"/>
      <c r="BL141" s="5"/>
    </row>
    <row r="142" spans="1:64" ht="12.75" hidden="1" customHeight="1" x14ac:dyDescent="0.15">
      <c r="A142" s="259">
        <v>12</v>
      </c>
      <c r="B142" s="51" t="s">
        <v>563</v>
      </c>
      <c r="C142" s="21"/>
      <c r="D142" s="104"/>
      <c r="E142" s="105"/>
      <c r="F142" s="106"/>
      <c r="G142" s="396">
        <f>SUM($F$30:$F$32)</f>
        <v>0</v>
      </c>
      <c r="H142" s="103">
        <f>SUM($F$30:$F$32)+$J$51</f>
        <v>0</v>
      </c>
      <c r="I142" s="103">
        <f>SUM($F$30:$F$32)+$J$51+$J$60</f>
        <v>0</v>
      </c>
      <c r="J142" s="21">
        <f t="shared" si="0"/>
        <v>0</v>
      </c>
      <c r="K142" s="21">
        <f t="shared" si="1"/>
        <v>0</v>
      </c>
      <c r="L142" s="21">
        <f t="shared" si="2"/>
        <v>0</v>
      </c>
      <c r="M142" s="21" t="s">
        <v>660</v>
      </c>
      <c r="P142" s="328"/>
      <c r="Q142" s="328"/>
      <c r="BB142" s="69"/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13</v>
      </c>
      <c r="B143" s="51" t="s">
        <v>686</v>
      </c>
      <c r="C143" s="21" t="s">
        <v>527</v>
      </c>
      <c r="D143" s="104">
        <f>IF(ISERROR(HLOOKUP($J$143,$Q$26:$AT$27,2)),0,HLOOKUP($J$143,$Q$26:$AT$27,2))</f>
        <v>0</v>
      </c>
      <c r="E143" s="104">
        <f>IF(ISERROR(HLOOKUP(K143,$Q$26:$AT$27,2)),0,HLOOKUP(K143,$Q$26:$AT$27,2))</f>
        <v>0</v>
      </c>
      <c r="F143" s="104">
        <f>IF(ISERROR(HLOOKUP(L143,$Q$26:$AT$27,2)),0,HLOOKUP(L143,$Q$26:$AT$27,2))</f>
        <v>0</v>
      </c>
      <c r="G143" s="396">
        <f>SUM($F$30:$F$32)</f>
        <v>0</v>
      </c>
      <c r="H143" s="103">
        <f>SUM($F$30:$F$32)+$J$51</f>
        <v>0</v>
      </c>
      <c r="I143" s="103">
        <f>SUM($F$30:$F$32)+$J$51+$J$60</f>
        <v>0</v>
      </c>
      <c r="J143" s="21">
        <f t="shared" si="0"/>
        <v>0</v>
      </c>
      <c r="K143" s="21">
        <f t="shared" si="1"/>
        <v>0</v>
      </c>
      <c r="L143" s="21">
        <f t="shared" si="2"/>
        <v>0</v>
      </c>
      <c r="M143" s="21" t="s">
        <v>660</v>
      </c>
      <c r="P143" s="328"/>
      <c r="Q143" s="328"/>
      <c r="BB143" s="69"/>
      <c r="BC143" s="69"/>
      <c r="BD143" s="69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14</v>
      </c>
      <c r="B144" s="51" t="s">
        <v>564</v>
      </c>
      <c r="C144" s="21" t="s">
        <v>613</v>
      </c>
      <c r="D144" s="104">
        <f>IF(ISERROR(HLOOKUP(J144,$Q$48:$AB$49,2)),0,HLOOKUP(J144,$Q$48:$AB$49,2))</f>
        <v>0</v>
      </c>
      <c r="E144" s="104">
        <f>IF(ISERROR(HLOOKUP(K144,$Q$48:$AB$49,2)),0,HLOOKUP(K144,$Q$48:$AB$49,2))</f>
        <v>0</v>
      </c>
      <c r="F144" s="104">
        <f>IF(ISERROR(HLOOKUP(L144,$Q$48:$AB$49,2)),0,HLOOKUP(L144,$Q$48:$AB$49,2))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0"/>
        <v>0</v>
      </c>
      <c r="K144" s="21">
        <f t="shared" si="1"/>
        <v>0</v>
      </c>
      <c r="L144" s="21">
        <f t="shared" si="2"/>
        <v>0</v>
      </c>
      <c r="M144" s="21" t="s">
        <v>660</v>
      </c>
      <c r="P144" s="328"/>
      <c r="Q144" s="328"/>
      <c r="AS144" s="5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15</v>
      </c>
      <c r="B145" s="51" t="s">
        <v>565</v>
      </c>
      <c r="C145" s="21" t="s">
        <v>613</v>
      </c>
      <c r="D145" s="104">
        <f>IF(ISERROR(HLOOKUP(J145,$Q$42:$AG$43,2)),0,HLOOKUP(J145,$Q$42:$AG$43,2))</f>
        <v>0</v>
      </c>
      <c r="E145" s="104">
        <f>IF(ISERROR(HLOOKUP(K145,$Q$42:$AG$43,2)),0,HLOOKUP(K145,$Q$42:$AG$43,2))</f>
        <v>0</v>
      </c>
      <c r="F145" s="104">
        <f>IF(ISERROR(HLOOKUP(L145,$Q$42:$AG$43,2)),0,HLOOKUP(L145,$Q$42:$AG$43,2))</f>
        <v>0</v>
      </c>
      <c r="G145" s="396">
        <f>SUM($F$27:$F$32)</f>
        <v>0</v>
      </c>
      <c r="H145" s="103">
        <f>SUM($F$27:$F$32)+$J$51</f>
        <v>0</v>
      </c>
      <c r="I145" s="103">
        <f>SUM($F$27:$F$32)+$J$51+$J$60</f>
        <v>0</v>
      </c>
      <c r="J145" s="21">
        <f t="shared" si="0"/>
        <v>0</v>
      </c>
      <c r="K145" s="21">
        <f t="shared" si="1"/>
        <v>0</v>
      </c>
      <c r="L145" s="21">
        <f t="shared" si="2"/>
        <v>0</v>
      </c>
      <c r="M145" s="21" t="s">
        <v>660</v>
      </c>
      <c r="P145" s="328"/>
      <c r="Q145" s="328"/>
      <c r="AS145" s="5"/>
      <c r="BB145" s="69" t="s">
        <v>427</v>
      </c>
      <c r="BC145" s="69"/>
      <c r="BD145" s="69"/>
      <c r="BE145" s="69"/>
      <c r="BF145" s="69"/>
      <c r="BG145" s="69"/>
      <c r="BH145" s="69"/>
      <c r="BI145" s="69"/>
      <c r="BJ145" s="69"/>
      <c r="BK145" s="116"/>
      <c r="BL145" s="332"/>
    </row>
    <row r="146" spans="1:64" ht="12.75" hidden="1" customHeight="1" x14ac:dyDescent="0.15">
      <c r="A146" s="259">
        <v>16</v>
      </c>
      <c r="B146" s="51" t="s">
        <v>566</v>
      </c>
      <c r="C146" s="21" t="s">
        <v>527</v>
      </c>
      <c r="D146" s="104">
        <f>IF(ISERROR(HLOOKUP(J146,$Q$26:$AT$27,2)),0,HLOOKUP(J146,$Q$26:$AT$27,2))</f>
        <v>0</v>
      </c>
      <c r="E146" s="104">
        <f>IF(ISERROR(HLOOKUP(K146,$Q$26:$AT$27,2)),0,HLOOKUP(K146,$Q$26:$AT$27,2))</f>
        <v>0</v>
      </c>
      <c r="F146" s="104">
        <f>IF(ISERROR(HLOOKUP(L146,$Q$26:$AT$27,2)),0,HLOOKUP(L146,$Q$26:$AT$27,2))</f>
        <v>0</v>
      </c>
      <c r="G146" s="396">
        <f t="shared" ref="G146:G151" si="3">SUM($F$30:$F$32)</f>
        <v>0</v>
      </c>
      <c r="H146" s="103">
        <f t="shared" ref="H146:H151" si="4">SUM($F$30:$F$32)+$J$51</f>
        <v>0</v>
      </c>
      <c r="I146" s="103">
        <f t="shared" ref="I146:I151" si="5">SUM($F$30:$F$32)+$J$51+$J$60</f>
        <v>0</v>
      </c>
      <c r="J146" s="21">
        <f t="shared" si="0"/>
        <v>0</v>
      </c>
      <c r="K146" s="21">
        <f t="shared" si="1"/>
        <v>0</v>
      </c>
      <c r="L146" s="21">
        <f t="shared" si="2"/>
        <v>0</v>
      </c>
      <c r="M146" s="21" t="s">
        <v>660</v>
      </c>
      <c r="P146" s="328"/>
      <c r="Q146" s="328"/>
      <c r="AS146" s="5"/>
      <c r="BB146" s="69"/>
      <c r="BC146" s="69"/>
      <c r="BD146" s="69"/>
      <c r="BE146" s="333"/>
      <c r="BF146" s="69"/>
      <c r="BG146" s="69"/>
      <c r="BH146" s="69"/>
      <c r="BI146" s="69"/>
      <c r="BJ146" s="69"/>
      <c r="BK146" s="69"/>
      <c r="BL146" s="69"/>
    </row>
    <row r="147" spans="1:64" ht="12.75" hidden="1" customHeight="1" x14ac:dyDescent="0.15">
      <c r="A147" s="259">
        <v>17</v>
      </c>
      <c r="B147" s="51" t="s">
        <v>567</v>
      </c>
      <c r="C147" s="21" t="s">
        <v>547</v>
      </c>
      <c r="D147" s="104">
        <f>IF(ISERROR(HLOOKUP(J147,$Q$73:$V$74,2)),0,HLOOKUP(J147,$Q$73:$V$74,2))</f>
        <v>0</v>
      </c>
      <c r="E147" s="104">
        <f>IF(ISERROR(HLOOKUP(K147,$Q$73:$V$74,2)),0,HLOOKUP(K147,$Q$73:$V$74,2))</f>
        <v>0</v>
      </c>
      <c r="F147" s="104">
        <f>IF(ISERROR(HLOOKUP(L147,$Q$73:$V$74,2)),0,HLOOKUP(L147,$Q$73:$V$74,2))</f>
        <v>0</v>
      </c>
      <c r="G147" s="396">
        <f t="shared" si="3"/>
        <v>0</v>
      </c>
      <c r="H147" s="103">
        <f t="shared" si="4"/>
        <v>0</v>
      </c>
      <c r="I147" s="103">
        <f t="shared" si="5"/>
        <v>0</v>
      </c>
      <c r="J147" s="21">
        <f t="shared" si="0"/>
        <v>0</v>
      </c>
      <c r="K147" s="21">
        <f t="shared" si="1"/>
        <v>0</v>
      </c>
      <c r="L147" s="21">
        <f t="shared" si="2"/>
        <v>0</v>
      </c>
      <c r="M147" s="21" t="s">
        <v>660</v>
      </c>
      <c r="P147" s="328"/>
      <c r="Q147" s="328"/>
      <c r="AS147" s="5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</row>
    <row r="148" spans="1:64" ht="12.75" hidden="1" customHeight="1" x14ac:dyDescent="0.15">
      <c r="A148" s="259">
        <v>18</v>
      </c>
      <c r="B148" s="51" t="s">
        <v>568</v>
      </c>
      <c r="C148" s="21" t="s">
        <v>527</v>
      </c>
      <c r="D148" s="104">
        <f>IF(ISERROR(HLOOKUP(J148,$Q$32:$AF$33,2)),0,HLOOKUP(J148,$Q$32:$AF$33,2))</f>
        <v>0</v>
      </c>
      <c r="E148" s="104">
        <f>IF(ISERROR(HLOOKUP(K148,$Q$32:$AF$33,2)),0,HLOOKUP(K148,$Q$32:$AF$33,2))</f>
        <v>0</v>
      </c>
      <c r="F148" s="104">
        <f>IF(ISERROR(HLOOKUP(L148,$Q$32:$AF$33,2)),0,HLOOKUP(L148,$Q$32:$AF$33,2))</f>
        <v>0</v>
      </c>
      <c r="G148" s="396">
        <f t="shared" si="3"/>
        <v>0</v>
      </c>
      <c r="H148" s="103">
        <f t="shared" si="4"/>
        <v>0</v>
      </c>
      <c r="I148" s="103">
        <f t="shared" si="5"/>
        <v>0</v>
      </c>
      <c r="J148" s="21">
        <f t="shared" si="0"/>
        <v>0</v>
      </c>
      <c r="K148" s="21">
        <f t="shared" si="1"/>
        <v>0</v>
      </c>
      <c r="L148" s="21">
        <f t="shared" si="2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333"/>
      <c r="BF148" s="69"/>
      <c r="BG148" s="69"/>
      <c r="BH148" s="69"/>
      <c r="BI148" s="69"/>
      <c r="BJ148" s="69"/>
      <c r="BK148" s="69"/>
      <c r="BL148" s="69"/>
    </row>
    <row r="149" spans="1:64" ht="12.75" hidden="1" customHeight="1" x14ac:dyDescent="0.15">
      <c r="A149" s="259">
        <v>19</v>
      </c>
      <c r="B149" s="51" t="s">
        <v>569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 t="shared" si="3"/>
        <v>0</v>
      </c>
      <c r="H149" s="103">
        <f t="shared" si="4"/>
        <v>0</v>
      </c>
      <c r="I149" s="103">
        <f t="shared" si="5"/>
        <v>0</v>
      </c>
      <c r="J149" s="21">
        <f t="shared" si="0"/>
        <v>0</v>
      </c>
      <c r="K149" s="21">
        <f t="shared" si="1"/>
        <v>0</v>
      </c>
      <c r="L149" s="21">
        <f t="shared" si="2"/>
        <v>0</v>
      </c>
      <c r="M149" s="21" t="s">
        <v>660</v>
      </c>
      <c r="P149" s="328"/>
      <c r="Q149" s="328"/>
      <c r="AS149" s="5"/>
      <c r="BB149" s="11"/>
      <c r="BC149" s="5"/>
    </row>
    <row r="150" spans="1:64" ht="12.75" hidden="1" customHeight="1" x14ac:dyDescent="0.15">
      <c r="A150" s="259">
        <v>20</v>
      </c>
      <c r="B150" s="51" t="s">
        <v>570</v>
      </c>
      <c r="C150" s="21" t="s">
        <v>613</v>
      </c>
      <c r="D150" s="104">
        <f t="shared" ref="D150:F151" si="6">IF(ISERROR(HLOOKUP(J150,$Q$39:$Y$40,2)),0,HLOOKUP(J150,$Q$39:$Y$40,2))</f>
        <v>0</v>
      </c>
      <c r="E150" s="104">
        <f t="shared" si="6"/>
        <v>0</v>
      </c>
      <c r="F150" s="104">
        <f t="shared" si="6"/>
        <v>0</v>
      </c>
      <c r="G150" s="396">
        <f t="shared" si="3"/>
        <v>0</v>
      </c>
      <c r="H150" s="103">
        <f t="shared" si="4"/>
        <v>0</v>
      </c>
      <c r="I150" s="103">
        <f t="shared" si="5"/>
        <v>0</v>
      </c>
      <c r="J150" s="21">
        <f t="shared" si="0"/>
        <v>0</v>
      </c>
      <c r="K150" s="21">
        <f t="shared" si="1"/>
        <v>0</v>
      </c>
      <c r="L150" s="21">
        <f t="shared" si="2"/>
        <v>0</v>
      </c>
      <c r="M150" s="21" t="s">
        <v>660</v>
      </c>
      <c r="P150" s="328"/>
      <c r="Q150" s="328"/>
      <c r="AS150" s="5"/>
      <c r="BB150" s="11"/>
      <c r="BC150" s="5"/>
    </row>
    <row r="151" spans="1:64" ht="12.75" hidden="1" customHeight="1" x14ac:dyDescent="0.15">
      <c r="A151" s="259">
        <v>21</v>
      </c>
      <c r="B151" s="51" t="s">
        <v>571</v>
      </c>
      <c r="C151" s="21" t="s">
        <v>613</v>
      </c>
      <c r="D151" s="104">
        <f t="shared" si="6"/>
        <v>0</v>
      </c>
      <c r="E151" s="104">
        <f t="shared" si="6"/>
        <v>0</v>
      </c>
      <c r="F151" s="104">
        <f t="shared" si="6"/>
        <v>0</v>
      </c>
      <c r="G151" s="396">
        <f t="shared" si="3"/>
        <v>0</v>
      </c>
      <c r="H151" s="103">
        <f t="shared" si="4"/>
        <v>0</v>
      </c>
      <c r="I151" s="103">
        <f t="shared" si="5"/>
        <v>0</v>
      </c>
      <c r="J151" s="21">
        <f t="shared" si="0"/>
        <v>0</v>
      </c>
      <c r="K151" s="21">
        <f t="shared" si="1"/>
        <v>0</v>
      </c>
      <c r="L151" s="21">
        <f t="shared" si="2"/>
        <v>0</v>
      </c>
      <c r="M151" s="21" t="s">
        <v>660</v>
      </c>
      <c r="P151" s="328"/>
      <c r="Q151" s="328"/>
      <c r="AS151" s="5"/>
      <c r="BB151" s="11"/>
      <c r="BC151" s="5"/>
    </row>
    <row r="152" spans="1:64" ht="12.75" hidden="1" customHeight="1" x14ac:dyDescent="0.15">
      <c r="A152" s="259">
        <v>22</v>
      </c>
      <c r="B152" s="51" t="s">
        <v>572</v>
      </c>
      <c r="C152" s="21"/>
      <c r="D152" s="334"/>
      <c r="E152" s="335"/>
      <c r="F152" s="336"/>
      <c r="G152" s="397"/>
      <c r="H152" s="51"/>
      <c r="M152" s="21" t="s">
        <v>660</v>
      </c>
      <c r="P152" s="328"/>
      <c r="Q152" s="328"/>
      <c r="AS152" s="5"/>
      <c r="BB152" s="11"/>
      <c r="BC152" s="5"/>
    </row>
    <row r="153" spans="1:64" ht="12.75" hidden="1" customHeight="1" x14ac:dyDescent="0.15">
      <c r="A153" s="259">
        <v>23</v>
      </c>
      <c r="B153" s="51" t="s">
        <v>573</v>
      </c>
      <c r="C153" s="21"/>
      <c r="D153" s="334"/>
      <c r="E153" s="335"/>
      <c r="F153" s="336"/>
      <c r="G153" s="397"/>
      <c r="H153" s="51"/>
      <c r="M153" s="21" t="s">
        <v>660</v>
      </c>
      <c r="P153" s="328"/>
      <c r="Q153" s="328"/>
      <c r="AS153" s="5"/>
    </row>
    <row r="154" spans="1:64" ht="12.75" hidden="1" customHeight="1" x14ac:dyDescent="0.15">
      <c r="A154" s="259">
        <v>24</v>
      </c>
      <c r="B154" s="51" t="s">
        <v>574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ref="J154:J185" si="7">ROUNDDOWN(G154/365,0)</f>
        <v>0</v>
      </c>
      <c r="K154" s="21">
        <f t="shared" ref="K154:K185" si="8">ROUNDDOWN(H154/365,0)</f>
        <v>0</v>
      </c>
      <c r="L154" s="21">
        <f t="shared" ref="L154:L185" si="9">ROUNDDOWN(I154/365,0)</f>
        <v>0</v>
      </c>
      <c r="M154" s="21" t="s">
        <v>660</v>
      </c>
      <c r="P154" s="328"/>
      <c r="Q154" s="328"/>
      <c r="AS154" s="5"/>
    </row>
    <row r="155" spans="1:64" ht="12.75" hidden="1" customHeight="1" x14ac:dyDescent="0.15">
      <c r="A155" s="259">
        <v>25</v>
      </c>
      <c r="B155" s="51" t="s">
        <v>580</v>
      </c>
      <c r="C155" s="21" t="s">
        <v>527</v>
      </c>
      <c r="D155" s="104">
        <f>IF(ISERROR(HLOOKUP(J155,$Q$29:$AT$30,2)),0,HLOOKUP(J155,$Q$29:$AT$30,2))</f>
        <v>0</v>
      </c>
      <c r="E155" s="104">
        <f>IF(ISERROR(HLOOKUP(K155,$Q$29:$AT$30,2)),0,HLOOKUP(K155,$Q$29:$AT$30,2))</f>
        <v>0</v>
      </c>
      <c r="F155" s="104">
        <f>IF(ISERROR(HLOOKUP(L155,$Q$29:$AT$30,2)),0,HLOOKUP(L155,$Q$29:$AT$30,2))</f>
        <v>0</v>
      </c>
      <c r="G155" s="396">
        <f>SUM($F$30:$F$32)</f>
        <v>0</v>
      </c>
      <c r="H155" s="103">
        <f>SUM($F$30:$F$32)+$J$51</f>
        <v>0</v>
      </c>
      <c r="I155" s="103">
        <f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</row>
    <row r="156" spans="1:64" ht="12.75" hidden="1" customHeight="1" x14ac:dyDescent="0.15">
      <c r="A156" s="259">
        <v>26</v>
      </c>
      <c r="B156" s="51" t="s">
        <v>581</v>
      </c>
      <c r="C156" s="21" t="s">
        <v>547</v>
      </c>
      <c r="D156" s="104">
        <f>IF(ISERROR(HLOOKUP(J156,$Q$73:$W$74,2)),0,HLOOKUP(J156,$Q$73:$W$74,2))</f>
        <v>0</v>
      </c>
      <c r="E156" s="104">
        <f>IF(ISERROR(HLOOKUP(K156,$Q$73:$W$74,2)),0,HLOOKUP(K156,$Q$73:$W$74,2))</f>
        <v>0</v>
      </c>
      <c r="F156" s="104">
        <f>IF(ISERROR(HLOOKUP(L156,$Q$73:$W$74,2)),0,HLOOKUP(L156,$Q$73:$W$74,2))</f>
        <v>0</v>
      </c>
      <c r="G156" s="396">
        <f>SUM($F$27:$F$32)</f>
        <v>0</v>
      </c>
      <c r="H156" s="103">
        <f>SUM($F$27:$F$32)+$J$51</f>
        <v>0</v>
      </c>
      <c r="I156" s="103">
        <f>SUM($F$27:$F$32)+$J$51+$J$60</f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</row>
    <row r="157" spans="1:64" ht="12.75" hidden="1" customHeight="1" x14ac:dyDescent="0.15">
      <c r="A157" s="259" t="s">
        <v>582</v>
      </c>
      <c r="B157" s="51" t="s">
        <v>684</v>
      </c>
      <c r="C157" s="21" t="s">
        <v>547</v>
      </c>
      <c r="D157" s="104">
        <f>IF(ISERROR(HLOOKUP(J157,$Q$73:$V$74,2)),0,HLOOKUP(J157,$Q$73:$V$74,2))</f>
        <v>0</v>
      </c>
      <c r="E157" s="104">
        <f>IF(ISERROR(HLOOKUP(K157,$Q$73:$V$74,2)),0,HLOOKUP(K157,$Q$73:$V$74,2))</f>
        <v>0</v>
      </c>
      <c r="F157" s="104">
        <f>IF(ISERROR(HLOOKUP(L157,$Q$73:$V$74,2)),0,HLOOKUP(L157,$Q$73:$V$74,2))</f>
        <v>0</v>
      </c>
      <c r="G157" s="396">
        <f>SUM($F$27:$F$32)</f>
        <v>0</v>
      </c>
      <c r="H157" s="103">
        <f>SUM($F$27:$F$32)+$J$51</f>
        <v>0</v>
      </c>
      <c r="I157" s="103">
        <f>SUM($F$27:$F$32)+$J$51+$J$60</f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27</v>
      </c>
      <c r="B158" s="51" t="s">
        <v>583</v>
      </c>
      <c r="C158" s="21" t="s">
        <v>613</v>
      </c>
      <c r="D158" s="104">
        <f>IF(ISERROR(HLOOKUP(J158,$Q$48:$Z$49,2)),0,HLOOKUP(J158,$Q$48:$Z$49,2))</f>
        <v>0</v>
      </c>
      <c r="E158" s="104">
        <f>IF(ISERROR(HLOOKUP(K158,$Q$48:$Z$49,2)),0,HLOOKUP(K158,$Q$48:$Z$49,2))</f>
        <v>0</v>
      </c>
      <c r="F158" s="104">
        <f>IF(ISERROR(HLOOKUP(L158,$Q$48:$Z$49,2)),0,HLOOKUP(L158,$Q$48:$Z$49,2))</f>
        <v>0</v>
      </c>
      <c r="G158" s="396">
        <f t="shared" ref="G158:G165" si="10">SUM($F$30:$F$32)</f>
        <v>0</v>
      </c>
      <c r="H158" s="103">
        <f t="shared" ref="H158:H165" si="11">SUM($F$30:$F$32)+$J$51</f>
        <v>0</v>
      </c>
      <c r="I158" s="103">
        <f t="shared" ref="I158:I165" si="12">SUM($F$30:$F$32)+$J$51+$J$60</f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28</v>
      </c>
      <c r="B159" s="51" t="s">
        <v>584</v>
      </c>
      <c r="C159" s="21" t="s">
        <v>547</v>
      </c>
      <c r="D159" s="104">
        <f>IF(ISERROR(HLOOKUP(J159,$Q$73:$W$74,2)),0,HLOOKUP(J159,$Q$73:$W$74,2))</f>
        <v>0</v>
      </c>
      <c r="E159" s="104">
        <f>IF(ISERROR(HLOOKUP(K159,$Q$73:$W$74,2)),0,HLOOKUP(K159,$Q$73:$W$74,2))</f>
        <v>0</v>
      </c>
      <c r="F159" s="104">
        <f>IF(ISERROR(HLOOKUP(L159,$Q$73:$W$74,2)),0,HLOOKUP(L159,$Q$73:$W$74,2))</f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29</v>
      </c>
      <c r="B160" s="51" t="s">
        <v>585</v>
      </c>
      <c r="C160" s="21" t="s">
        <v>613</v>
      </c>
      <c r="D160" s="104">
        <f>IF(ISERROR(HLOOKUP(J160,$Q$48:$V$49,2)),0,HLOOKUP(J160,$Q$48:$V$49,2))</f>
        <v>0</v>
      </c>
      <c r="E160" s="104">
        <f>IF(ISERROR(HLOOKUP(K160,$Q$48:$V$49,2)),0,HLOOKUP(K160,$Q$48:$V$49,2))</f>
        <v>0</v>
      </c>
      <c r="F160" s="104">
        <f>IF(ISERROR(HLOOKUP(L160,$Q$48:$V$49,2)),0,HLOOKUP(L160,$Q$48:$V$49,2))</f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</row>
    <row r="161" spans="1:45" ht="13.5" hidden="1" customHeight="1" x14ac:dyDescent="0.15">
      <c r="A161" s="259">
        <v>30</v>
      </c>
      <c r="B161" s="51" t="s">
        <v>586</v>
      </c>
      <c r="C161" s="21" t="s">
        <v>613</v>
      </c>
      <c r="D161" s="104">
        <f>IF(ISERROR(HLOOKUP(J161,$Q$48:$AA$49,2)),0,HLOOKUP(J161,$Q$48:$AA$49,2))</f>
        <v>0</v>
      </c>
      <c r="E161" s="104">
        <f>IF(ISERROR(HLOOKUP(K161,$Q$48:$AA$49,2)),0,HLOOKUP(K161,$Q$48:$AA$49,2))</f>
        <v>0</v>
      </c>
      <c r="F161" s="104">
        <f>IF(ISERROR(HLOOKUP(L161,$Q$48:$AA$49,2)),0,HLOOKUP(L161,$Q$48:$AA$49,2))</f>
        <v>0</v>
      </c>
      <c r="G161" s="396">
        <f t="shared" si="10"/>
        <v>0</v>
      </c>
      <c r="H161" s="103">
        <f t="shared" si="11"/>
        <v>0</v>
      </c>
      <c r="I161" s="103">
        <f t="shared" si="12"/>
        <v>0</v>
      </c>
      <c r="J161" s="21">
        <f t="shared" si="7"/>
        <v>0</v>
      </c>
      <c r="K161" s="21">
        <f t="shared" si="8"/>
        <v>0</v>
      </c>
      <c r="L161" s="21">
        <f t="shared" si="9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 t="s">
        <v>587</v>
      </c>
      <c r="B162" s="51" t="s">
        <v>685</v>
      </c>
      <c r="C162" s="21" t="s">
        <v>547</v>
      </c>
      <c r="D162" s="104">
        <f>IF(ISERROR(HLOOKUP(J162,$Q$73:$X$74,2)),0,HLOOKUP(J162,$Q$73:$X$74,2))</f>
        <v>0</v>
      </c>
      <c r="E162" s="104">
        <f>IF(ISERROR(HLOOKUP(K162,$Q$73:$X$74,2)),0,HLOOKUP(K162,$Q$73:$X$74,2))</f>
        <v>0</v>
      </c>
      <c r="F162" s="104">
        <f>IF(ISERROR(HLOOKUP(L162,$Q$73:$X$74,2)),0,HLOOKUP(L162,$Q$73:$X$74,2))</f>
        <v>0</v>
      </c>
      <c r="G162" s="396">
        <f t="shared" si="10"/>
        <v>0</v>
      </c>
      <c r="H162" s="103">
        <f t="shared" si="11"/>
        <v>0</v>
      </c>
      <c r="I162" s="103">
        <f t="shared" si="12"/>
        <v>0</v>
      </c>
      <c r="J162" s="21">
        <f t="shared" si="7"/>
        <v>0</v>
      </c>
      <c r="K162" s="21">
        <f t="shared" si="8"/>
        <v>0</v>
      </c>
      <c r="L162" s="21">
        <f t="shared" si="9"/>
        <v>0</v>
      </c>
      <c r="M162" s="21" t="s">
        <v>660</v>
      </c>
      <c r="P162" s="328"/>
      <c r="Q162" s="328"/>
      <c r="AS162" s="116"/>
    </row>
    <row r="163" spans="1:45" ht="12.75" hidden="1" customHeight="1" x14ac:dyDescent="0.15">
      <c r="A163" s="259">
        <v>31</v>
      </c>
      <c r="B163" s="51" t="s">
        <v>588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 t="shared" si="10"/>
        <v>0</v>
      </c>
      <c r="H163" s="103">
        <f t="shared" si="11"/>
        <v>0</v>
      </c>
      <c r="I163" s="103">
        <f t="shared" si="12"/>
        <v>0</v>
      </c>
      <c r="J163" s="21">
        <f t="shared" si="7"/>
        <v>0</v>
      </c>
      <c r="K163" s="21">
        <f t="shared" si="8"/>
        <v>0</v>
      </c>
      <c r="L163" s="21">
        <f t="shared" si="9"/>
        <v>0</v>
      </c>
      <c r="M163" s="21" t="s">
        <v>660</v>
      </c>
      <c r="P163" s="328"/>
      <c r="Q163" s="328"/>
      <c r="AS163" s="69"/>
    </row>
    <row r="164" spans="1:45" ht="12.75" hidden="1" customHeight="1" x14ac:dyDescent="0.15">
      <c r="A164" s="259">
        <v>32</v>
      </c>
      <c r="B164" s="338" t="s">
        <v>617</v>
      </c>
      <c r="C164" s="21" t="s">
        <v>613</v>
      </c>
      <c r="D164" s="104">
        <f>IF(ISERROR(HLOOKUP(J164,$Q$42:$AA$43,2)),0,HLOOKUP(J164,$Q$42:$AA$43,2))</f>
        <v>0</v>
      </c>
      <c r="E164" s="104">
        <f>IF(ISERROR(HLOOKUP(K164,$Q$42:$AA$43,2)),0,HLOOKUP(K164,$Q$42:$AA$43,2))</f>
        <v>0</v>
      </c>
      <c r="F164" s="104">
        <f>IF(ISERROR(HLOOKUP(L164,$Q$42:$AA$43,2)),0,HLOOKUP(L164,$Q$42:$AA$43,2))</f>
        <v>0</v>
      </c>
      <c r="G164" s="396">
        <f t="shared" si="10"/>
        <v>0</v>
      </c>
      <c r="H164" s="103">
        <f t="shared" si="11"/>
        <v>0</v>
      </c>
      <c r="I164" s="103">
        <f t="shared" si="12"/>
        <v>0</v>
      </c>
      <c r="J164" s="21">
        <f t="shared" si="7"/>
        <v>0</v>
      </c>
      <c r="K164" s="21">
        <f t="shared" si="8"/>
        <v>0</v>
      </c>
      <c r="L164" s="21">
        <f t="shared" si="9"/>
        <v>0</v>
      </c>
      <c r="M164" s="78" t="s">
        <v>661</v>
      </c>
      <c r="P164" s="44"/>
      <c r="Q164" s="44"/>
      <c r="AS164" s="69"/>
    </row>
    <row r="165" spans="1:45" ht="12.75" hidden="1" customHeight="1" x14ac:dyDescent="0.15">
      <c r="A165" s="259">
        <v>33</v>
      </c>
      <c r="B165" s="338" t="s">
        <v>618</v>
      </c>
      <c r="C165" s="21" t="s">
        <v>613</v>
      </c>
      <c r="D165" s="104">
        <f>IF(ISERROR(HLOOKUP(J165,$Q$39:$AA$40,2)),0,HLOOKUP(J165,$Q$39:$AA$40,2))</f>
        <v>0</v>
      </c>
      <c r="E165" s="104">
        <f>IF(ISERROR(HLOOKUP(K165,$Q$39:$AA$40,2)),0,HLOOKUP(K165,$Q$39:$AA$40,2))</f>
        <v>0</v>
      </c>
      <c r="F165" s="104">
        <f>IF(ISERROR(HLOOKUP(L165,$Q$39:$AA$40,2)),0,HLOOKUP(L165,$Q$39:$AA$40,2))</f>
        <v>0</v>
      </c>
      <c r="G165" s="396">
        <f t="shared" si="10"/>
        <v>0</v>
      </c>
      <c r="H165" s="103">
        <f t="shared" si="11"/>
        <v>0</v>
      </c>
      <c r="I165" s="103">
        <f t="shared" si="12"/>
        <v>0</v>
      </c>
      <c r="J165" s="21">
        <f t="shared" si="7"/>
        <v>0</v>
      </c>
      <c r="K165" s="21">
        <f t="shared" si="8"/>
        <v>0</v>
      </c>
      <c r="L165" s="21">
        <f t="shared" si="9"/>
        <v>0</v>
      </c>
      <c r="M165" s="78" t="s">
        <v>661</v>
      </c>
      <c r="P165" s="44"/>
      <c r="Q165" s="44"/>
      <c r="AS165" s="69"/>
    </row>
    <row r="166" spans="1:45" ht="12.75" hidden="1" customHeight="1" x14ac:dyDescent="0.15">
      <c r="A166" s="259">
        <v>34</v>
      </c>
      <c r="B166" s="338" t="s">
        <v>619</v>
      </c>
      <c r="C166" s="21" t="s">
        <v>527</v>
      </c>
      <c r="D166" s="104">
        <f>IF(ISERROR(HLOOKUP(J166,$Q$26:$AY$27,2)),0,HLOOKUP(J166,$Q$26:$AY$27,2))</f>
        <v>0</v>
      </c>
      <c r="E166" s="104">
        <f>IF(ISERROR(HLOOKUP(K166,$Q$26:$AY$27,2)),0,HLOOKUP(K166,$Q$26:$AY$27,2))</f>
        <v>0</v>
      </c>
      <c r="F166" s="104">
        <f>IF(ISERROR(HLOOKUP(L166,$Q$26:$AY$27,2)),0,HLOOKUP(L166,$Q$26:$AY$27,2))</f>
        <v>0</v>
      </c>
      <c r="G166" s="396">
        <f>SUM($F$27:$F$33)</f>
        <v>0</v>
      </c>
      <c r="H166" s="103">
        <f>SUM($F$27:$F$33)+$J$51</f>
        <v>0</v>
      </c>
      <c r="I166" s="103">
        <f>SUM($F$27:$F$33)+$J$51+$J$60</f>
        <v>0</v>
      </c>
      <c r="J166" s="21">
        <f t="shared" si="7"/>
        <v>0</v>
      </c>
      <c r="K166" s="21">
        <f t="shared" si="8"/>
        <v>0</v>
      </c>
      <c r="L166" s="21">
        <f t="shared" si="9"/>
        <v>0</v>
      </c>
      <c r="M166" s="78" t="s">
        <v>661</v>
      </c>
      <c r="P166" s="44"/>
      <c r="Q166" s="44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</row>
    <row r="167" spans="1:45" ht="12.75" hidden="1" customHeight="1" x14ac:dyDescent="0.15">
      <c r="A167" s="259">
        <v>35</v>
      </c>
      <c r="B167" s="338" t="s">
        <v>620</v>
      </c>
      <c r="C167" s="21" t="s">
        <v>613</v>
      </c>
      <c r="D167" s="104">
        <f>IF(ISERROR(HLOOKUP(J167,$Q$39:$AB$40,2)),0,HLOOKUP(J167,$Q$39:$AB$40,2))</f>
        <v>0</v>
      </c>
      <c r="E167" s="104">
        <f>IF(ISERROR(HLOOKUP(K167,$Q$39:$AB$40,2)),0,HLOOKUP(K167,$Q$39:$AB$40,2))</f>
        <v>0</v>
      </c>
      <c r="F167" s="104">
        <f>IF(ISERROR(HLOOKUP(L167,$Q$39:$AB$40,2)),0,HLOOKUP(L167,$Q$39:$AB$40,2))</f>
        <v>0</v>
      </c>
      <c r="G167" s="396">
        <f>SUM($F$27:$F$32)</f>
        <v>0</v>
      </c>
      <c r="H167" s="103">
        <f>SUM($F$27:$F$32)+$J$51</f>
        <v>0</v>
      </c>
      <c r="I167" s="103">
        <f>SUM($F$27:$F$32)+$J$51+$J$60</f>
        <v>0</v>
      </c>
      <c r="J167" s="21">
        <f t="shared" si="7"/>
        <v>0</v>
      </c>
      <c r="K167" s="21">
        <f t="shared" si="8"/>
        <v>0</v>
      </c>
      <c r="L167" s="21">
        <f t="shared" si="9"/>
        <v>0</v>
      </c>
      <c r="M167" s="78" t="s">
        <v>661</v>
      </c>
      <c r="P167" s="44"/>
      <c r="Q167" s="44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</row>
    <row r="168" spans="1:45" ht="12.75" hidden="1" customHeight="1" x14ac:dyDescent="0.15">
      <c r="A168" s="259">
        <v>36</v>
      </c>
      <c r="B168" s="339" t="s">
        <v>621</v>
      </c>
      <c r="C168" s="21" t="s">
        <v>613</v>
      </c>
      <c r="D168" s="104">
        <f>IF(ISERROR(HLOOKUP(J168,$Q$39:$AA$40,2)),0,HLOOKUP(J168,$Q$39:$AA$40,2))</f>
        <v>0</v>
      </c>
      <c r="E168" s="104">
        <f>IF(ISERROR(HLOOKUP(K168,$Q$39:$AA$40,2)),0,HLOOKUP(K168,$Q$39:$AA$40,2))</f>
        <v>0</v>
      </c>
      <c r="F168" s="104">
        <f>IF(ISERROR(HLOOKUP(L168,$Q$39:$AA$40,2)),0,HLOOKUP(L168,$Q$39:$AA$40,2))</f>
        <v>0</v>
      </c>
      <c r="G168" s="396">
        <f>SUM($F$30:$F$32)</f>
        <v>0</v>
      </c>
      <c r="H168" s="103">
        <f>SUM($F$30:$F$32)+$J$51</f>
        <v>0</v>
      </c>
      <c r="I168" s="103">
        <f>SUM($F$30:$F$32)+$J$51+$J$60</f>
        <v>0</v>
      </c>
      <c r="J168" s="21">
        <f t="shared" si="7"/>
        <v>0</v>
      </c>
      <c r="K168" s="21">
        <f t="shared" si="8"/>
        <v>0</v>
      </c>
      <c r="L168" s="21">
        <f t="shared" si="9"/>
        <v>0</v>
      </c>
      <c r="M168" s="78" t="s">
        <v>661</v>
      </c>
      <c r="P168" s="44"/>
      <c r="Q168" s="44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</row>
    <row r="169" spans="1:45" ht="12.75" hidden="1" customHeight="1" x14ac:dyDescent="0.15">
      <c r="A169" s="259">
        <v>37</v>
      </c>
      <c r="B169" s="340" t="s">
        <v>622</v>
      </c>
      <c r="C169" s="21" t="s">
        <v>547</v>
      </c>
      <c r="D169" s="104">
        <f t="shared" ref="D169:F170" si="13">IF(ISERROR(HLOOKUP(J169,$Q$73:$AB$74,2)),0,HLOOKUP(J169,$Q$73:$AB$74,2))</f>
        <v>0</v>
      </c>
      <c r="E169" s="104">
        <f t="shared" si="13"/>
        <v>0</v>
      </c>
      <c r="F169" s="104">
        <f t="shared" si="13"/>
        <v>0</v>
      </c>
      <c r="G169" s="396">
        <f>SUM($F$27:$F$32)</f>
        <v>0</v>
      </c>
      <c r="H169" s="103">
        <f>SUM($F$27:$F$32)+$J$51</f>
        <v>0</v>
      </c>
      <c r="I169" s="103">
        <f>SUM($F$27:$F$32)+$J$51+$J$60</f>
        <v>0</v>
      </c>
      <c r="J169" s="21">
        <f t="shared" si="7"/>
        <v>0</v>
      </c>
      <c r="K169" s="21">
        <f t="shared" si="8"/>
        <v>0</v>
      </c>
      <c r="L169" s="21">
        <f t="shared" si="9"/>
        <v>0</v>
      </c>
      <c r="M169" s="78" t="s">
        <v>661</v>
      </c>
      <c r="P169" s="44"/>
      <c r="Q169" s="44"/>
      <c r="AH169" s="69"/>
      <c r="AI169" s="116"/>
      <c r="AJ169" s="116"/>
      <c r="AK169" s="116"/>
      <c r="AL169" s="69"/>
      <c r="AM169" s="69"/>
      <c r="AN169" s="69"/>
      <c r="AO169" s="69"/>
      <c r="AP169" s="69"/>
      <c r="AQ169" s="69"/>
      <c r="AR169" s="69"/>
      <c r="AS169" s="69"/>
    </row>
    <row r="170" spans="1:45" ht="12.75" hidden="1" customHeight="1" x14ac:dyDescent="0.15">
      <c r="A170" s="259">
        <v>38</v>
      </c>
      <c r="B170" s="340" t="s">
        <v>623</v>
      </c>
      <c r="C170" s="21" t="s">
        <v>547</v>
      </c>
      <c r="D170" s="104">
        <f t="shared" si="13"/>
        <v>0</v>
      </c>
      <c r="E170" s="104">
        <f t="shared" si="13"/>
        <v>0</v>
      </c>
      <c r="F170" s="104">
        <f t="shared" si="13"/>
        <v>0</v>
      </c>
      <c r="G170" s="396">
        <f>SUM($F$30:$F$32)</f>
        <v>0</v>
      </c>
      <c r="H170" s="103">
        <f>SUM($F$30:$F$32)+$J$51</f>
        <v>0</v>
      </c>
      <c r="I170" s="103">
        <f>SUM($F$30:$F$32)+$J$51+$J$60</f>
        <v>0</v>
      </c>
      <c r="J170" s="21">
        <f t="shared" si="7"/>
        <v>0</v>
      </c>
      <c r="K170" s="21">
        <f t="shared" si="8"/>
        <v>0</v>
      </c>
      <c r="L170" s="21">
        <f t="shared" si="9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thickBot="1" x14ac:dyDescent="0.2">
      <c r="A171" s="259">
        <v>39</v>
      </c>
      <c r="B171" s="340" t="s">
        <v>624</v>
      </c>
      <c r="C171" s="21" t="s">
        <v>613</v>
      </c>
      <c r="D171" s="104">
        <f>IF(ISERROR(HLOOKUP(J171,$Q$48:$Y$49,2)),0,HLOOKUP(J171,$Q$48:$Y$49,2))</f>
        <v>0</v>
      </c>
      <c r="E171" s="104">
        <f>IF(ISERROR(HLOOKUP(K171,$Q$48:$Y$49,2)),0,HLOOKUP(K171,$Q$48:$Y$49,2))</f>
        <v>0</v>
      </c>
      <c r="F171" s="104">
        <f>IF(ISERROR(HLOOKUP(L171,$Q$48:$Y$49,2)),0,HLOOKUP(L171,$Q$48:$Y$49,2))</f>
        <v>0</v>
      </c>
      <c r="G171" s="396">
        <f>SUM($F$30:$F$32)</f>
        <v>0</v>
      </c>
      <c r="H171" s="103">
        <f>SUM($F$30:$F$32)+$J$51</f>
        <v>0</v>
      </c>
      <c r="I171" s="103">
        <f>SUM($F$30:$F$32)+$J$51+$J$60</f>
        <v>0</v>
      </c>
      <c r="J171" s="21">
        <f t="shared" si="7"/>
        <v>0</v>
      </c>
      <c r="K171" s="21">
        <f t="shared" si="8"/>
        <v>0</v>
      </c>
      <c r="L171" s="21">
        <f t="shared" si="9"/>
        <v>0</v>
      </c>
      <c r="M171" s="78" t="s">
        <v>661</v>
      </c>
      <c r="P171" s="44"/>
      <c r="Q171" s="44"/>
    </row>
    <row r="172" spans="1:45" ht="12.75" hidden="1" customHeight="1" x14ac:dyDescent="0.15">
      <c r="A172" s="259">
        <v>40</v>
      </c>
      <c r="B172" s="340" t="s">
        <v>625</v>
      </c>
      <c r="C172" s="21" t="s">
        <v>613</v>
      </c>
      <c r="D172" s="104">
        <f>IF(ISERROR(HLOOKUP(J172,$Q$48:$AA$49,2)),0,HLOOKUP(J172,$Q$48:$AA$49,2))</f>
        <v>0</v>
      </c>
      <c r="E172" s="104">
        <f>IF(ISERROR(HLOOKUP(K172,$Q$48:$AA$49,2)),0,HLOOKUP(K172,$Q$48:$AA$49,2))</f>
        <v>0</v>
      </c>
      <c r="F172" s="104">
        <f>IF(ISERROR(HLOOKUP(L172,$Q$48:$AA$49,2)),0,HLOOKUP(L172,$Q$48:$AA$49,2))</f>
        <v>0</v>
      </c>
      <c r="G172" s="396">
        <f>SUM($F$27:$F$32)</f>
        <v>0</v>
      </c>
      <c r="H172" s="103">
        <f>SUM($F$27:$F$32)+$J$51</f>
        <v>0</v>
      </c>
      <c r="I172" s="103">
        <f>SUM($F$27:$F$32)+$J$51+$J$60</f>
        <v>0</v>
      </c>
      <c r="J172" s="21">
        <f t="shared" si="7"/>
        <v>0</v>
      </c>
      <c r="K172" s="21">
        <f t="shared" si="8"/>
        <v>0</v>
      </c>
      <c r="L172" s="21">
        <f t="shared" si="9"/>
        <v>0</v>
      </c>
      <c r="M172" s="78" t="s">
        <v>661</v>
      </c>
      <c r="N172" s="341" t="s">
        <v>613</v>
      </c>
      <c r="O172" s="256">
        <f>IF(ISERROR(HLOOKUP(J173,$Q$63:$AA$64,2)),0,HLOOKUP(J173,$Q$63:$AA$64,2))</f>
        <v>0</v>
      </c>
      <c r="P172" s="144">
        <f>IF(ISERROR(HLOOKUP(K173,$Q$63:$AA$64,2)),0,HLOOKUP(K173,$Q$63:$AA$64,2))</f>
        <v>0</v>
      </c>
      <c r="Q172" s="144">
        <f>IF(ISERROR(HLOOKUP(L173,$Q$63:$AA$64,2)),0,HLOOKUP(L173,$Q$63:$AA$64,2))</f>
        <v>0</v>
      </c>
      <c r="R172" s="342" t="s">
        <v>695</v>
      </c>
    </row>
    <row r="173" spans="1:45" ht="12.75" hidden="1" customHeight="1" thickBot="1" x14ac:dyDescent="0.2">
      <c r="A173" s="259">
        <v>41</v>
      </c>
      <c r="B173" s="340" t="s">
        <v>626</v>
      </c>
      <c r="C173" s="21" t="str">
        <f>IF($N$8&gt;=$R$173,$P$20,$P$19)</f>
        <v>TRIÊNIO</v>
      </c>
      <c r="D173" s="343">
        <f>IF($C$173=$N$172,$O$172,$O$173)</f>
        <v>0</v>
      </c>
      <c r="E173" s="343">
        <f>IF($C$173=$N$172,$P$172,$P$173)</f>
        <v>0</v>
      </c>
      <c r="F173" s="343">
        <f>IF($C$173=$N$172,$Q$172,$Q$173)</f>
        <v>0</v>
      </c>
      <c r="G173" s="396">
        <f>SUM($F$30:$F$32)</f>
        <v>0</v>
      </c>
      <c r="H173" s="103">
        <f>SUM($F$30:$F$32)+$J$51</f>
        <v>0</v>
      </c>
      <c r="I173" s="103">
        <f>SUM($F$30:$F$32)+$J$51+$J$60</f>
        <v>0</v>
      </c>
      <c r="J173" s="21">
        <f t="shared" si="7"/>
        <v>0</v>
      </c>
      <c r="K173" s="21">
        <f t="shared" si="8"/>
        <v>0</v>
      </c>
      <c r="L173" s="21">
        <f t="shared" si="9"/>
        <v>0</v>
      </c>
      <c r="M173" s="78" t="s">
        <v>661</v>
      </c>
      <c r="N173" s="344" t="s">
        <v>547</v>
      </c>
      <c r="O173" s="257">
        <f>IF(ISERROR(HLOOKUP(J173,$Q$73:$W$74,2)),0,HLOOKUP(J173,$Q$73:$W$74,2))</f>
        <v>0</v>
      </c>
      <c r="P173" s="145">
        <f>IF(ISERROR(HLOOKUP(K173,$Q$73:$W$74,2)),0,HLOOKUP(K173,$Q$73:$W$74,2))</f>
        <v>0</v>
      </c>
      <c r="Q173" s="145">
        <f>IF(ISERROR(HLOOKUP(L173,$Q$73:$W$74,2)),0,HLOOKUP(L173,$Q$73:$W$74,2))</f>
        <v>0</v>
      </c>
      <c r="R173" s="398">
        <v>36539</v>
      </c>
      <c r="S173" s="103"/>
      <c r="T173" s="103"/>
    </row>
    <row r="174" spans="1:45" ht="12.75" hidden="1" customHeight="1" x14ac:dyDescent="0.15">
      <c r="A174" s="259">
        <v>42</v>
      </c>
      <c r="B174" s="340" t="s">
        <v>627</v>
      </c>
      <c r="C174" s="21"/>
      <c r="D174" s="54"/>
      <c r="E174" s="54"/>
      <c r="F174" s="54"/>
      <c r="G174" s="396">
        <f>SUM($F$27:$F$32)</f>
        <v>0</v>
      </c>
      <c r="H174" s="103">
        <f>SUM($F$27:$F$32)+$J$51</f>
        <v>0</v>
      </c>
      <c r="I174" s="103">
        <f>SUM($F$27:$F$32)+$J$51+$J$60</f>
        <v>0</v>
      </c>
      <c r="J174" s="21">
        <f t="shared" si="7"/>
        <v>0</v>
      </c>
      <c r="K174" s="21">
        <f t="shared" si="8"/>
        <v>0</v>
      </c>
      <c r="L174" s="21">
        <f t="shared" si="9"/>
        <v>0</v>
      </c>
      <c r="M174" s="78" t="s">
        <v>661</v>
      </c>
      <c r="P174" s="44"/>
      <c r="Q174" s="44"/>
    </row>
    <row r="175" spans="1:45" ht="12.75" hidden="1" customHeight="1" x14ac:dyDescent="0.15">
      <c r="A175" s="259">
        <v>43</v>
      </c>
      <c r="B175" s="340" t="s">
        <v>628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7"/>
        <v>0</v>
      </c>
      <c r="K175" s="21">
        <f t="shared" si="8"/>
        <v>0</v>
      </c>
      <c r="L175" s="21">
        <f t="shared" si="9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44</v>
      </c>
      <c r="B176" s="340" t="s">
        <v>629</v>
      </c>
      <c r="C176" s="21" t="s">
        <v>547</v>
      </c>
      <c r="D176" s="104">
        <f t="shared" ref="D176:F177" si="14">IF(ISERROR(HLOOKUP(J176,$Q$73:$W$74,2)),0,HLOOKUP(J176,$Q$73:$W$74,2))</f>
        <v>0</v>
      </c>
      <c r="E176" s="104">
        <f t="shared" si="14"/>
        <v>0</v>
      </c>
      <c r="F176" s="104">
        <f t="shared" si="14"/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7"/>
        <v>0</v>
      </c>
      <c r="K176" s="21">
        <f t="shared" si="8"/>
        <v>0</v>
      </c>
      <c r="L176" s="21">
        <f t="shared" si="9"/>
        <v>0</v>
      </c>
      <c r="M176" s="78" t="s">
        <v>661</v>
      </c>
      <c r="P176" s="44"/>
      <c r="Q176" s="44"/>
    </row>
    <row r="177" spans="1:33" ht="12.75" hidden="1" customHeight="1" x14ac:dyDescent="0.15">
      <c r="A177" s="259">
        <v>45</v>
      </c>
      <c r="B177" s="340" t="s">
        <v>630</v>
      </c>
      <c r="C177" s="21" t="s">
        <v>547</v>
      </c>
      <c r="D177" s="104">
        <f t="shared" si="14"/>
        <v>0</v>
      </c>
      <c r="E177" s="104">
        <f t="shared" si="14"/>
        <v>0</v>
      </c>
      <c r="F177" s="104">
        <f t="shared" si="14"/>
        <v>0</v>
      </c>
      <c r="G177" s="396">
        <f>SUM($F$27:$F$32)</f>
        <v>0</v>
      </c>
      <c r="H177" s="103">
        <f>SUM($F$27:$F$32)+$J$51</f>
        <v>0</v>
      </c>
      <c r="I177" s="103">
        <f>SUM($F$27:$F$32)+$J$51+$J$60</f>
        <v>0</v>
      </c>
      <c r="J177" s="21">
        <f t="shared" si="7"/>
        <v>0</v>
      </c>
      <c r="K177" s="21">
        <f t="shared" si="8"/>
        <v>0</v>
      </c>
      <c r="L177" s="21">
        <f t="shared" si="9"/>
        <v>0</v>
      </c>
      <c r="M177" s="78" t="s">
        <v>661</v>
      </c>
      <c r="P177" s="44"/>
      <c r="Q177" s="44"/>
    </row>
    <row r="178" spans="1:33" ht="12.75" hidden="1" customHeight="1" x14ac:dyDescent="0.15">
      <c r="A178" s="259">
        <v>46</v>
      </c>
      <c r="B178" s="340" t="s">
        <v>631</v>
      </c>
      <c r="C178" s="21" t="s">
        <v>527</v>
      </c>
      <c r="D178" s="104">
        <f>IF(ISERROR(HLOOKUP(J178,$Q$26:$AY$27,2)),0,HLOOKUP(J178,$Q$26:$AY$27,2))</f>
        <v>0</v>
      </c>
      <c r="E178" s="104">
        <f>IF(ISERROR(HLOOKUP(K178,$Q$26:$AY$27,2)),0,HLOOKUP(K178,$Q$26:$AY$27,2))</f>
        <v>0</v>
      </c>
      <c r="F178" s="104">
        <f>IF(ISERROR(HLOOKUP(L178,$Q$26:$AY$27,2)),0,HLOOKUP(L178,$Q$26:$AY$27,2))</f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7"/>
        <v>0</v>
      </c>
      <c r="K178" s="21">
        <f t="shared" si="8"/>
        <v>0</v>
      </c>
      <c r="L178" s="21">
        <f t="shared" si="9"/>
        <v>0</v>
      </c>
      <c r="M178" s="78" t="s">
        <v>661</v>
      </c>
      <c r="P178" s="44"/>
      <c r="Q178" s="44"/>
    </row>
    <row r="179" spans="1:33" ht="12.75" hidden="1" customHeight="1" x14ac:dyDescent="0.15">
      <c r="A179" s="259">
        <v>47</v>
      </c>
      <c r="B179" s="340" t="s">
        <v>632</v>
      </c>
      <c r="C179" s="21" t="s">
        <v>613</v>
      </c>
      <c r="D179" s="104">
        <f>IF(ISERROR(HLOOKUP(J179,$Q$48:$Z$49,2)),0,HLOOKUP(J179,$Q$48:$Z$49,2))</f>
        <v>0</v>
      </c>
      <c r="E179" s="104">
        <f>IF(ISERROR(HLOOKUP(K179,$Q$48:$Z$49,2)),0,HLOOKUP(K179,$Q$48:$Z$49,2))</f>
        <v>0</v>
      </c>
      <c r="F179" s="104">
        <f>IF(ISERROR(HLOOKUP(L179,$Q$48:$Z$49,2)),0,HLOOKUP(L179,$Q$48:$Z$49,2))</f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7"/>
        <v>0</v>
      </c>
      <c r="K179" s="21">
        <f t="shared" si="8"/>
        <v>0</v>
      </c>
      <c r="L179" s="21">
        <f t="shared" si="9"/>
        <v>0</v>
      </c>
      <c r="M179" s="78" t="s">
        <v>661</v>
      </c>
      <c r="P179" s="44"/>
      <c r="Q179" s="44"/>
    </row>
    <row r="180" spans="1:33" ht="12.75" hidden="1" customHeight="1" x14ac:dyDescent="0.15">
      <c r="A180" s="259">
        <v>48</v>
      </c>
      <c r="B180" s="340" t="s">
        <v>633</v>
      </c>
      <c r="C180" s="21" t="s">
        <v>613</v>
      </c>
      <c r="D180" s="104">
        <f>IF(ISERROR(HLOOKUP(J180,$Q$48:$AJ$49,2)),0,HLOOKUP(J180,$Q$48:$AJ$49,2))</f>
        <v>0</v>
      </c>
      <c r="E180" s="104">
        <f>IF(ISERROR(HLOOKUP(K180,$Q$48:$AJ$49,2)),0,HLOOKUP(K180,$Q$48:$AJ$49,2))</f>
        <v>0</v>
      </c>
      <c r="F180" s="104">
        <f>IF(ISERROR(HLOOKUP(L180,$Q$48:$AJ$49,2)),0,HLOOKUP(L180,$Q$48:$AJ$49,2))</f>
        <v>0</v>
      </c>
      <c r="G180" s="396">
        <f>SUM($F$30:$F$33)</f>
        <v>0</v>
      </c>
      <c r="H180" s="103">
        <f>SUM($F$30:$F$33)+$J$51</f>
        <v>0</v>
      </c>
      <c r="I180" s="103">
        <f>SUM($F$30:$F$33)+$J$51+$J$60</f>
        <v>0</v>
      </c>
      <c r="J180" s="21">
        <f t="shared" si="7"/>
        <v>0</v>
      </c>
      <c r="K180" s="21">
        <f t="shared" si="8"/>
        <v>0</v>
      </c>
      <c r="L180" s="21">
        <f t="shared" si="9"/>
        <v>0</v>
      </c>
      <c r="M180" s="78" t="s">
        <v>661</v>
      </c>
      <c r="P180" s="44"/>
      <c r="Q180" s="44"/>
    </row>
    <row r="181" spans="1:33" ht="12.75" hidden="1" customHeight="1" x14ac:dyDescent="0.15">
      <c r="A181" s="259">
        <v>49</v>
      </c>
      <c r="B181" s="340" t="s">
        <v>634</v>
      </c>
      <c r="C181" s="21" t="s">
        <v>613</v>
      </c>
      <c r="D181" s="104">
        <f>IF(ISERROR(HLOOKUP(J181,$Q$48:$Z$49,2)),0,HLOOKUP(J181,$Q$48:$Z$49,2))</f>
        <v>0</v>
      </c>
      <c r="E181" s="104">
        <f>IF(ISERROR(HLOOKUP(K181,$Q$48:$Z$49,2)),0,HLOOKUP(K181,$Q$48:$Z$49,2))</f>
        <v>0</v>
      </c>
      <c r="F181" s="104">
        <f>IF(ISERROR(HLOOKUP(L181,$Q$48:$Z$49,2)),0,HLOOKUP(L181,$Q$48:$Z$49,2))</f>
        <v>0</v>
      </c>
      <c r="G181" s="396">
        <f>SUM($F$30:$F$33)</f>
        <v>0</v>
      </c>
      <c r="H181" s="103">
        <f>SUM($F$30:$F$33)+$J$51</f>
        <v>0</v>
      </c>
      <c r="I181" s="103">
        <f>SUM($F$30:$F$33)+$J$51+$J$60</f>
        <v>0</v>
      </c>
      <c r="J181" s="21">
        <f t="shared" si="7"/>
        <v>0</v>
      </c>
      <c r="K181" s="21">
        <f t="shared" si="8"/>
        <v>0</v>
      </c>
      <c r="L181" s="21">
        <f t="shared" si="9"/>
        <v>0</v>
      </c>
      <c r="M181" s="78" t="s">
        <v>661</v>
      </c>
      <c r="P181" s="44"/>
      <c r="Q181" s="44"/>
    </row>
    <row r="182" spans="1:33" ht="12.75" hidden="1" customHeight="1" x14ac:dyDescent="0.15">
      <c r="A182" s="259">
        <v>50</v>
      </c>
      <c r="B182" s="340" t="s">
        <v>635</v>
      </c>
      <c r="C182" s="21" t="s">
        <v>613</v>
      </c>
      <c r="D182" s="104">
        <f>IF(ISERROR(HLOOKUP(J182,$Q$39:$AB$40,2)),0,HLOOKUP(J182,$Q$39:$AB$40,2))</f>
        <v>0</v>
      </c>
      <c r="E182" s="104">
        <f>IF(ISERROR(HLOOKUP(K182,$Q$39:$AB$40,2)),0,HLOOKUP(K182,$Q$39:$AB$40,2))</f>
        <v>0</v>
      </c>
      <c r="F182" s="104">
        <f>IF(ISERROR(HLOOKUP(L182,$Q$39:$AB$40,2)),0,HLOOKUP(L182,$Q$39:$AB$40,2))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7"/>
        <v>0</v>
      </c>
      <c r="K182" s="21">
        <f t="shared" si="8"/>
        <v>0</v>
      </c>
      <c r="L182" s="21">
        <f t="shared" si="9"/>
        <v>0</v>
      </c>
      <c r="M182" s="78" t="s">
        <v>661</v>
      </c>
      <c r="P182" s="44"/>
      <c r="Q182" s="44"/>
    </row>
    <row r="183" spans="1:33" ht="12.75" hidden="1" customHeight="1" x14ac:dyDescent="0.15">
      <c r="A183" s="259">
        <v>51</v>
      </c>
      <c r="B183" s="340" t="s">
        <v>636</v>
      </c>
      <c r="C183" s="21" t="s">
        <v>613</v>
      </c>
      <c r="D183" s="104">
        <f>IF(ISERROR(HLOOKUP(J183,$Q$39:$AA$40,2)),0,HLOOKUP(J183,$Q$39:$AA$40,2))</f>
        <v>0</v>
      </c>
      <c r="E183" s="104">
        <f>IF(ISERROR(HLOOKUP(K183,$Q$39:$AA$40,2)),0,HLOOKUP(K183,$Q$39:$AA$40,2))</f>
        <v>0</v>
      </c>
      <c r="F183" s="104">
        <f>IF(ISERROR(HLOOKUP(L183,$Q$39:$AA$40,2)),0,HLOOKUP(L183,$Q$39:$AA$40,2))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7"/>
        <v>0</v>
      </c>
      <c r="K183" s="21">
        <f t="shared" si="8"/>
        <v>0</v>
      </c>
      <c r="L183" s="21">
        <f t="shared" si="9"/>
        <v>0</v>
      </c>
      <c r="M183" s="78" t="s">
        <v>661</v>
      </c>
      <c r="P183" s="44"/>
      <c r="Q183" s="44"/>
    </row>
    <row r="184" spans="1:33" ht="12.75" hidden="1" customHeight="1" x14ac:dyDescent="0.15">
      <c r="A184" s="259">
        <v>52</v>
      </c>
      <c r="B184" s="340" t="s">
        <v>637</v>
      </c>
      <c r="C184" s="21" t="s">
        <v>613</v>
      </c>
      <c r="D184" s="104">
        <f>IF(ISERROR(HLOOKUP(J184,$Q$66:$X$67,2)),0,HLOOKUP(J184,$Q$66:$X$67,2))</f>
        <v>0</v>
      </c>
      <c r="E184" s="104">
        <f>IF(ISERROR(HLOOKUP(K184,$Q$66:$X$67,2)),0,HLOOKUP(K184,$Q$66:$X$67,2))</f>
        <v>0</v>
      </c>
      <c r="F184" s="104">
        <f>IF(ISERROR(HLOOKUP(L184,$Q$66:$X$67,2)),0,HLOOKUP(L184,$Q$66:$X$67,2))</f>
        <v>0</v>
      </c>
      <c r="G184" s="396">
        <f>SUM($F$27:$F$32)</f>
        <v>0</v>
      </c>
      <c r="H184" s="103">
        <f>SUM($F$27:$F$32)+$J$51</f>
        <v>0</v>
      </c>
      <c r="I184" s="103">
        <f>SUM($F$27:$F$32)+$J$51+$J$60</f>
        <v>0</v>
      </c>
      <c r="J184" s="21">
        <f t="shared" si="7"/>
        <v>0</v>
      </c>
      <c r="K184" s="21">
        <f t="shared" si="8"/>
        <v>0</v>
      </c>
      <c r="L184" s="21">
        <f t="shared" si="9"/>
        <v>0</v>
      </c>
      <c r="M184" s="78" t="s">
        <v>661</v>
      </c>
      <c r="P184" s="44"/>
      <c r="Q184" s="44"/>
    </row>
    <row r="185" spans="1:33" ht="12.75" hidden="1" customHeight="1" x14ac:dyDescent="0.15">
      <c r="A185" s="259">
        <v>53</v>
      </c>
      <c r="B185" s="340" t="s">
        <v>638</v>
      </c>
      <c r="C185" s="21" t="s">
        <v>613</v>
      </c>
      <c r="D185" s="104">
        <f>IF(ISERROR(HLOOKUP(J185,$Q$48:$AA$49,2)),0,HLOOKUP(J185,$Q$48:$AA$49,2))</f>
        <v>0</v>
      </c>
      <c r="E185" s="104">
        <f>IF(ISERROR(HLOOKUP(K185,$Q$48:$AA$49,2)),0,HLOOKUP(K185,$Q$48:$AA$49,2))</f>
        <v>0</v>
      </c>
      <c r="F185" s="104">
        <f>IF(ISERROR(HLOOKUP(L185,$Q$48:$AA$49,2)),0,HLOOKUP(L185,$Q$48:$AA$49,2))</f>
        <v>0</v>
      </c>
      <c r="G185" s="396">
        <f>SUM($F$30:$F$32)</f>
        <v>0</v>
      </c>
      <c r="H185" s="103">
        <f>SUM($F$30:$F$32)+$J$51</f>
        <v>0</v>
      </c>
      <c r="I185" s="103">
        <f>SUM($F$30:$F$32)+$J$51+$J$60</f>
        <v>0</v>
      </c>
      <c r="J185" s="21">
        <f t="shared" si="7"/>
        <v>0</v>
      </c>
      <c r="K185" s="21">
        <f t="shared" si="8"/>
        <v>0</v>
      </c>
      <c r="L185" s="21">
        <f t="shared" si="9"/>
        <v>0</v>
      </c>
      <c r="M185" s="78" t="s">
        <v>661</v>
      </c>
      <c r="P185" s="44"/>
      <c r="Q185" s="44"/>
    </row>
    <row r="186" spans="1:33" ht="12.75" hidden="1" customHeight="1" x14ac:dyDescent="0.15">
      <c r="A186" s="259">
        <v>54</v>
      </c>
      <c r="B186" s="340" t="s">
        <v>639</v>
      </c>
      <c r="C186" s="21" t="s">
        <v>613</v>
      </c>
      <c r="D186" s="104">
        <f>IF(ISERROR(HLOOKUP(J186,$Q$39:$AA$40,2)),0,HLOOKUP(J186,$Q$39:$AA$40,2))</f>
        <v>0</v>
      </c>
      <c r="E186" s="104">
        <f>IF(ISERROR(HLOOKUP(K186,$Q$39:$AA$40,2)),0,HLOOKUP(K186,$Q$39:$AA$40,2))</f>
        <v>0</v>
      </c>
      <c r="F186" s="104">
        <f>IF(ISERROR(HLOOKUP(L186,$Q$39:$AA$40,2)),0,HLOOKUP(L186,$Q$39:$AA$40,2))</f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ref="J186:J217" si="15">ROUNDDOWN(G186/365,0)</f>
        <v>0</v>
      </c>
      <c r="K186" s="21">
        <f t="shared" ref="K186:K217" si="16">ROUNDDOWN(H186/365,0)</f>
        <v>0</v>
      </c>
      <c r="L186" s="21">
        <f t="shared" ref="L186:L217" si="17">ROUNDDOWN(I186/365,0)</f>
        <v>0</v>
      </c>
      <c r="M186" s="78" t="s">
        <v>661</v>
      </c>
      <c r="P186" s="44"/>
      <c r="Q186" s="44"/>
    </row>
    <row r="187" spans="1:33" ht="12.75" hidden="1" customHeight="1" x14ac:dyDescent="0.15">
      <c r="A187" s="259">
        <v>55</v>
      </c>
      <c r="B187" s="340" t="s">
        <v>640</v>
      </c>
      <c r="C187" s="21" t="s">
        <v>613</v>
      </c>
      <c r="D187" s="104">
        <f>IF(ISERROR(HLOOKUP(J187,$Q$60:$AA$61,2)),0,HLOOKUP(J187,$Q$60:$AA$61,2))</f>
        <v>0</v>
      </c>
      <c r="E187" s="104">
        <f>IF(ISERROR(HLOOKUP(K187,$Q$60:$AA$61,2)),0,HLOOKUP(K187,$Q$60:$AA$61,2))</f>
        <v>0</v>
      </c>
      <c r="F187" s="104">
        <f>IF(ISERROR(HLOOKUP(L187,$Q$60:$AA$61,2)),0,HLOOKUP(L187,$Q$60:$AA$61,2))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5"/>
        <v>0</v>
      </c>
      <c r="K187" s="21">
        <f t="shared" si="16"/>
        <v>0</v>
      </c>
      <c r="L187" s="21">
        <f t="shared" si="17"/>
        <v>0</v>
      </c>
      <c r="M187" s="78" t="s">
        <v>661</v>
      </c>
      <c r="P187" s="44"/>
      <c r="Q187" s="44"/>
    </row>
    <row r="188" spans="1:33" ht="12.75" hidden="1" customHeight="1" x14ac:dyDescent="0.15">
      <c r="A188" s="259">
        <v>56</v>
      </c>
      <c r="B188" s="340" t="s">
        <v>683</v>
      </c>
      <c r="C188" s="21" t="s">
        <v>547</v>
      </c>
      <c r="D188" s="104">
        <f>IF(ISERROR(HLOOKUP(J188,$Q$80:$W$81,2)),0,HLOOKUP(J188,$Q$80:$W$81,2))</f>
        <v>0</v>
      </c>
      <c r="E188" s="104">
        <f>IF(ISERROR(HLOOKUP(K188,$Q$80:$W$81,2)),0,HLOOKUP(K188,$Q$80:$W$81,2))</f>
        <v>0</v>
      </c>
      <c r="F188" s="104">
        <f>IF(ISERROR(HLOOKUP(L188,$Q$80:$W$81,2)),0,HLOOKUP(L188,$Q$80:$W$81,2))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5"/>
        <v>0</v>
      </c>
      <c r="K188" s="21">
        <f t="shared" si="16"/>
        <v>0</v>
      </c>
      <c r="L188" s="21">
        <f t="shared" si="17"/>
        <v>0</v>
      </c>
      <c r="M188" s="78" t="s">
        <v>661</v>
      </c>
      <c r="P188" s="44"/>
      <c r="Q188" s="44"/>
    </row>
    <row r="189" spans="1:33" ht="12.75" hidden="1" customHeight="1" x14ac:dyDescent="0.15">
      <c r="A189" s="259">
        <v>57</v>
      </c>
      <c r="B189" s="340" t="s">
        <v>699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5"/>
        <v>0</v>
      </c>
      <c r="K189" s="21">
        <f t="shared" si="16"/>
        <v>0</v>
      </c>
      <c r="L189" s="21">
        <f t="shared" si="17"/>
        <v>0</v>
      </c>
      <c r="M189" s="78" t="s">
        <v>661</v>
      </c>
      <c r="P189" s="44"/>
      <c r="Q189" s="44"/>
    </row>
    <row r="190" spans="1:33" ht="12.75" hidden="1" customHeight="1" x14ac:dyDescent="0.15">
      <c r="A190" s="259">
        <v>58</v>
      </c>
      <c r="B190" s="340" t="s">
        <v>641</v>
      </c>
      <c r="C190" s="21" t="s">
        <v>613</v>
      </c>
      <c r="D190" s="104">
        <f>IF(ISERROR(HLOOKUP(J190,$Q$69:$AC$70,2)),0,HLOOKUP(J190,$Q$69:$AC$70,2))</f>
        <v>0</v>
      </c>
      <c r="E190" s="104">
        <f>IF(ISERROR(HLOOKUP(K190,$Q$69:$AC$70,2)),0,HLOOKUP(K190,$Q$69:$AC$70,2))</f>
        <v>0</v>
      </c>
      <c r="F190" s="104">
        <f>IF(ISERROR(HLOOKUP(L190,$Q$69:$AC$70,2)),0,HLOOKUP(L190,$Q$69:$AC$70,2))</f>
        <v>0</v>
      </c>
      <c r="G190" s="396">
        <f>SUM($F$30:$F$32)</f>
        <v>0</v>
      </c>
      <c r="H190" s="103">
        <f>SUM($F$30:$F$32)+$J$51</f>
        <v>0</v>
      </c>
      <c r="I190" s="103">
        <f>SUM($F$30:$F$32)+$J$51+$J$60</f>
        <v>0</v>
      </c>
      <c r="J190" s="21">
        <f t="shared" si="15"/>
        <v>0</v>
      </c>
      <c r="K190" s="21">
        <f t="shared" si="16"/>
        <v>0</v>
      </c>
      <c r="L190" s="21">
        <f t="shared" si="17"/>
        <v>0</v>
      </c>
      <c r="M190" s="78" t="s">
        <v>661</v>
      </c>
      <c r="P190" s="44"/>
      <c r="Q190" s="44"/>
    </row>
    <row r="191" spans="1:33" ht="12.75" hidden="1" customHeight="1" x14ac:dyDescent="0.15">
      <c r="A191" s="259">
        <v>59</v>
      </c>
      <c r="B191" s="340" t="s">
        <v>642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SUM($F$27:$F$33)</f>
        <v>0</v>
      </c>
      <c r="H191" s="103">
        <f>SUM($F$27:$F$33)+$J$51</f>
        <v>0</v>
      </c>
      <c r="I191" s="103">
        <f>SUM($F$27:$F$33)+$J$51+$J$60</f>
        <v>0</v>
      </c>
      <c r="J191" s="21">
        <f t="shared" si="15"/>
        <v>0</v>
      </c>
      <c r="K191" s="21">
        <f t="shared" si="16"/>
        <v>0</v>
      </c>
      <c r="L191" s="21">
        <f t="shared" si="17"/>
        <v>0</v>
      </c>
      <c r="M191" s="78" t="s">
        <v>661</v>
      </c>
      <c r="P191" s="44"/>
      <c r="Q191" s="44"/>
      <c r="AC191" s="69"/>
      <c r="AD191" s="69"/>
      <c r="AE191" s="69"/>
      <c r="AF191" s="69"/>
      <c r="AG191" s="69"/>
    </row>
    <row r="192" spans="1:33" ht="12.75" hidden="1" customHeight="1" x14ac:dyDescent="0.15">
      <c r="A192" s="259">
        <v>60</v>
      </c>
      <c r="B192" s="340" t="s">
        <v>643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SUM($F$30:$F$33)</f>
        <v>0</v>
      </c>
      <c r="H192" s="103">
        <f>SUM($F$30:$F$33)+$J$51</f>
        <v>0</v>
      </c>
      <c r="I192" s="103">
        <f>SUM($F$30:$F$33)+$J$51+$J$60</f>
        <v>0</v>
      </c>
      <c r="J192" s="21">
        <f t="shared" si="15"/>
        <v>0</v>
      </c>
      <c r="K192" s="21">
        <f t="shared" si="16"/>
        <v>0</v>
      </c>
      <c r="L192" s="21">
        <f t="shared" si="17"/>
        <v>0</v>
      </c>
      <c r="M192" s="78" t="s">
        <v>661</v>
      </c>
      <c r="P192" s="44"/>
      <c r="Q192" s="44"/>
      <c r="AC192" s="69"/>
      <c r="AD192" s="69"/>
      <c r="AE192" s="69"/>
      <c r="AF192" s="69"/>
      <c r="AG192" s="69"/>
    </row>
    <row r="193" spans="1:33" ht="12.75" hidden="1" customHeight="1" x14ac:dyDescent="0.15">
      <c r="A193" s="259">
        <v>61</v>
      </c>
      <c r="B193" s="340" t="s">
        <v>644</v>
      </c>
      <c r="C193" s="21" t="s">
        <v>613</v>
      </c>
      <c r="D193" s="104">
        <f>IF(ISERROR(HLOOKUP(J193,$Q$39:$AA$40,2)),0,HLOOKUP(J193,$Q$39:$AA$40,2))</f>
        <v>0</v>
      </c>
      <c r="E193" s="104">
        <f>IF(ISERROR(HLOOKUP(K193,$Q$39:$AA$40,2)),0,HLOOKUP(K193,$Q$39:$AA$40,2))</f>
        <v>0</v>
      </c>
      <c r="F193" s="104">
        <f>IF(ISERROR(HLOOKUP(L193,$Q$39:$AA$40,2)),0,HLOOKUP(L193,$Q$39:$AA$40,2))</f>
        <v>0</v>
      </c>
      <c r="G193" s="396">
        <f>SUM($F$27:$F$33)</f>
        <v>0</v>
      </c>
      <c r="H193" s="103">
        <f>SUM($F$27:$F$33)+$J$51</f>
        <v>0</v>
      </c>
      <c r="I193" s="103">
        <f>SUM($F$27:$F$33)+$J$51+$J$60</f>
        <v>0</v>
      </c>
      <c r="J193" s="21">
        <f t="shared" si="15"/>
        <v>0</v>
      </c>
      <c r="K193" s="21">
        <f t="shared" si="16"/>
        <v>0</v>
      </c>
      <c r="L193" s="21">
        <f t="shared" si="17"/>
        <v>0</v>
      </c>
      <c r="M193" s="78" t="s">
        <v>661</v>
      </c>
      <c r="P193" s="44"/>
      <c r="Q193" s="44"/>
      <c r="AC193" s="69"/>
      <c r="AD193" s="69"/>
      <c r="AE193" s="69"/>
      <c r="AF193" s="69"/>
      <c r="AG193" s="69"/>
    </row>
    <row r="194" spans="1:33" ht="12.75" hidden="1" customHeight="1" x14ac:dyDescent="0.15">
      <c r="A194" s="259">
        <v>62</v>
      </c>
      <c r="B194" s="345" t="s">
        <v>645</v>
      </c>
      <c r="C194" s="21" t="s">
        <v>527</v>
      </c>
      <c r="D194" s="104">
        <f>IF(ISERROR(HLOOKUP(J194,$Q$26:$AY$27,2)),0,HLOOKUP(J194,$Q$26:$AY$27,2))</f>
        <v>0</v>
      </c>
      <c r="E194" s="104">
        <f>IF(ISERROR(HLOOKUP(K194,$Q$26:$AY$27,2)),0,HLOOKUP(K194,$Q$26:$AY$27,2))</f>
        <v>0</v>
      </c>
      <c r="F194" s="104">
        <f>IF(ISERROR(HLOOKUP(L194,$Q$26:$AY$27,2)),0,HLOOKUP(L194,$Q$26:$AY$27,2))</f>
        <v>0</v>
      </c>
      <c r="G194" s="396">
        <f>SUM($F$30:$F$32)</f>
        <v>0</v>
      </c>
      <c r="H194" s="103">
        <f>SUM($F$27:$F$32)+$J$51</f>
        <v>0</v>
      </c>
      <c r="I194" s="103">
        <f>SUM($F$27:$F$32)+$J$51+$J$60</f>
        <v>0</v>
      </c>
      <c r="J194" s="21">
        <f t="shared" si="15"/>
        <v>0</v>
      </c>
      <c r="K194" s="21">
        <f t="shared" si="16"/>
        <v>0</v>
      </c>
      <c r="L194" s="21">
        <f t="shared" si="17"/>
        <v>0</v>
      </c>
      <c r="M194" s="346" t="s">
        <v>662</v>
      </c>
      <c r="P194" s="44"/>
      <c r="Q194" s="44"/>
      <c r="AC194" s="69"/>
      <c r="AD194" s="69"/>
      <c r="AE194" s="69"/>
      <c r="AF194" s="69"/>
      <c r="AG194" s="69"/>
    </row>
    <row r="195" spans="1:33" ht="12.75" hidden="1" customHeight="1" x14ac:dyDescent="0.15">
      <c r="A195" s="259">
        <v>63</v>
      </c>
      <c r="B195" s="345" t="s">
        <v>646</v>
      </c>
      <c r="C195" s="21"/>
      <c r="D195" s="54"/>
      <c r="E195" s="54"/>
      <c r="F195" s="54"/>
      <c r="G195" s="54"/>
      <c r="H195" s="54"/>
      <c r="I195" s="347"/>
      <c r="J195" s="21">
        <f t="shared" si="15"/>
        <v>0</v>
      </c>
      <c r="K195" s="21">
        <f t="shared" si="16"/>
        <v>0</v>
      </c>
      <c r="L195" s="21">
        <f t="shared" si="17"/>
        <v>0</v>
      </c>
      <c r="M195" s="346" t="s">
        <v>662</v>
      </c>
      <c r="P195" s="44"/>
      <c r="Q195" s="44"/>
      <c r="AC195" s="69"/>
      <c r="AD195" s="69"/>
      <c r="AE195" s="69"/>
      <c r="AF195" s="69"/>
      <c r="AG195" s="348"/>
    </row>
    <row r="196" spans="1:33" s="308" customFormat="1" ht="12.75" hidden="1" customHeight="1" x14ac:dyDescent="0.15">
      <c r="A196" s="304">
        <v>64</v>
      </c>
      <c r="B196" s="349" t="s">
        <v>647</v>
      </c>
      <c r="C196" s="308" t="s">
        <v>613</v>
      </c>
      <c r="D196" s="305">
        <f>IF(ISERROR(HLOOKUP(J196,$Q$48:$AB$49,2)),0,HLOOKUP(J196,$Q$48:$AB$49,2))</f>
        <v>0</v>
      </c>
      <c r="E196" s="305">
        <f>IF(ISERROR(HLOOKUP(K196,$Q$48:$AB$49,2)),0,HLOOKUP(K196,$Q$48:$AB$49,2))</f>
        <v>0</v>
      </c>
      <c r="F196" s="305">
        <f>IF(ISERROR(HLOOKUP(L196,$Q$48:$AB$49,2)),0,HLOOKUP(L196,$Q$48:$AB$49,2))</f>
        <v>0</v>
      </c>
      <c r="G196" s="350">
        <f>SUM($F$30:$F$33)+$O$196</f>
        <v>0</v>
      </c>
      <c r="H196" s="350">
        <f>$G$196+$J$51</f>
        <v>0</v>
      </c>
      <c r="I196" s="350">
        <f>$G$196+$J$51+$J$60</f>
        <v>0</v>
      </c>
      <c r="J196" s="351">
        <f t="shared" si="15"/>
        <v>0</v>
      </c>
      <c r="K196" s="351">
        <f t="shared" si="16"/>
        <v>0</v>
      </c>
      <c r="L196" s="351">
        <f t="shared" si="17"/>
        <v>0</v>
      </c>
      <c r="M196" s="352" t="s">
        <v>662</v>
      </c>
      <c r="N196" s="310">
        <f>SUM($F$27:$F$29)</f>
        <v>0</v>
      </c>
      <c r="O196" s="309">
        <f>IF($N$196&gt;365,365,$N$196)</f>
        <v>0</v>
      </c>
      <c r="P196" s="353"/>
      <c r="Q196" s="353"/>
      <c r="AC196" s="354"/>
      <c r="AD196" s="354"/>
      <c r="AE196" s="354"/>
      <c r="AF196" s="354"/>
      <c r="AG196" s="354"/>
    </row>
    <row r="197" spans="1:33" ht="12.75" hidden="1" customHeight="1" x14ac:dyDescent="0.15">
      <c r="A197" s="259">
        <v>65</v>
      </c>
      <c r="B197" s="345" t="s">
        <v>648</v>
      </c>
      <c r="C197" s="21" t="s">
        <v>547</v>
      </c>
      <c r="D197" s="104">
        <f>IF(ISERROR(HLOOKUP(J197,$Q$73:$AB$74,2)),0,HLOOKUP(J197,$Q$73:$AB$74,2))</f>
        <v>0</v>
      </c>
      <c r="E197" s="105">
        <f>IF(ISERROR(HLOOKUP(K197,$Q$73:$AB$74,2)),0,HLOOKUP(K197,$Q$73:$AB$74,2))</f>
        <v>0</v>
      </c>
      <c r="F197" s="106">
        <f>IF(ISERROR(HLOOKUP(L197,$Q$73:$AB$74,2)),0,HLOOKUP(L197,$Q$73:$AB$74,2))</f>
        <v>0</v>
      </c>
      <c r="G197" s="355">
        <f>SUM($F$27:$F$32)</f>
        <v>0</v>
      </c>
      <c r="H197" s="355">
        <f>SUM($F$27:$F$32)+$J$51</f>
        <v>0</v>
      </c>
      <c r="I197" s="355">
        <f>SUM($F$27:$F$32)+$J$51+$J$60</f>
        <v>0</v>
      </c>
      <c r="J197" s="21">
        <f t="shared" si="15"/>
        <v>0</v>
      </c>
      <c r="K197" s="21">
        <f t="shared" si="16"/>
        <v>0</v>
      </c>
      <c r="L197" s="21">
        <f t="shared" si="17"/>
        <v>0</v>
      </c>
      <c r="M197" s="346" t="s">
        <v>662</v>
      </c>
      <c r="P197" s="44"/>
      <c r="Q197" s="44"/>
      <c r="AC197" s="69"/>
      <c r="AD197" s="69"/>
      <c r="AE197" s="69"/>
      <c r="AF197" s="69"/>
      <c r="AG197" s="348"/>
    </row>
    <row r="198" spans="1:33" ht="12.75" hidden="1" customHeight="1" x14ac:dyDescent="0.15">
      <c r="A198" s="259">
        <v>66</v>
      </c>
      <c r="B198" s="345" t="s">
        <v>649</v>
      </c>
      <c r="C198" s="21" t="s">
        <v>613</v>
      </c>
      <c r="D198" s="104">
        <f>IF(ISERROR(HLOOKUP(J198,$Q$39:$Z$40,2)),0,HLOOKUP(J198,$Q$39:$Z$40,2))</f>
        <v>0</v>
      </c>
      <c r="E198" s="104">
        <f>IF(ISERROR(HLOOKUP(K198,$Q$39:$Z$40,2)),0,HLOOKUP(K198,$Q$39:$Z$40,2))</f>
        <v>0</v>
      </c>
      <c r="F198" s="104">
        <f>IF(ISERROR(HLOOKUP(L198,$Q$39:$Z$40,2)),0,HLOOKUP(L198,$Q$39:$Z$40,2))</f>
        <v>0</v>
      </c>
      <c r="G198" s="355">
        <f>SUM($F$30:$F$32)</f>
        <v>0</v>
      </c>
      <c r="H198" s="355">
        <f>SUM($F$30:$F$32)+$J$51</f>
        <v>0</v>
      </c>
      <c r="I198" s="355">
        <f>SUM($F$30:$F$32)+$J$51+$J$60</f>
        <v>0</v>
      </c>
      <c r="J198" s="356">
        <f t="shared" si="15"/>
        <v>0</v>
      </c>
      <c r="K198" s="356">
        <f t="shared" si="16"/>
        <v>0</v>
      </c>
      <c r="L198" s="356">
        <f t="shared" si="17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348"/>
    </row>
    <row r="199" spans="1:33" ht="12.75" hidden="1" customHeight="1" x14ac:dyDescent="0.15">
      <c r="A199" s="259">
        <v>67</v>
      </c>
      <c r="B199" s="345" t="s">
        <v>650</v>
      </c>
      <c r="C199" s="21" t="s">
        <v>613</v>
      </c>
      <c r="D199" s="104">
        <f>IF(ISERROR(HLOOKUP(J199,$Q$51:$Y$52,2)),0,HLOOKUP(J199,$Q$51:$Y$52,2))</f>
        <v>0</v>
      </c>
      <c r="E199" s="104">
        <f>IF(ISERROR(HLOOKUP(K199,$Q$51:$Y$52,2)),0,HLOOKUP(K199,$Q$51:$Y$52,2))</f>
        <v>0</v>
      </c>
      <c r="F199" s="104">
        <f>IF(ISERROR(HLOOKUP(L199,$Q$51:$Y$52,2)),0,HLOOKUP(L199,$Q$51:$Y$52,2))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15"/>
        <v>0</v>
      </c>
      <c r="K199" s="21">
        <f t="shared" si="16"/>
        <v>0</v>
      </c>
      <c r="L199" s="21">
        <f t="shared" si="17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68</v>
      </c>
      <c r="B200" s="349" t="s">
        <v>651</v>
      </c>
      <c r="C200" s="308" t="s">
        <v>547</v>
      </c>
      <c r="D200" s="305">
        <f>IF(ISERROR(HLOOKUP(J200,$Q$73:$W$74,2)),0,HLOOKUP(J200,$Q$73:$W$74,2))</f>
        <v>0</v>
      </c>
      <c r="E200" s="305">
        <f>IF(ISERROR(HLOOKUP(K200,$Q$73:$W$74,2)),0,HLOOKUP(K200,$Q$73:$W$74,2))</f>
        <v>0</v>
      </c>
      <c r="F200" s="305">
        <f>IF(ISERROR(HLOOKUP(L200,$Q$73:$W$74,2)),0,HLOOKUP(L200,$Q$73:$W$74,2))</f>
        <v>0</v>
      </c>
      <c r="G200" s="350">
        <f>$N$200</f>
        <v>0</v>
      </c>
      <c r="H200" s="350">
        <f>$G$200+$J$51</f>
        <v>0</v>
      </c>
      <c r="I200" s="350">
        <f>$G$200+$J$51+$J$60</f>
        <v>0</v>
      </c>
      <c r="J200" s="308">
        <f t="shared" si="15"/>
        <v>0</v>
      </c>
      <c r="K200" s="308">
        <f t="shared" si="16"/>
        <v>0</v>
      </c>
      <c r="L200" s="308">
        <f t="shared" si="17"/>
        <v>0</v>
      </c>
      <c r="M200" s="352" t="s">
        <v>662</v>
      </c>
      <c r="N200" s="310">
        <f>SUM(F30:F32)</f>
        <v>0</v>
      </c>
      <c r="O200" s="309"/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69</v>
      </c>
      <c r="B201" s="345" t="s">
        <v>652</v>
      </c>
      <c r="C201" s="21" t="s">
        <v>613</v>
      </c>
      <c r="D201" s="104">
        <f>IF(ISERROR(HLOOKUP(J201,$Q$39:$Z$40,2)),0,HLOOKUP(J201,$Q$39:$Z$40,2))</f>
        <v>0</v>
      </c>
      <c r="E201" s="104">
        <f>IF(ISERROR(HLOOKUP(K201,$Q$39:$Z$40,2)),0,HLOOKUP(K201,$Q$39:$Z$40,2))</f>
        <v>0</v>
      </c>
      <c r="F201" s="104">
        <f>IF(ISERROR(HLOOKUP(L201,$Q$39:$Z$40,2)),0,HLOOKUP(L201,$Q$39:$Z$40,2))</f>
        <v>0</v>
      </c>
      <c r="G201" s="396">
        <f>SUM($F$30:$F$32)</f>
        <v>0</v>
      </c>
      <c r="H201" s="103">
        <f>SUM($F$30:$F$32)+$J$51</f>
        <v>0</v>
      </c>
      <c r="I201" s="103">
        <f>SUM($F$30:$F$32)+$J$51+$J$60</f>
        <v>0</v>
      </c>
      <c r="J201" s="21">
        <f t="shared" si="15"/>
        <v>0</v>
      </c>
      <c r="K201" s="21">
        <f t="shared" si="16"/>
        <v>0</v>
      </c>
      <c r="L201" s="21">
        <f t="shared" si="17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69"/>
    </row>
    <row r="202" spans="1:33" ht="13.5" hidden="1" x14ac:dyDescent="0.15">
      <c r="A202" s="259">
        <v>70</v>
      </c>
      <c r="B202" s="345" t="s">
        <v>653</v>
      </c>
      <c r="C202" s="21" t="s">
        <v>613</v>
      </c>
      <c r="D202" s="104">
        <f>IF(ISERROR(HLOOKUP(J202,$Q$48:$AB$49,2)),0,HLOOKUP(J202,$Q$48:$AB$49,2))</f>
        <v>0</v>
      </c>
      <c r="E202" s="104">
        <f>IF(ISERROR(HLOOKUP(K202,$Q$48:$AB$49,2)),0,HLOOKUP(K202,$Q$48:$AB$49,2))</f>
        <v>0</v>
      </c>
      <c r="F202" s="104">
        <f>IF(ISERROR(HLOOKUP(L202,$Q$48:$AB$49,2)),0,HLOOKUP(L202,$Q$48:$AB$49,2))</f>
        <v>0</v>
      </c>
      <c r="G202" s="396">
        <f>SUM($F$30:$F$32)</f>
        <v>0</v>
      </c>
      <c r="H202" s="103">
        <f>SUM($F$30:$F$32)+$J$51</f>
        <v>0</v>
      </c>
      <c r="I202" s="103">
        <f>SUM($F$30:$F$32)+$J$51+$J$60</f>
        <v>0</v>
      </c>
      <c r="J202" s="21">
        <f t="shared" si="15"/>
        <v>0</v>
      </c>
      <c r="K202" s="21">
        <f t="shared" si="16"/>
        <v>0</v>
      </c>
      <c r="L202" s="21">
        <f t="shared" si="17"/>
        <v>0</v>
      </c>
      <c r="M202" s="346" t="s">
        <v>662</v>
      </c>
      <c r="P202" s="44"/>
      <c r="Q202" s="44"/>
    </row>
    <row r="203" spans="1:33" ht="13.5" hidden="1" x14ac:dyDescent="0.15">
      <c r="A203" s="259">
        <v>71</v>
      </c>
      <c r="B203" s="345" t="s">
        <v>654</v>
      </c>
      <c r="C203" s="21" t="s">
        <v>613</v>
      </c>
      <c r="D203" s="104">
        <f>IF(ISERROR(HLOOKUP(J203,$Q$48:$AA$49,2)),0,HLOOKUP(J203,$Q$48:$AA$49,2))</f>
        <v>0</v>
      </c>
      <c r="E203" s="104">
        <f>IF(ISERROR(HLOOKUP(K203,$Q$48:$AA$49,2)),0,HLOOKUP(K203,$Q$48:$AA$49,2))</f>
        <v>0</v>
      </c>
      <c r="F203" s="104">
        <f>IF(ISERROR(HLOOKUP(L203,$Q$48:$AA$49,2)),0,HLOOKUP(L203,$Q$48:$AA$49,2))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15"/>
        <v>0</v>
      </c>
      <c r="K203" s="21">
        <f t="shared" si="16"/>
        <v>0</v>
      </c>
      <c r="L203" s="21">
        <f t="shared" si="17"/>
        <v>0</v>
      </c>
      <c r="M203" s="346" t="s">
        <v>662</v>
      </c>
      <c r="P203" s="44"/>
      <c r="Q203" s="44"/>
    </row>
    <row r="204" spans="1:33" ht="13.5" hidden="1" x14ac:dyDescent="0.15">
      <c r="A204" s="259">
        <v>72</v>
      </c>
      <c r="B204" s="345" t="s">
        <v>655</v>
      </c>
      <c r="C204" s="21" t="s">
        <v>527</v>
      </c>
      <c r="D204" s="104">
        <f>IF(ISERROR(HLOOKUP(J204,$Q$54:$AR$55,2)),0,HLOOKUP(J204,$Q$54:$AR$55,2))</f>
        <v>0</v>
      </c>
      <c r="E204" s="104">
        <f>IF(ISERROR(HLOOKUP(K204,$Q$54:$AR$55,2)),0,HLOOKUP(K204,$Q$54:$AR$55,2))</f>
        <v>0</v>
      </c>
      <c r="F204" s="104">
        <f>IF(ISERROR(HLOOKUP(L204,$Q$54:$AR$55,2)),0,HLOOKUP(L204,$Q$54:$AR$55,2))</f>
        <v>0</v>
      </c>
      <c r="G204" s="396">
        <f>SUM($F$27:$F$32)</f>
        <v>0</v>
      </c>
      <c r="H204" s="103">
        <f>SUM($F$27:$F$32)+$J$51</f>
        <v>0</v>
      </c>
      <c r="I204" s="103">
        <f>SUM($F$27:$F$32)+$J$51+$J$60</f>
        <v>0</v>
      </c>
      <c r="J204" s="21">
        <f t="shared" si="15"/>
        <v>0</v>
      </c>
      <c r="K204" s="21">
        <f t="shared" si="16"/>
        <v>0</v>
      </c>
      <c r="L204" s="21">
        <f t="shared" si="17"/>
        <v>0</v>
      </c>
      <c r="M204" s="346" t="s">
        <v>662</v>
      </c>
      <c r="P204" s="44"/>
      <c r="Q204" s="44"/>
    </row>
    <row r="205" spans="1:33" ht="13.5" hidden="1" x14ac:dyDescent="0.15">
      <c r="A205" s="259">
        <v>73</v>
      </c>
      <c r="B205" s="345" t="s">
        <v>663</v>
      </c>
      <c r="C205" s="21" t="s">
        <v>527</v>
      </c>
      <c r="D205" s="104">
        <f t="shared" ref="D205:F206" si="18">IF(ISERROR(HLOOKUP(J205,$Q$26:$AY$27,2)),0,HLOOKUP(J205,$Q$26:$AY$27,2))</f>
        <v>0</v>
      </c>
      <c r="E205" s="104">
        <f t="shared" si="18"/>
        <v>0</v>
      </c>
      <c r="F205" s="104">
        <f t="shared" si="18"/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15"/>
        <v>0</v>
      </c>
      <c r="K205" s="21">
        <f t="shared" si="16"/>
        <v>0</v>
      </c>
      <c r="L205" s="21">
        <f t="shared" si="17"/>
        <v>0</v>
      </c>
      <c r="M205" s="346" t="s">
        <v>662</v>
      </c>
      <c r="P205" s="44"/>
      <c r="Q205" s="44"/>
    </row>
    <row r="206" spans="1:33" ht="13.5" hidden="1" x14ac:dyDescent="0.15">
      <c r="A206" s="259">
        <v>74</v>
      </c>
      <c r="B206" s="345" t="s">
        <v>664</v>
      </c>
      <c r="C206" s="21" t="s">
        <v>527</v>
      </c>
      <c r="D206" s="104">
        <f t="shared" si="18"/>
        <v>0</v>
      </c>
      <c r="E206" s="104">
        <f t="shared" si="18"/>
        <v>0</v>
      </c>
      <c r="F206" s="104">
        <f t="shared" si="18"/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15"/>
        <v>0</v>
      </c>
      <c r="K206" s="21">
        <f t="shared" si="16"/>
        <v>0</v>
      </c>
      <c r="L206" s="21">
        <f t="shared" si="17"/>
        <v>0</v>
      </c>
      <c r="M206" s="346" t="s">
        <v>662</v>
      </c>
      <c r="P206" s="44"/>
      <c r="Q206" s="44"/>
    </row>
    <row r="207" spans="1:33" ht="13.5" hidden="1" x14ac:dyDescent="0.15">
      <c r="A207" s="259">
        <v>75</v>
      </c>
      <c r="B207" s="345" t="s">
        <v>665</v>
      </c>
      <c r="C207" s="21" t="s">
        <v>547</v>
      </c>
      <c r="D207" s="104">
        <f>IF(ISERROR(HLOOKUP(J207,$Q$73:$W$74,2)),0,HLOOKUP(J207,$Q$73:$W$74,2))</f>
        <v>0</v>
      </c>
      <c r="E207" s="104">
        <f>IF(ISERROR(HLOOKUP(K207,$Q$73:$W$74,2)),0,HLOOKUP(K207,$Q$73:$W$74,2))</f>
        <v>0</v>
      </c>
      <c r="F207" s="104">
        <f>IF(ISERROR(HLOOKUP(L207,$Q$73:$W$74,2)),0,HLOOKUP(L207,$Q$73:$W$74,2))</f>
        <v>0</v>
      </c>
      <c r="G207" s="396">
        <f>SUM($F$27:$F$32)</f>
        <v>0</v>
      </c>
      <c r="H207" s="103">
        <f>SUM($F$27:$F$32)+$J$51</f>
        <v>0</v>
      </c>
      <c r="I207" s="103">
        <f>SUM($F$27:$F$32)+$J$51+$J$60</f>
        <v>0</v>
      </c>
      <c r="J207" s="21">
        <f t="shared" si="15"/>
        <v>0</v>
      </c>
      <c r="K207" s="21">
        <f t="shared" si="16"/>
        <v>0</v>
      </c>
      <c r="L207" s="21">
        <f t="shared" si="17"/>
        <v>0</v>
      </c>
      <c r="M207" s="346" t="s">
        <v>662</v>
      </c>
      <c r="P207" s="44"/>
      <c r="Q207" s="44"/>
    </row>
    <row r="208" spans="1:33" ht="13.5" hidden="1" x14ac:dyDescent="0.15">
      <c r="A208" s="259">
        <v>76</v>
      </c>
      <c r="B208" s="345" t="s">
        <v>689</v>
      </c>
      <c r="C208" s="21" t="s">
        <v>613</v>
      </c>
      <c r="D208" s="104">
        <f>IF(ISERROR(HLOOKUP(J208,$Q$48:$AB$49,2)),0,HLOOKUP(J208,$Q$48:$AB$49,2))</f>
        <v>0</v>
      </c>
      <c r="E208" s="104">
        <f>IF(ISERROR(HLOOKUP(K208,$Q$48:$AB$49,2)),0,HLOOKUP(K208,$Q$48:$AB$49,2))</f>
        <v>0</v>
      </c>
      <c r="F208" s="104">
        <f>IF(ISERROR(HLOOKUP(L208,$Q$48:$AB$49,2)),0,HLOOKUP(L208,$Q$48:$AB$49,2))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15"/>
        <v>0</v>
      </c>
      <c r="K208" s="21">
        <f t="shared" si="16"/>
        <v>0</v>
      </c>
      <c r="L208" s="21">
        <f t="shared" si="17"/>
        <v>0</v>
      </c>
      <c r="M208" s="346" t="s">
        <v>662</v>
      </c>
      <c r="P208" s="44"/>
      <c r="Q208" s="44"/>
    </row>
    <row r="209" spans="1:32" ht="13.5" hidden="1" x14ac:dyDescent="0.15">
      <c r="A209" s="259">
        <v>77</v>
      </c>
      <c r="B209" s="345" t="s">
        <v>666</v>
      </c>
      <c r="C209" s="21" t="s">
        <v>613</v>
      </c>
      <c r="D209" s="104">
        <f>IF(ISERROR(HLOOKUP(J209,$Q$48:$AA$49,2)),0,HLOOKUP(J209,$Q$48:$AA$49,2))</f>
        <v>0</v>
      </c>
      <c r="E209" s="104">
        <f>IF(ISERROR(HLOOKUP(K209,$Q$48:$AA$49,2)),0,HLOOKUP(K209,$Q$48:$AA$49,2))</f>
        <v>0</v>
      </c>
      <c r="F209" s="104">
        <f>IF(ISERROR(HLOOKUP(L209,$Q$48:$AA$49,2)),0,HLOOKUP(L209,$Q$48:$AA$49,2))</f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15"/>
        <v>0</v>
      </c>
      <c r="K209" s="21">
        <f t="shared" si="16"/>
        <v>0</v>
      </c>
      <c r="L209" s="21">
        <f t="shared" si="17"/>
        <v>0</v>
      </c>
      <c r="M209" s="346" t="s">
        <v>662</v>
      </c>
      <c r="P209" s="44"/>
      <c r="Q209" s="44"/>
    </row>
    <row r="210" spans="1:32" ht="13.5" hidden="1" x14ac:dyDescent="0.15">
      <c r="A210" s="259">
        <v>78</v>
      </c>
      <c r="B210" s="345" t="s">
        <v>667</v>
      </c>
      <c r="C210" s="21" t="s">
        <v>613</v>
      </c>
      <c r="D210" s="104">
        <f>IF(ISERROR(HLOOKUP(J210,$Q$57:$AA$58,2)),0,HLOOKUP(J210,$Q$57:$AA$58,2))</f>
        <v>0</v>
      </c>
      <c r="E210" s="104">
        <f>IF(ISERROR(HLOOKUP(K210,$Q$57:$AA$58,2)),0,HLOOKUP(K210,$Q$57:$AA$58,2))</f>
        <v>0</v>
      </c>
      <c r="F210" s="104">
        <f>IF(ISERROR(HLOOKUP(L210,$Q$57:$AA$58,2)),0,HLOOKUP(L210,$Q$57:$AA$58,2))</f>
        <v>0</v>
      </c>
      <c r="G210" s="396">
        <f>SUM($F$29:$F$32)</f>
        <v>0</v>
      </c>
      <c r="H210" s="103">
        <f>SUM($F$29:$F$32)+$J$51</f>
        <v>0</v>
      </c>
      <c r="I210" s="103">
        <f>SUM($F$29:$F$32)+$J$51+$J$60</f>
        <v>0</v>
      </c>
      <c r="J210" s="21">
        <f t="shared" si="15"/>
        <v>0</v>
      </c>
      <c r="K210" s="21">
        <f t="shared" si="16"/>
        <v>0</v>
      </c>
      <c r="L210" s="21">
        <f t="shared" si="17"/>
        <v>0</v>
      </c>
      <c r="M210" s="346" t="s">
        <v>662</v>
      </c>
      <c r="P210" s="44"/>
      <c r="Q210" s="44"/>
    </row>
    <row r="211" spans="1:32" s="308" customFormat="1" ht="13.5" hidden="1" x14ac:dyDescent="0.15">
      <c r="A211" s="304">
        <v>79</v>
      </c>
      <c r="B211" s="349" t="s">
        <v>668</v>
      </c>
      <c r="C211" s="308" t="s">
        <v>613</v>
      </c>
      <c r="D211" s="305">
        <f>IF(ISERROR(HLOOKUP(J211,$Q$39:$AA$40,2)),0,HLOOKUP(J211,$Q$39:$AA$40,2))</f>
        <v>0</v>
      </c>
      <c r="E211" s="305">
        <f>IF(ISERROR(HLOOKUP(K211,$Q$39:$AA$40,2)),0,HLOOKUP(K211,$Q$39:$AA$40,2))</f>
        <v>0</v>
      </c>
      <c r="F211" s="305">
        <f>IF(ISERROR(HLOOKUP(L211,$Q$39:$AA$40,2)),0,HLOOKUP(L211,$Q$39:$AA$40,2))</f>
        <v>0</v>
      </c>
      <c r="G211" s="399">
        <f>$N$211+$F$33</f>
        <v>0</v>
      </c>
      <c r="H211" s="307">
        <f>$G$211+$J$51</f>
        <v>0</v>
      </c>
      <c r="I211" s="307">
        <f>$N$211+$J$51+$J$60</f>
        <v>0</v>
      </c>
      <c r="J211" s="308">
        <f t="shared" si="15"/>
        <v>0</v>
      </c>
      <c r="K211" s="308">
        <f t="shared" si="16"/>
        <v>0</v>
      </c>
      <c r="L211" s="308">
        <f t="shared" si="17"/>
        <v>0</v>
      </c>
      <c r="M211" s="352" t="s">
        <v>662</v>
      </c>
      <c r="N211" s="308">
        <f>IF($C$30&gt;=$A$36,$E$30-$C$30+1,IF($C$31&gt;=$A$36,$E$31-$C$31+1,IF($C$32&gt;=$A$36,$E$32-$C$32+1,IF($E$30&lt;&gt;0,$E$30-$A$36+1,IF($E$31&lt;&gt;0,$E$31-$A$36+1,IF($E$32&lt;&gt;0,$E$32-$A$36+1,0))))))</f>
        <v>0</v>
      </c>
      <c r="O211" s="309"/>
      <c r="P211" s="353"/>
      <c r="Q211" s="353"/>
      <c r="AD211" s="310"/>
      <c r="AE211" s="310"/>
      <c r="AF211" s="310"/>
    </row>
    <row r="212" spans="1:32" ht="13.5" hidden="1" x14ac:dyDescent="0.15">
      <c r="A212" s="259">
        <v>80</v>
      </c>
      <c r="B212" s="345" t="s">
        <v>669</v>
      </c>
      <c r="C212" s="21" t="s">
        <v>547</v>
      </c>
      <c r="D212" s="104">
        <f>IF(ISERROR(HLOOKUP(J212,$Q$73:$V$74,2)),0,HLOOKUP(J212,$Q$73:$V$74,2))</f>
        <v>0</v>
      </c>
      <c r="E212" s="104">
        <f>IF(ISERROR(HLOOKUP(K212,$Q$73:$V$74,2)),0,HLOOKUP(K212,$Q$73:$V$74,2))</f>
        <v>0</v>
      </c>
      <c r="F212" s="104">
        <f>IF(ISERROR(HLOOKUP(L212,$Q$73:$V$74,2)),0,HLOOKUP(L212,$Q$73:$V$74,2))</f>
        <v>0</v>
      </c>
      <c r="G212" s="396">
        <f>SUM($F$27:$F$32)</f>
        <v>0</v>
      </c>
      <c r="H212" s="103">
        <f>SUM($F$27:$F$32)+$J$51</f>
        <v>0</v>
      </c>
      <c r="I212" s="103">
        <f>SUM($F$27:$F$32)+$J$51+$J$60</f>
        <v>0</v>
      </c>
      <c r="J212" s="21">
        <f t="shared" si="15"/>
        <v>0</v>
      </c>
      <c r="K212" s="21">
        <f t="shared" si="16"/>
        <v>0</v>
      </c>
      <c r="L212" s="21">
        <f t="shared" si="17"/>
        <v>0</v>
      </c>
      <c r="M212" s="346" t="s">
        <v>662</v>
      </c>
      <c r="P212" s="44"/>
      <c r="Q212" s="44"/>
    </row>
    <row r="213" spans="1:32" ht="13.5" hidden="1" x14ac:dyDescent="0.15">
      <c r="A213" s="259" t="s">
        <v>703</v>
      </c>
      <c r="B213" s="345" t="s">
        <v>701</v>
      </c>
      <c r="C213" s="21" t="s">
        <v>702</v>
      </c>
      <c r="D213" s="148">
        <f>IF(J213&lt;=10,0.1,IF(J213&lt;=20,0.2,0.3))</f>
        <v>0.1</v>
      </c>
      <c r="E213" s="148">
        <f>IF(K213&lt;=10,0.1,IF(K213&lt;=20,0.2,0.3))</f>
        <v>0.1</v>
      </c>
      <c r="F213" s="148">
        <f>IF(L213&lt;=10,0.1,IF(L213&lt;=20,0.2,0.3))</f>
        <v>0.1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15"/>
        <v>0</v>
      </c>
      <c r="K213" s="21">
        <f t="shared" si="16"/>
        <v>0</v>
      </c>
      <c r="L213" s="21">
        <f t="shared" si="17"/>
        <v>0</v>
      </c>
      <c r="M213" s="346" t="s">
        <v>662</v>
      </c>
      <c r="P213" s="44"/>
      <c r="Q213" s="44"/>
    </row>
    <row r="214" spans="1:32" ht="13.5" hidden="1" x14ac:dyDescent="0.15">
      <c r="A214" s="259">
        <v>81</v>
      </c>
      <c r="B214" s="345" t="s">
        <v>670</v>
      </c>
      <c r="C214" s="21" t="s">
        <v>547</v>
      </c>
      <c r="D214" s="104">
        <f>IF(ISERROR(HLOOKUP(J214,$Q$73:$W$74,2)),0,HLOOKUP(J214,$Q$73:$W$74,2))</f>
        <v>0</v>
      </c>
      <c r="E214" s="104">
        <f>IF(ISERROR(HLOOKUP(K214,$Q$73:$W$74,2)),0,HLOOKUP(K214,$Q$73:$W$74,2))</f>
        <v>0</v>
      </c>
      <c r="F214" s="104">
        <f>IF(ISERROR(HLOOKUP(L214,$Q$73:$W$74,2)),0,HLOOKUP(L214,$Q$73:$W$74,2))</f>
        <v>0</v>
      </c>
      <c r="G214" s="396">
        <f>SUM($F$27:$F$33)</f>
        <v>0</v>
      </c>
      <c r="H214" s="103">
        <f>SUM($F$27:$F$33)+$J$51</f>
        <v>0</v>
      </c>
      <c r="I214" s="103">
        <f>SUM($F$27:$F$33)+$J$51+$J$60</f>
        <v>0</v>
      </c>
      <c r="J214" s="21">
        <f t="shared" si="15"/>
        <v>0</v>
      </c>
      <c r="K214" s="21">
        <f t="shared" si="16"/>
        <v>0</v>
      </c>
      <c r="L214" s="21">
        <f t="shared" si="17"/>
        <v>0</v>
      </c>
      <c r="M214" s="346" t="s">
        <v>662</v>
      </c>
      <c r="P214" s="44"/>
      <c r="Q214" s="44"/>
    </row>
    <row r="215" spans="1:32" ht="13.5" hidden="1" x14ac:dyDescent="0.15">
      <c r="A215" s="259">
        <v>82</v>
      </c>
      <c r="B215" s="345" t="s">
        <v>671</v>
      </c>
      <c r="C215" s="21" t="s">
        <v>613</v>
      </c>
      <c r="D215" s="104">
        <f>IF(ISERROR(HLOOKUP(J215,$Q$42:$AA$43,2)),0,HLOOKUP(J215,$Q$42:$AA$43,2))</f>
        <v>0</v>
      </c>
      <c r="E215" s="104">
        <f>IF(ISERROR(HLOOKUP(K215,$Q$42:$AA$43,2)),0,HLOOKUP(K215,$Q$42:$AA$43,2))</f>
        <v>0</v>
      </c>
      <c r="F215" s="104">
        <f>IF(ISERROR(HLOOKUP(L215,$Q$42:$AA$43,2)),0,HLOOKUP(L215,$Q$42:$AA$43,2))</f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15"/>
        <v>0</v>
      </c>
      <c r="K215" s="21">
        <f t="shared" si="16"/>
        <v>0</v>
      </c>
      <c r="L215" s="21">
        <f t="shared" si="17"/>
        <v>0</v>
      </c>
      <c r="M215" s="346" t="s">
        <v>662</v>
      </c>
      <c r="P215" s="44"/>
      <c r="Q215" s="44"/>
    </row>
    <row r="216" spans="1:32" ht="13.5" hidden="1" x14ac:dyDescent="0.15">
      <c r="A216" s="259">
        <v>83</v>
      </c>
      <c r="B216" s="345" t="s">
        <v>672</v>
      </c>
      <c r="C216" s="21"/>
      <c r="E216" s="40"/>
      <c r="J216" s="21">
        <f t="shared" si="15"/>
        <v>0</v>
      </c>
      <c r="K216" s="21">
        <f t="shared" si="16"/>
        <v>0</v>
      </c>
      <c r="L216" s="21">
        <f t="shared" si="17"/>
        <v>0</v>
      </c>
      <c r="M216" s="346" t="s">
        <v>662</v>
      </c>
      <c r="P216" s="44"/>
      <c r="Q216" s="44"/>
    </row>
    <row r="217" spans="1:32" ht="13.5" hidden="1" x14ac:dyDescent="0.15">
      <c r="A217" s="259">
        <v>84</v>
      </c>
      <c r="B217" s="108" t="s">
        <v>673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15"/>
        <v>0</v>
      </c>
      <c r="K217" s="21">
        <f t="shared" si="16"/>
        <v>0</v>
      </c>
      <c r="L217" s="21">
        <f t="shared" si="17"/>
        <v>0</v>
      </c>
      <c r="M217" s="346" t="s">
        <v>662</v>
      </c>
      <c r="N217" s="104">
        <f>IF(ISERROR(HLOOKUP(L217,$Q$48:$AB$49,2)),0,HLOOKUP(L217,$Q$48:$AB$49,2))</f>
        <v>0</v>
      </c>
      <c r="P217" s="44"/>
      <c r="Q217" s="44"/>
    </row>
    <row r="218" spans="1:32" ht="13.5" hidden="1" x14ac:dyDescent="0.15">
      <c r="A218" s="259">
        <v>85</v>
      </c>
      <c r="B218" s="108" t="s">
        <v>674</v>
      </c>
      <c r="C218" s="21" t="s">
        <v>527</v>
      </c>
      <c r="D218" s="104">
        <f>IF(ISERROR(HLOOKUP(J218,$Q$35:$AY$36,2)),0,HLOOKUP(J218,$Q$35:$AY$36,2))</f>
        <v>0</v>
      </c>
      <c r="E218" s="104">
        <f>IF(ISERROR(HLOOKUP(K218,$Q$35:$AY$36,2)),0,HLOOKUP(K218,$Q$35:$AY$36,2))</f>
        <v>0</v>
      </c>
      <c r="F218" s="104">
        <f>IF(ISERROR(HLOOKUP(L218,$Q$35:$AY$36,2)),0,HLOOKUP(L218,$Q$35:$AY$36,2))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ref="J218:J225" si="19">ROUNDDOWN(G218/365,0)</f>
        <v>0</v>
      </c>
      <c r="K218" s="21">
        <f t="shared" ref="K218:K225" si="20">ROUNDDOWN(H218/365,0)</f>
        <v>0</v>
      </c>
      <c r="L218" s="21">
        <f t="shared" ref="L218:L225" si="21">ROUNDDOWN(I218/365,0)</f>
        <v>0</v>
      </c>
      <c r="M218" s="346" t="s">
        <v>662</v>
      </c>
      <c r="P218" s="44"/>
      <c r="Q218" s="44"/>
    </row>
    <row r="219" spans="1:32" ht="13.5" hidden="1" x14ac:dyDescent="0.15">
      <c r="A219" s="259">
        <v>86</v>
      </c>
      <c r="B219" s="108" t="s">
        <v>675</v>
      </c>
      <c r="C219" s="21" t="s">
        <v>613</v>
      </c>
      <c r="D219" s="104">
        <f>IF(ISERROR(HLOOKUP(J219,$Q$60:$AC$61,2)),0,HLOOKUP(J219,$Q$60:$AC$61,2))</f>
        <v>0</v>
      </c>
      <c r="E219" s="104">
        <f>IF(ISERROR(HLOOKUP(K219,$Q$60:$AC$61,2)),0,HLOOKUP(K219,$Q$60:$AC$61,2))</f>
        <v>0</v>
      </c>
      <c r="F219" s="104">
        <f>IF(ISERROR(HLOOKUP(L219,$Q$60:$AC$61,2)),0,HLOOKUP(L219,$Q$60:$AC$61,2))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19"/>
        <v>0</v>
      </c>
      <c r="K219" s="21">
        <f t="shared" si="20"/>
        <v>0</v>
      </c>
      <c r="L219" s="21">
        <f t="shared" si="21"/>
        <v>0</v>
      </c>
      <c r="M219" s="346" t="s">
        <v>662</v>
      </c>
      <c r="P219" s="44"/>
      <c r="Q219" s="44"/>
    </row>
    <row r="220" spans="1:32" ht="13.5" hidden="1" x14ac:dyDescent="0.15">
      <c r="A220" s="259">
        <v>87</v>
      </c>
      <c r="B220" s="108" t="s">
        <v>677</v>
      </c>
      <c r="C220" s="21"/>
      <c r="D220" s="21"/>
      <c r="J220" s="21">
        <f t="shared" si="19"/>
        <v>0</v>
      </c>
      <c r="K220" s="21">
        <f t="shared" si="20"/>
        <v>0</v>
      </c>
      <c r="L220" s="21">
        <f t="shared" si="21"/>
        <v>0</v>
      </c>
      <c r="M220" s="346" t="s">
        <v>662</v>
      </c>
      <c r="P220" s="44"/>
      <c r="Q220" s="44"/>
    </row>
    <row r="221" spans="1:32" ht="13.5" hidden="1" x14ac:dyDescent="0.15">
      <c r="A221" s="259">
        <v>88</v>
      </c>
      <c r="B221" s="108" t="s">
        <v>678</v>
      </c>
      <c r="C221" s="21" t="s">
        <v>613</v>
      </c>
      <c r="D221" s="104">
        <f>IF(ISERROR(HLOOKUP(J221,$Q$39:$AA$40,2)),0,HLOOKUP(J221,$Q$39:$AA$40,2))</f>
        <v>0</v>
      </c>
      <c r="E221" s="104">
        <f>IF(ISERROR(HLOOKUP(K221,$Q$39:$AA$40,2)),0,HLOOKUP(K221,$Q$39:$AA$40,2))</f>
        <v>0</v>
      </c>
      <c r="F221" s="104">
        <f>IF(ISERROR(HLOOKUP(L221,$Q$39:$AA$40,2)),0,HLOOKUP(L221,$Q$39:$AA$40,2))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19"/>
        <v>0</v>
      </c>
      <c r="K221" s="21">
        <f t="shared" si="20"/>
        <v>0</v>
      </c>
      <c r="L221" s="21">
        <f t="shared" si="21"/>
        <v>0</v>
      </c>
      <c r="M221" s="346" t="s">
        <v>662</v>
      </c>
      <c r="P221" s="44"/>
      <c r="Q221" s="44"/>
    </row>
    <row r="222" spans="1:32" ht="13.5" hidden="1" x14ac:dyDescent="0.15">
      <c r="A222" s="259">
        <v>89</v>
      </c>
      <c r="B222" s="108" t="s">
        <v>679</v>
      </c>
      <c r="C222" s="21" t="s">
        <v>613</v>
      </c>
      <c r="D222" s="104">
        <f>IF(ISERROR(HLOOKUP(J222,$Q$48:$V$49,2)),0,HLOOKUP(J222,$Q$48:$V$49,2))</f>
        <v>0</v>
      </c>
      <c r="E222" s="104">
        <f>IF(ISERROR(HLOOKUP(K222,$Q$48:$V$49,2)),0,HLOOKUP(K222,$Q$48:$V$49,2))</f>
        <v>0</v>
      </c>
      <c r="F222" s="104">
        <f>IF(ISERROR(HLOOKUP(L222,$Q$48:$V$49,2)),0,HLOOKUP(L222,$Q$48:$V$49,2))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19"/>
        <v>0</v>
      </c>
      <c r="K222" s="21">
        <f t="shared" si="20"/>
        <v>0</v>
      </c>
      <c r="L222" s="21">
        <f t="shared" si="21"/>
        <v>0</v>
      </c>
      <c r="M222" s="346" t="s">
        <v>662</v>
      </c>
      <c r="P222" s="44"/>
      <c r="Q222" s="44"/>
    </row>
    <row r="223" spans="1:32" ht="13.5" hidden="1" x14ac:dyDescent="0.15">
      <c r="A223" s="259">
        <v>90</v>
      </c>
      <c r="B223" s="108" t="s">
        <v>680</v>
      </c>
      <c r="C223" s="21" t="s">
        <v>527</v>
      </c>
      <c r="D223" s="104">
        <f>IF(ISERROR(HLOOKUP(J223,$Q$26:$AY$27,2)),0,HLOOKUP(J223,$Q$26:$AY$27,2))</f>
        <v>0</v>
      </c>
      <c r="E223" s="104">
        <f>IF(ISERROR(HLOOKUP(K223,$Q$26:$AY$27,2)),0,HLOOKUP(K223,$Q$26:$AY$27,2))</f>
        <v>0</v>
      </c>
      <c r="F223" s="104">
        <f>IF(ISERROR(HLOOKUP(L223,$Q$26:$AY$27,2)),0,HLOOKUP(L223,$Q$26:$AY$27,2))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19"/>
        <v>0</v>
      </c>
      <c r="K223" s="21">
        <f t="shared" si="20"/>
        <v>0</v>
      </c>
      <c r="L223" s="21">
        <f t="shared" si="21"/>
        <v>0</v>
      </c>
      <c r="M223" s="346" t="s">
        <v>662</v>
      </c>
      <c r="P223" s="44"/>
      <c r="Q223" s="44"/>
    </row>
    <row r="224" spans="1:32" ht="13.5" hidden="1" x14ac:dyDescent="0.15">
      <c r="A224" s="259">
        <v>91</v>
      </c>
      <c r="B224" s="108" t="s">
        <v>681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19"/>
        <v>0</v>
      </c>
      <c r="K224" s="21">
        <f t="shared" si="20"/>
        <v>0</v>
      </c>
      <c r="L224" s="21">
        <f t="shared" si="21"/>
        <v>0</v>
      </c>
      <c r="M224" s="346" t="s">
        <v>662</v>
      </c>
      <c r="P224" s="44"/>
      <c r="Q224" s="44"/>
    </row>
    <row r="225" spans="1:40" ht="13.5" hidden="1" x14ac:dyDescent="0.15">
      <c r="A225" s="259">
        <v>92</v>
      </c>
      <c r="B225" s="108" t="s">
        <v>682</v>
      </c>
      <c r="C225" s="21" t="s">
        <v>613</v>
      </c>
      <c r="D225" s="104">
        <f>IF(ISERROR(HLOOKUP(J225,$Q$42:$Z$43,2)),0,HLOOKUP(J225,$Q$42:$Z$43,2))</f>
        <v>0</v>
      </c>
      <c r="E225" s="104">
        <f>IF(ISERROR(HLOOKUP(K225,$Q$42:$Z$43,2)),0,HLOOKUP(K225,$Q$42:$Z$43,2))</f>
        <v>0</v>
      </c>
      <c r="F225" s="104">
        <f>IF(ISERROR(HLOOKUP(L225,$Q$42:$Z$43,2)),0,HLOOKUP(L225,$Q$42:$Z$43,2))</f>
        <v>0</v>
      </c>
      <c r="G225" s="396">
        <f>SUM($F$30:$F$32)</f>
        <v>0</v>
      </c>
      <c r="H225" s="103">
        <f>SUM($F$30:$F$32)+$J$51</f>
        <v>0</v>
      </c>
      <c r="I225" s="103">
        <f>SUM($F$30:$F$32)+$J$51+$J$60</f>
        <v>0</v>
      </c>
      <c r="J225" s="21">
        <f t="shared" si="19"/>
        <v>0</v>
      </c>
      <c r="K225" s="21">
        <f t="shared" si="20"/>
        <v>0</v>
      </c>
      <c r="L225" s="21">
        <f t="shared" si="21"/>
        <v>0</v>
      </c>
      <c r="M225" s="346" t="s">
        <v>662</v>
      </c>
      <c r="P225" s="44"/>
      <c r="Q225" s="44"/>
    </row>
    <row r="226" spans="1:40" ht="13.5" hidden="1" x14ac:dyDescent="0.15">
      <c r="B226" s="10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357"/>
      <c r="N226" s="54"/>
      <c r="O226" s="258"/>
      <c r="P226" s="44"/>
      <c r="Q226" s="44"/>
    </row>
    <row r="227" spans="1:40" ht="13.5" hidden="1" x14ac:dyDescent="0.15">
      <c r="B227" s="248" t="s">
        <v>720</v>
      </c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258"/>
    </row>
    <row r="228" spans="1:40" ht="13.5" hidden="1" x14ac:dyDescent="0.15">
      <c r="A228" s="259">
        <v>1</v>
      </c>
      <c r="B228" s="51" t="s">
        <v>550</v>
      </c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258"/>
    </row>
    <row r="229" spans="1:40" ht="13.5" hidden="1" x14ac:dyDescent="0.15">
      <c r="A229" s="259" t="s">
        <v>721</v>
      </c>
      <c r="B229" s="51" t="s">
        <v>615</v>
      </c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58"/>
    </row>
    <row r="230" spans="1:40" ht="13.5" hidden="1" x14ac:dyDescent="0.15">
      <c r="A230" s="259">
        <v>2</v>
      </c>
      <c r="B230" s="338" t="s">
        <v>617</v>
      </c>
      <c r="C230" s="109"/>
      <c r="D230" s="109"/>
      <c r="E230" s="110"/>
      <c r="F230" s="358"/>
      <c r="G230" s="111"/>
      <c r="H230" s="111"/>
      <c r="I230" s="111"/>
      <c r="J230" s="46"/>
      <c r="K230" s="46"/>
      <c r="L230" s="46"/>
      <c r="M230" s="46"/>
      <c r="N230" s="9"/>
      <c r="O230" s="258"/>
    </row>
    <row r="231" spans="1:40" ht="13.5" hidden="1" x14ac:dyDescent="0.15">
      <c r="A231" s="259">
        <v>3</v>
      </c>
      <c r="B231" s="345" t="s">
        <v>645</v>
      </c>
      <c r="C231" s="104"/>
      <c r="D231" s="105"/>
      <c r="E231" s="106"/>
      <c r="F231" s="47"/>
      <c r="G231" s="47"/>
      <c r="H231" s="47"/>
      <c r="I231" s="47"/>
      <c r="J231" s="46"/>
      <c r="K231" s="46"/>
      <c r="L231" s="46"/>
      <c r="M231" s="46"/>
      <c r="N231" s="46"/>
      <c r="O231" s="258"/>
    </row>
    <row r="232" spans="1:40" ht="13.5" hidden="1" x14ac:dyDescent="0.15">
      <c r="A232" s="259">
        <v>4</v>
      </c>
      <c r="B232" s="338" t="s">
        <v>618</v>
      </c>
      <c r="C232" s="104"/>
      <c r="D232" s="104"/>
      <c r="E232" s="104"/>
      <c r="F232" s="112"/>
      <c r="G232" s="112"/>
      <c r="H232" s="112"/>
      <c r="I232" s="112"/>
      <c r="J232" s="46"/>
      <c r="K232" s="46"/>
      <c r="L232" s="46"/>
      <c r="M232" s="46"/>
      <c r="N232" s="46"/>
      <c r="O232" s="258"/>
    </row>
    <row r="233" spans="1:40" ht="13.5" hidden="1" x14ac:dyDescent="0.15">
      <c r="A233" s="259">
        <v>5</v>
      </c>
      <c r="B233" s="345" t="s">
        <v>646</v>
      </c>
      <c r="C233" s="104"/>
      <c r="D233" s="104"/>
      <c r="E233" s="104"/>
      <c r="F233" s="112"/>
      <c r="G233" s="112"/>
      <c r="H233" s="112"/>
      <c r="I233" s="112"/>
      <c r="J233" s="46"/>
      <c r="K233" s="46"/>
      <c r="L233" s="46"/>
      <c r="M233" s="46"/>
      <c r="N233" s="46"/>
      <c r="O233" s="258"/>
    </row>
    <row r="234" spans="1:40" ht="13.5" hidden="1" x14ac:dyDescent="0.15">
      <c r="A234" s="259">
        <v>6</v>
      </c>
      <c r="B234" s="345" t="s">
        <v>647</v>
      </c>
      <c r="C234" s="104"/>
      <c r="D234" s="104"/>
      <c r="E234" s="104"/>
      <c r="F234" s="112"/>
      <c r="G234" s="112"/>
      <c r="H234" s="112"/>
      <c r="I234" s="112"/>
      <c r="J234" s="46"/>
      <c r="K234" s="46"/>
      <c r="L234" s="46"/>
      <c r="M234" s="46"/>
      <c r="N234" s="46"/>
      <c r="O234" s="258"/>
    </row>
    <row r="235" spans="1:40" ht="13.5" hidden="1" x14ac:dyDescent="0.15">
      <c r="A235" s="259">
        <v>7</v>
      </c>
      <c r="B235" s="51" t="s">
        <v>551</v>
      </c>
      <c r="C235" s="104"/>
      <c r="D235" s="104"/>
      <c r="E235" s="104"/>
      <c r="F235" s="112"/>
      <c r="G235" s="112"/>
      <c r="H235" s="112"/>
      <c r="I235" s="112"/>
      <c r="J235" s="46"/>
      <c r="K235" s="46"/>
      <c r="L235" s="46"/>
      <c r="M235" s="46"/>
      <c r="N235" s="46"/>
      <c r="O235" s="258"/>
    </row>
    <row r="236" spans="1:40" ht="13.5" hidden="1" x14ac:dyDescent="0.15">
      <c r="A236" s="259">
        <v>8</v>
      </c>
      <c r="B236" s="51" t="s">
        <v>552</v>
      </c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258"/>
    </row>
    <row r="237" spans="1:40" ht="13.5" hidden="1" x14ac:dyDescent="0.15">
      <c r="A237" s="259">
        <v>9</v>
      </c>
      <c r="B237" s="51" t="s">
        <v>553</v>
      </c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58"/>
      <c r="AH237" s="69"/>
      <c r="AI237" s="69"/>
      <c r="AJ237" s="69"/>
      <c r="AK237" s="69"/>
      <c r="AL237" s="69"/>
      <c r="AM237" s="69"/>
      <c r="AN237" s="69"/>
    </row>
    <row r="238" spans="1:40" ht="13.5" hidden="1" x14ac:dyDescent="0.15">
      <c r="A238" s="259" t="s">
        <v>722</v>
      </c>
      <c r="B238" s="51" t="s">
        <v>616</v>
      </c>
      <c r="C238" s="109"/>
      <c r="D238" s="109"/>
      <c r="E238" s="110"/>
      <c r="F238" s="358"/>
      <c r="G238" s="111"/>
      <c r="H238" s="111"/>
      <c r="I238" s="111"/>
      <c r="J238" s="46"/>
      <c r="K238" s="46"/>
      <c r="L238" s="46"/>
      <c r="M238" s="46"/>
      <c r="N238" s="9"/>
      <c r="O238" s="258"/>
      <c r="AH238" s="69"/>
      <c r="AI238" s="69"/>
      <c r="AJ238" s="69"/>
      <c r="AK238" s="69"/>
      <c r="AL238" s="69"/>
      <c r="AM238" s="69"/>
      <c r="AN238" s="69"/>
    </row>
    <row r="239" spans="1:40" ht="13.5" hidden="1" x14ac:dyDescent="0.15">
      <c r="A239" s="259">
        <v>10</v>
      </c>
      <c r="B239" s="338" t="s">
        <v>619</v>
      </c>
      <c r="C239" s="104"/>
      <c r="D239" s="105"/>
      <c r="E239" s="106"/>
      <c r="F239" s="46"/>
      <c r="G239" s="46"/>
      <c r="H239" s="46"/>
      <c r="I239" s="46"/>
      <c r="J239" s="46"/>
      <c r="K239" s="46"/>
      <c r="L239" s="46"/>
      <c r="M239" s="46"/>
      <c r="N239" s="46"/>
      <c r="O239" s="258"/>
      <c r="AH239" s="69"/>
      <c r="AI239" s="69"/>
      <c r="AJ239" s="69"/>
      <c r="AK239" s="69"/>
      <c r="AL239" s="69"/>
      <c r="AM239" s="69"/>
      <c r="AN239" s="69"/>
    </row>
    <row r="240" spans="1:40" ht="13.5" hidden="1" x14ac:dyDescent="0.15">
      <c r="A240" s="259">
        <v>11</v>
      </c>
      <c r="B240" s="345" t="s">
        <v>648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  <c r="AH240" s="69"/>
      <c r="AI240" s="69"/>
      <c r="AJ240" s="69"/>
      <c r="AK240" s="69"/>
      <c r="AL240" s="69"/>
      <c r="AM240" s="69"/>
      <c r="AN240" s="69"/>
    </row>
    <row r="241" spans="1:40" ht="13.5" hidden="1" x14ac:dyDescent="0.15">
      <c r="A241" s="259">
        <v>12</v>
      </c>
      <c r="B241" s="345" t="s">
        <v>649</v>
      </c>
      <c r="C241" s="104"/>
      <c r="D241" s="105"/>
      <c r="E241" s="106"/>
      <c r="F241" s="47"/>
      <c r="G241" s="111"/>
      <c r="H241" s="47"/>
      <c r="I241" s="47"/>
      <c r="J241" s="46"/>
      <c r="K241" s="46"/>
      <c r="L241" s="46"/>
      <c r="M241" s="46"/>
      <c r="N241" s="46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>
        <v>13</v>
      </c>
      <c r="B242" s="338" t="s">
        <v>620</v>
      </c>
      <c r="C242" s="104"/>
      <c r="D242" s="105"/>
      <c r="E242" s="106"/>
      <c r="F242" s="47"/>
      <c r="G242" s="111"/>
      <c r="H242" s="47"/>
      <c r="I242" s="47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14</v>
      </c>
      <c r="B243" s="345" t="s">
        <v>650</v>
      </c>
      <c r="C243" s="104"/>
      <c r="D243" s="105"/>
      <c r="E243" s="106"/>
      <c r="F243" s="47"/>
      <c r="G243" s="111"/>
      <c r="H243" s="47"/>
      <c r="I243" s="47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15</v>
      </c>
      <c r="B244" s="345" t="s">
        <v>651</v>
      </c>
      <c r="C244" s="104"/>
      <c r="D244" s="105"/>
      <c r="E244" s="106"/>
      <c r="F244" s="47"/>
      <c r="G244" s="111"/>
      <c r="H244" s="47"/>
      <c r="I244" s="47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16</v>
      </c>
      <c r="B245" s="339" t="s">
        <v>621</v>
      </c>
      <c r="C245" s="104"/>
      <c r="D245" s="105"/>
      <c r="E245" s="106"/>
      <c r="F245" s="112"/>
      <c r="G245" s="112"/>
      <c r="H245" s="112"/>
      <c r="I245" s="112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17</v>
      </c>
      <c r="B246" s="345" t="s">
        <v>652</v>
      </c>
      <c r="C246" s="104"/>
      <c r="D246" s="105"/>
      <c r="E246" s="106"/>
      <c r="F246" s="112"/>
      <c r="G246" s="112"/>
      <c r="H246" s="112"/>
      <c r="I246" s="112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18</v>
      </c>
      <c r="B247" s="345" t="s">
        <v>653</v>
      </c>
      <c r="C247" s="104"/>
      <c r="D247" s="104"/>
      <c r="E247" s="104"/>
      <c r="F247" s="112"/>
      <c r="G247" s="112"/>
      <c r="H247" s="112"/>
      <c r="I247" s="112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19</v>
      </c>
      <c r="B248" s="340" t="s">
        <v>622</v>
      </c>
      <c r="C248" s="104"/>
      <c r="D248" s="104"/>
      <c r="E248" s="104"/>
      <c r="F248" s="112"/>
      <c r="G248" s="112"/>
      <c r="H248" s="112"/>
      <c r="I248" s="112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20</v>
      </c>
      <c r="B249" s="345" t="s">
        <v>654</v>
      </c>
      <c r="C249" s="104"/>
      <c r="D249" s="104"/>
      <c r="E249" s="104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21</v>
      </c>
      <c r="B250" s="340" t="s">
        <v>623</v>
      </c>
      <c r="C250" s="104"/>
      <c r="D250" s="104"/>
      <c r="E250" s="104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22</v>
      </c>
      <c r="B251" s="345" t="s">
        <v>655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23</v>
      </c>
      <c r="B252" s="340" t="s">
        <v>624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24</v>
      </c>
      <c r="B253" s="340" t="s">
        <v>625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25</v>
      </c>
      <c r="B254" s="340" t="s">
        <v>626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26</v>
      </c>
      <c r="B255" s="51" t="s">
        <v>556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27</v>
      </c>
      <c r="B256" s="107" t="s">
        <v>549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28</v>
      </c>
      <c r="B257" s="340" t="s">
        <v>627</v>
      </c>
      <c r="C257" s="359"/>
      <c r="D257" s="111"/>
      <c r="E257" s="360"/>
      <c r="F257" s="112"/>
      <c r="G257" s="112"/>
      <c r="H257" s="112"/>
      <c r="I257" s="112"/>
      <c r="J257" s="46"/>
      <c r="K257" s="46"/>
      <c r="L257" s="46"/>
      <c r="M257" s="46"/>
      <c r="N257" s="361"/>
      <c r="O257" s="258"/>
    </row>
    <row r="258" spans="1:15" ht="13.5" hidden="1" x14ac:dyDescent="0.15">
      <c r="A258" s="259">
        <v>29</v>
      </c>
      <c r="B258" s="345" t="s">
        <v>663</v>
      </c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58"/>
    </row>
    <row r="259" spans="1:15" ht="13.5" hidden="1" x14ac:dyDescent="0.15">
      <c r="A259" s="259">
        <v>30</v>
      </c>
      <c r="B259" s="340" t="s">
        <v>628</v>
      </c>
      <c r="C259" s="109"/>
      <c r="D259" s="109"/>
      <c r="E259" s="110"/>
      <c r="F259" s="358"/>
      <c r="G259" s="111"/>
      <c r="H259" s="111"/>
      <c r="I259" s="111"/>
      <c r="J259" s="46"/>
      <c r="K259" s="46"/>
      <c r="L259" s="46"/>
      <c r="M259" s="46"/>
      <c r="N259" s="9"/>
      <c r="O259" s="258"/>
    </row>
    <row r="260" spans="1:15" ht="13.5" hidden="1" x14ac:dyDescent="0.15">
      <c r="A260" s="259">
        <v>31</v>
      </c>
      <c r="B260" s="51" t="s">
        <v>557</v>
      </c>
      <c r="C260" s="104"/>
      <c r="D260" s="105"/>
      <c r="E260" s="106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 t="s">
        <v>723</v>
      </c>
      <c r="B261" s="51" t="s">
        <v>614</v>
      </c>
      <c r="C261" s="104"/>
      <c r="D261" s="105"/>
      <c r="E261" s="106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32</v>
      </c>
      <c r="B262" s="345" t="s">
        <v>664</v>
      </c>
      <c r="C262" s="104"/>
      <c r="D262" s="105"/>
      <c r="E262" s="106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33</v>
      </c>
      <c r="B263" s="340" t="s">
        <v>629</v>
      </c>
      <c r="C263" s="104"/>
      <c r="D263" s="105"/>
      <c r="E263" s="106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34</v>
      </c>
      <c r="B264" s="345" t="s">
        <v>665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35</v>
      </c>
      <c r="B265" s="51" t="s">
        <v>559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36</v>
      </c>
      <c r="B266" s="51" t="s">
        <v>560</v>
      </c>
      <c r="C266" s="104"/>
      <c r="D266" s="104"/>
      <c r="E266" s="104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37</v>
      </c>
      <c r="B267" s="345" t="s">
        <v>689</v>
      </c>
      <c r="C267" s="104"/>
      <c r="D267" s="104"/>
      <c r="E267" s="104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38</v>
      </c>
      <c r="B268" s="345" t="s">
        <v>666</v>
      </c>
      <c r="C268" s="104"/>
      <c r="D268" s="104"/>
      <c r="E268" s="104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39</v>
      </c>
      <c r="B269" s="340" t="s">
        <v>630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40</v>
      </c>
      <c r="B270" s="340" t="s">
        <v>631</v>
      </c>
      <c r="C270" s="9"/>
      <c r="D270" s="9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41</v>
      </c>
      <c r="B271" s="51" t="s">
        <v>561</v>
      </c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42</v>
      </c>
      <c r="B272" s="345" t="s">
        <v>667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43</v>
      </c>
      <c r="B273" s="51" t="s">
        <v>562</v>
      </c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44</v>
      </c>
      <c r="B274" s="51" t="s">
        <v>563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45</v>
      </c>
      <c r="B275" s="51" t="s">
        <v>686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46</v>
      </c>
      <c r="B276" s="345" t="s">
        <v>668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47</v>
      </c>
      <c r="B277" s="345" t="s">
        <v>669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 t="s">
        <v>724</v>
      </c>
      <c r="B278" s="345" t="s">
        <v>701</v>
      </c>
      <c r="C278" s="9"/>
      <c r="D278" s="9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48</v>
      </c>
      <c r="B279" s="51" t="s">
        <v>564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49</v>
      </c>
      <c r="B280" s="345" t="s">
        <v>670</v>
      </c>
      <c r="C280" s="9"/>
      <c r="D280" s="9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50</v>
      </c>
      <c r="B281" s="340" t="s">
        <v>632</v>
      </c>
      <c r="C281" s="9"/>
      <c r="D281" s="9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51</v>
      </c>
      <c r="B282" s="51" t="s">
        <v>565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52</v>
      </c>
      <c r="B283" s="51" t="s">
        <v>566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53</v>
      </c>
      <c r="B284" s="51" t="s">
        <v>567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54</v>
      </c>
      <c r="B285" s="51" t="s">
        <v>568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55</v>
      </c>
      <c r="B286" s="51" t="s">
        <v>569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56</v>
      </c>
      <c r="B287" s="340" t="s">
        <v>633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57</v>
      </c>
      <c r="B288" s="51" t="s">
        <v>570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58</v>
      </c>
      <c r="B289" s="51" t="s">
        <v>571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59</v>
      </c>
      <c r="B290" s="345" t="s">
        <v>671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60</v>
      </c>
      <c r="B291" s="51" t="s">
        <v>572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61</v>
      </c>
      <c r="B292" s="51" t="s">
        <v>573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62</v>
      </c>
      <c r="B293" s="51" t="s">
        <v>574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63</v>
      </c>
      <c r="B294" s="345" t="s">
        <v>672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64</v>
      </c>
      <c r="B295" s="51" t="s">
        <v>580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65</v>
      </c>
      <c r="B296" s="51" t="s">
        <v>583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258"/>
    </row>
    <row r="297" spans="1:15" ht="13.5" hidden="1" x14ac:dyDescent="0.15">
      <c r="A297" s="259">
        <v>66</v>
      </c>
      <c r="B297" s="340" t="s">
        <v>634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258"/>
    </row>
    <row r="298" spans="1:15" ht="13.5" hidden="1" x14ac:dyDescent="0.15">
      <c r="A298" s="259">
        <v>67</v>
      </c>
      <c r="B298" s="51" t="s">
        <v>581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258"/>
    </row>
    <row r="299" spans="1:15" ht="13.5" hidden="1" x14ac:dyDescent="0.15">
      <c r="A299" s="259" t="s">
        <v>725</v>
      </c>
      <c r="B299" s="51" t="s">
        <v>684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258"/>
    </row>
    <row r="300" spans="1:15" ht="13.5" hidden="1" x14ac:dyDescent="0.15">
      <c r="A300" s="259">
        <v>68</v>
      </c>
      <c r="B300" s="108" t="s">
        <v>673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69</v>
      </c>
      <c r="B301" s="340" t="s">
        <v>635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70</v>
      </c>
      <c r="B302" s="108" t="s">
        <v>674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>
        <v>71</v>
      </c>
      <c r="B303" s="108" t="s">
        <v>675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72</v>
      </c>
      <c r="B304" s="108" t="s">
        <v>677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73</v>
      </c>
      <c r="B305" s="340" t="s">
        <v>636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74</v>
      </c>
      <c r="B306" s="108" t="s">
        <v>678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75</v>
      </c>
      <c r="B307" s="340" t="s">
        <v>637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76</v>
      </c>
      <c r="B308" s="108" t="s">
        <v>679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77</v>
      </c>
      <c r="B309" s="340" t="s">
        <v>638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78</v>
      </c>
      <c r="B310" s="108" t="s">
        <v>680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79</v>
      </c>
      <c r="B311" s="340" t="s">
        <v>639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80</v>
      </c>
      <c r="B312" s="340" t="s">
        <v>640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81</v>
      </c>
      <c r="B313" s="108" t="s">
        <v>681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82</v>
      </c>
      <c r="B314" s="51" t="s">
        <v>584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83</v>
      </c>
      <c r="B315" s="340" t="s">
        <v>683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84</v>
      </c>
      <c r="B316" s="340" t="s">
        <v>699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85</v>
      </c>
      <c r="B317" s="340" t="s">
        <v>641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86</v>
      </c>
      <c r="B318" s="340" t="s">
        <v>642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87</v>
      </c>
      <c r="B319" s="340" t="s">
        <v>643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88</v>
      </c>
      <c r="B320" s="340" t="s">
        <v>644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89</v>
      </c>
      <c r="B321" s="51" t="s">
        <v>585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90</v>
      </c>
      <c r="B322" s="108" t="s">
        <v>682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91</v>
      </c>
      <c r="B323" s="51" t="s">
        <v>586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 t="s">
        <v>726</v>
      </c>
      <c r="B324" s="51" t="s">
        <v>685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92</v>
      </c>
      <c r="B325" s="51" t="s">
        <v>588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B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B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B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B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</sheetData>
  <sheetProtection password="F44E" sheet="1" objects="1" scenarios="1"/>
  <mergeCells count="30">
    <mergeCell ref="B97:E97"/>
    <mergeCell ref="B126:N126"/>
    <mergeCell ref="C119:E119"/>
    <mergeCell ref="F119:H119"/>
    <mergeCell ref="K106:S106"/>
    <mergeCell ref="B106:J106"/>
    <mergeCell ref="I119:J119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F72:F74">
    <cfRule type="cellIs" dxfId="415" priority="1" stopIfTrue="1" operator="equal">
      <formula>"NADA A CUMPRIR"</formula>
    </cfRule>
    <cfRule type="cellIs" dxfId="414" priority="2" stopIfTrue="1" operator="equal">
      <formula>"NÃO CABE"</formula>
    </cfRule>
    <cfRule type="cellIs" dxfId="413" priority="3" stopIfTrue="1" operator="greaterThanOrEqual">
      <formula>0</formula>
    </cfRule>
  </conditionalFormatting>
  <conditionalFormatting sqref="E71">
    <cfRule type="cellIs" dxfId="412" priority="4" stopIfTrue="1" operator="equal">
      <formula>"NÃO ATENDE LIMITE MÍNIMO DE IDADE"</formula>
    </cfRule>
    <cfRule type="cellIs" dxfId="411" priority="5" stopIfTrue="1" operator="equal">
      <formula>"REANALISAR FUNDAMENTAÇÃO E/OU MODALIDADE"</formula>
    </cfRule>
    <cfRule type="cellIs" dxfId="410" priority="6" stopIfTrue="1" operator="equal">
      <formula>"ATENDE LIMITE MÍNIMO DE IDADE"</formula>
    </cfRule>
  </conditionalFormatting>
  <conditionalFormatting sqref="N69 N71">
    <cfRule type="cellIs" dxfId="409" priority="7" stopIfTrue="1" operator="equal">
      <formula>0</formula>
    </cfRule>
  </conditionalFormatting>
  <conditionalFormatting sqref="J96">
    <cfRule type="cellIs" dxfId="408" priority="8" stopIfTrue="1" operator="equal">
      <formula>"ATENDE TEMPO NO CARGO"</formula>
    </cfRule>
    <cfRule type="cellIs" dxfId="407" priority="9" stopIfTrue="1" operator="equal">
      <formula>"NÃO CUMPRE TEMPO NO CARGO"</formula>
    </cfRule>
  </conditionalFormatting>
  <conditionalFormatting sqref="K8">
    <cfRule type="expression" dxfId="406" priority="10" stopIfTrue="1">
      <formula>"SE($N$8=0)"</formula>
    </cfRule>
  </conditionalFormatting>
  <conditionalFormatting sqref="C73">
    <cfRule type="cellIs" dxfId="405" priority="11" stopIfTrue="1" operator="equal">
      <formula>"FALTA DATA"</formula>
    </cfRule>
  </conditionalFormatting>
  <conditionalFormatting sqref="M74">
    <cfRule type="cellIs" dxfId="404" priority="12" stopIfTrue="1" operator="equal">
      <formula>"ATENDE"</formula>
    </cfRule>
    <cfRule type="cellIs" dxfId="403" priority="13" stopIfTrue="1" operator="equal">
      <formula>"NÃO ATENDE"</formula>
    </cfRule>
    <cfRule type="cellIs" dxfId="402" priority="14" stopIfTrue="1" operator="equal">
      <formula>"NÃO CABE"</formula>
    </cfRule>
  </conditionalFormatting>
  <conditionalFormatting sqref="M73">
    <cfRule type="cellIs" dxfId="401" priority="15" stopIfTrue="1" operator="equal">
      <formula>"ATENDE"</formula>
    </cfRule>
    <cfRule type="cellIs" dxfId="400" priority="16" stopIfTrue="1" operator="equal">
      <formula>"NÃO ATENDE"</formula>
    </cfRule>
    <cfRule type="cellIs" dxfId="399" priority="17" stopIfTrue="1" operator="equal">
      <formula>"NÃO CABE"</formula>
    </cfRule>
  </conditionalFormatting>
  <conditionalFormatting sqref="M75 L77:M77 L78:L82">
    <cfRule type="cellIs" dxfId="398" priority="18" stopIfTrue="1" operator="equal">
      <formula>"ATENDE"</formula>
    </cfRule>
    <cfRule type="cellIs" dxfId="397" priority="19" stopIfTrue="1" operator="equal">
      <formula>"NÃO ATENDE"</formula>
    </cfRule>
    <cfRule type="cellIs" dxfId="396" priority="20" stopIfTrue="1" operator="equal">
      <formula>"OK"</formula>
    </cfRule>
  </conditionalFormatting>
  <conditionalFormatting sqref="K42">
    <cfRule type="expression" dxfId="395" priority="21" stopIfTrue="1">
      <formula>$E$42&lt;=0</formula>
    </cfRule>
  </conditionalFormatting>
  <conditionalFormatting sqref="M42">
    <cfRule type="expression" dxfId="394" priority="22" stopIfTrue="1">
      <formula>$E$42&lt;=0</formula>
    </cfRule>
  </conditionalFormatting>
  <conditionalFormatting sqref="M239:M257 M229:M235 M260:M283 C217:C219 C128:C173 N172:N173 C175:C194 C214:C215 C221:C225 C196:C212">
    <cfRule type="cellIs" dxfId="393" priority="23" stopIfTrue="1" operator="equal">
      <formula>"ANUÊNIO"</formula>
    </cfRule>
    <cfRule type="cellIs" dxfId="392" priority="24" stopIfTrue="1" operator="equal">
      <formula>"TRIÊNIO"</formula>
    </cfRule>
    <cfRule type="cellIs" dxfId="391" priority="25" stopIfTrue="1" operator="equal">
      <formula>"QUINQUÊNIO"</formula>
    </cfRule>
  </conditionalFormatting>
  <conditionalFormatting sqref="O70 I67">
    <cfRule type="cellIs" dxfId="390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600-000000000000}">
      <formula1>$O$2:$O$7</formula1>
    </dataValidation>
    <dataValidation type="list" allowBlank="1" showInputMessage="1" showErrorMessage="1" sqref="E2:I2" xr:uid="{00000000-0002-0000-0600-000001000000}">
      <formula1>$B$86:$B$94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U820"/>
  <sheetViews>
    <sheetView showGridLines="0" topLeftCell="A4" zoomScale="75" zoomScaleNormal="75" workbookViewId="0" xr3:uid="{85D5C41F-068E-5C55-9968-509E7C2A5619}">
      <selection activeCell="O15" sqref="O15"/>
    </sheetView>
  </sheetViews>
  <sheetFormatPr defaultColWidth="0" defaultRowHeight="14.25" zeroHeight="1" x14ac:dyDescent="0.2"/>
  <cols>
    <col min="1" max="1" width="10.785156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10.382812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24.27343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2" width="0" style="21" hidden="1" customWidth="1"/>
    <col min="253" max="253" width="5.796875" style="21" hidden="1" customWidth="1"/>
    <col min="254" max="16384" width="0" style="21" hidden="1"/>
  </cols>
  <sheetData>
    <row r="1" spans="1:255" ht="6" customHeight="1" x14ac:dyDescent="0.15">
      <c r="A1" s="295"/>
      <c r="BA1" s="80"/>
    </row>
    <row r="2" spans="1:255" x14ac:dyDescent="0.15">
      <c r="A2" s="295"/>
      <c r="B2" s="650" t="s">
        <v>435</v>
      </c>
      <c r="C2" s="651"/>
      <c r="D2" s="651" t="s">
        <v>433</v>
      </c>
      <c r="E2" s="1850" t="s">
        <v>450</v>
      </c>
      <c r="F2" s="1850"/>
      <c r="G2" s="1850"/>
      <c r="H2" s="1850"/>
      <c r="I2" s="1850"/>
      <c r="J2" s="652" t="s">
        <v>462</v>
      </c>
      <c r="K2" s="1939" t="s">
        <v>485</v>
      </c>
      <c r="L2" s="1940"/>
      <c r="M2" s="1940"/>
      <c r="N2" s="1941"/>
      <c r="O2" s="1052" t="s">
        <v>463</v>
      </c>
      <c r="P2" s="1067" t="s">
        <v>528</v>
      </c>
      <c r="Q2" s="1068" t="s">
        <v>533</v>
      </c>
      <c r="R2" s="1068" t="s">
        <v>532</v>
      </c>
      <c r="S2" s="972" t="s">
        <v>534</v>
      </c>
      <c r="T2" s="972" t="s">
        <v>535</v>
      </c>
      <c r="U2" s="972" t="s">
        <v>536</v>
      </c>
      <c r="V2" s="362"/>
      <c r="W2" s="362"/>
      <c r="X2" s="362"/>
      <c r="Y2" s="362"/>
      <c r="Z2" s="362"/>
      <c r="AA2" s="362"/>
      <c r="AB2" s="362"/>
      <c r="AC2" s="362"/>
      <c r="AD2" s="363"/>
      <c r="AE2" s="363"/>
      <c r="AF2" s="363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1069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362"/>
      <c r="DF2" s="362"/>
      <c r="DG2" s="362"/>
      <c r="DH2" s="362"/>
      <c r="DI2" s="362"/>
      <c r="DJ2" s="362"/>
      <c r="DK2" s="362"/>
      <c r="DL2" s="362"/>
      <c r="DM2" s="362"/>
      <c r="DN2" s="362"/>
      <c r="DO2" s="362"/>
      <c r="DP2" s="362"/>
      <c r="DQ2" s="362"/>
      <c r="DR2" s="362"/>
      <c r="DS2" s="362"/>
      <c r="DT2" s="362"/>
      <c r="DU2" s="362"/>
      <c r="DV2" s="362"/>
      <c r="DW2" s="362"/>
      <c r="DX2" s="362"/>
      <c r="DY2" s="362"/>
      <c r="DZ2" s="362"/>
      <c r="EA2" s="362"/>
      <c r="EB2" s="362"/>
      <c r="EC2" s="362"/>
      <c r="ED2" s="362"/>
      <c r="EE2" s="362"/>
      <c r="EF2" s="362"/>
      <c r="EG2" s="362"/>
      <c r="EH2" s="362"/>
      <c r="EI2" s="362"/>
      <c r="EJ2" s="362"/>
      <c r="EK2" s="362"/>
      <c r="EL2" s="362"/>
      <c r="EM2" s="362"/>
      <c r="EN2" s="362"/>
      <c r="EO2" s="362"/>
      <c r="EP2" s="362"/>
      <c r="EQ2" s="362"/>
      <c r="ER2" s="362"/>
      <c r="ES2" s="362"/>
      <c r="ET2" s="362"/>
      <c r="EU2" s="362"/>
      <c r="EV2" s="362"/>
      <c r="EW2" s="362"/>
      <c r="EX2" s="362"/>
      <c r="EY2" s="362"/>
      <c r="EZ2" s="362"/>
      <c r="FA2" s="362"/>
      <c r="FB2" s="362"/>
      <c r="FC2" s="362"/>
      <c r="FD2" s="362"/>
      <c r="FE2" s="362"/>
      <c r="FF2" s="362"/>
      <c r="FG2" s="362"/>
      <c r="FH2" s="362"/>
      <c r="FI2" s="362"/>
      <c r="FJ2" s="362"/>
      <c r="FK2" s="362"/>
      <c r="FL2" s="362"/>
      <c r="FM2" s="362"/>
      <c r="FN2" s="362"/>
      <c r="FO2" s="362"/>
      <c r="FP2" s="362"/>
      <c r="FQ2" s="362"/>
      <c r="FR2" s="362"/>
      <c r="FS2" s="362"/>
      <c r="FT2" s="362"/>
      <c r="FU2" s="362"/>
      <c r="FV2" s="362"/>
      <c r="FW2" s="362"/>
      <c r="FX2" s="362"/>
      <c r="FY2" s="362"/>
      <c r="FZ2" s="362"/>
      <c r="GA2" s="362"/>
      <c r="GB2" s="362"/>
      <c r="GC2" s="362"/>
      <c r="GD2" s="362"/>
      <c r="GE2" s="362"/>
      <c r="GF2" s="362"/>
      <c r="GG2" s="362"/>
      <c r="GH2" s="362"/>
      <c r="GI2" s="362"/>
      <c r="GJ2" s="362"/>
      <c r="GK2" s="362"/>
      <c r="GL2" s="362"/>
      <c r="GM2" s="362"/>
      <c r="GN2" s="362"/>
      <c r="GO2" s="362"/>
      <c r="GP2" s="362"/>
      <c r="GQ2" s="362"/>
      <c r="GR2" s="362"/>
      <c r="GS2" s="362"/>
      <c r="GT2" s="362"/>
      <c r="GU2" s="362"/>
      <c r="GV2" s="362"/>
      <c r="GW2" s="362"/>
      <c r="GX2" s="362"/>
      <c r="GY2" s="362"/>
      <c r="GZ2" s="362"/>
      <c r="HA2" s="362"/>
      <c r="HB2" s="362"/>
      <c r="HC2" s="362"/>
      <c r="HD2" s="362"/>
      <c r="HE2" s="362"/>
      <c r="HF2" s="362"/>
      <c r="HG2" s="362"/>
      <c r="HH2" s="362"/>
      <c r="HI2" s="362"/>
      <c r="HJ2" s="362"/>
      <c r="HK2" s="362"/>
      <c r="HL2" s="362"/>
      <c r="HM2" s="362"/>
      <c r="HN2" s="362"/>
      <c r="HO2" s="362"/>
      <c r="HP2" s="362"/>
      <c r="HQ2" s="362"/>
      <c r="HR2" s="362"/>
      <c r="HS2" s="362"/>
      <c r="HT2" s="362"/>
      <c r="HU2" s="362"/>
      <c r="HV2" s="362"/>
      <c r="HW2" s="362"/>
      <c r="HX2" s="362"/>
      <c r="HY2" s="362"/>
      <c r="HZ2" s="362"/>
      <c r="IA2" s="362"/>
      <c r="IB2" s="362"/>
      <c r="IC2" s="362"/>
      <c r="ID2" s="362"/>
      <c r="IE2" s="362"/>
      <c r="IF2" s="362"/>
      <c r="IG2" s="362"/>
      <c r="IH2" s="362"/>
      <c r="II2" s="362"/>
      <c r="IJ2" s="362"/>
      <c r="IK2" s="362"/>
      <c r="IL2" s="362"/>
      <c r="IM2" s="362"/>
      <c r="IN2" s="362"/>
      <c r="IO2" s="362"/>
      <c r="IP2" s="362"/>
      <c r="IQ2" s="362"/>
      <c r="IR2" s="362"/>
      <c r="IS2" s="362"/>
      <c r="IT2" s="362"/>
      <c r="IU2" s="362"/>
    </row>
    <row r="3" spans="1:255" ht="6" customHeight="1" x14ac:dyDescent="0.15">
      <c r="A3" s="295"/>
      <c r="O3" s="1052" t="s">
        <v>485</v>
      </c>
      <c r="P3" s="364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3"/>
      <c r="AE3" s="363"/>
      <c r="AF3" s="363"/>
      <c r="AG3" s="362"/>
      <c r="AH3" s="362"/>
      <c r="AI3" s="362"/>
      <c r="AJ3" s="362"/>
      <c r="AK3" s="362"/>
      <c r="AL3" s="362"/>
      <c r="AM3" s="362"/>
      <c r="AN3" s="362"/>
      <c r="AO3" s="362"/>
      <c r="AP3" s="362"/>
      <c r="AQ3" s="362"/>
      <c r="AR3" s="362"/>
      <c r="AS3" s="362"/>
      <c r="AT3" s="362"/>
      <c r="AU3" s="362"/>
      <c r="AV3" s="362"/>
      <c r="AW3" s="362"/>
      <c r="AX3" s="362"/>
      <c r="AY3" s="362"/>
      <c r="AZ3" s="362"/>
      <c r="BA3" s="1069"/>
      <c r="BB3" s="362"/>
      <c r="BC3" s="362"/>
      <c r="BD3" s="362"/>
      <c r="BE3" s="362"/>
      <c r="BF3" s="362"/>
      <c r="BG3" s="362"/>
      <c r="BH3" s="362"/>
      <c r="BI3" s="362"/>
      <c r="BJ3" s="362"/>
      <c r="BK3" s="362"/>
      <c r="BL3" s="362"/>
      <c r="BM3" s="362"/>
      <c r="BN3" s="362"/>
      <c r="BO3" s="362"/>
      <c r="BP3" s="362"/>
      <c r="BQ3" s="362"/>
      <c r="BR3" s="362"/>
      <c r="BS3" s="362"/>
      <c r="BT3" s="362"/>
      <c r="BU3" s="362"/>
      <c r="BV3" s="362"/>
      <c r="BW3" s="362"/>
      <c r="BX3" s="362"/>
      <c r="BY3" s="362"/>
      <c r="BZ3" s="362"/>
      <c r="CA3" s="362"/>
      <c r="CB3" s="362"/>
      <c r="CC3" s="362"/>
      <c r="CD3" s="362"/>
      <c r="CE3" s="362"/>
      <c r="CF3" s="362"/>
      <c r="CG3" s="362"/>
      <c r="CH3" s="362"/>
      <c r="CI3" s="362"/>
      <c r="CJ3" s="362"/>
      <c r="CK3" s="362"/>
      <c r="CL3" s="362"/>
      <c r="CM3" s="362"/>
      <c r="CN3" s="362"/>
      <c r="CO3" s="362"/>
      <c r="CP3" s="362"/>
      <c r="CQ3" s="362"/>
      <c r="CR3" s="362"/>
      <c r="CS3" s="362"/>
      <c r="CT3" s="362"/>
      <c r="CU3" s="362"/>
      <c r="CV3" s="362"/>
      <c r="CW3" s="362"/>
      <c r="CX3" s="362"/>
      <c r="CY3" s="362"/>
      <c r="CZ3" s="362"/>
      <c r="DA3" s="362"/>
      <c r="DB3" s="362"/>
      <c r="DC3" s="362"/>
      <c r="DD3" s="362"/>
      <c r="DE3" s="362"/>
      <c r="DF3" s="362"/>
      <c r="DG3" s="362"/>
      <c r="DH3" s="362"/>
      <c r="DI3" s="362"/>
      <c r="DJ3" s="362"/>
      <c r="DK3" s="362"/>
      <c r="DL3" s="362"/>
      <c r="DM3" s="362"/>
      <c r="DN3" s="362"/>
      <c r="DO3" s="362"/>
      <c r="DP3" s="362"/>
      <c r="DQ3" s="362"/>
      <c r="DR3" s="362"/>
      <c r="DS3" s="362"/>
      <c r="DT3" s="362"/>
      <c r="DU3" s="362"/>
      <c r="DV3" s="362"/>
      <c r="DW3" s="362"/>
      <c r="DX3" s="362"/>
      <c r="DY3" s="362"/>
      <c r="DZ3" s="362"/>
      <c r="EA3" s="362"/>
      <c r="EB3" s="362"/>
      <c r="EC3" s="362"/>
      <c r="ED3" s="362"/>
      <c r="EE3" s="362"/>
      <c r="EF3" s="362"/>
      <c r="EG3" s="362"/>
      <c r="EH3" s="362"/>
      <c r="EI3" s="362"/>
      <c r="EJ3" s="362"/>
      <c r="EK3" s="362"/>
      <c r="EL3" s="362"/>
      <c r="EM3" s="362"/>
      <c r="EN3" s="362"/>
      <c r="EO3" s="362"/>
      <c r="EP3" s="362"/>
      <c r="EQ3" s="362"/>
      <c r="ER3" s="362"/>
      <c r="ES3" s="362"/>
      <c r="ET3" s="362"/>
      <c r="EU3" s="362"/>
      <c r="EV3" s="362"/>
      <c r="EW3" s="362"/>
      <c r="EX3" s="362"/>
      <c r="EY3" s="362"/>
      <c r="EZ3" s="362"/>
      <c r="FA3" s="362"/>
      <c r="FB3" s="362"/>
      <c r="FC3" s="362"/>
      <c r="FD3" s="362"/>
      <c r="FE3" s="362"/>
      <c r="FF3" s="362"/>
      <c r="FG3" s="362"/>
      <c r="FH3" s="362"/>
      <c r="FI3" s="362"/>
      <c r="FJ3" s="362"/>
      <c r="FK3" s="362"/>
      <c r="FL3" s="362"/>
      <c r="FM3" s="362"/>
      <c r="FN3" s="362"/>
      <c r="FO3" s="362"/>
      <c r="FP3" s="362"/>
      <c r="FQ3" s="362"/>
      <c r="FR3" s="362"/>
      <c r="FS3" s="362"/>
      <c r="FT3" s="362"/>
      <c r="FU3" s="362"/>
      <c r="FV3" s="362"/>
      <c r="FW3" s="362"/>
      <c r="FX3" s="362"/>
      <c r="FY3" s="362"/>
      <c r="FZ3" s="362"/>
      <c r="GA3" s="362"/>
      <c r="GB3" s="362"/>
      <c r="GC3" s="362"/>
      <c r="GD3" s="362"/>
      <c r="GE3" s="362"/>
      <c r="GF3" s="362"/>
      <c r="GG3" s="362"/>
      <c r="GH3" s="362"/>
      <c r="GI3" s="362"/>
      <c r="GJ3" s="362"/>
      <c r="GK3" s="362"/>
      <c r="GL3" s="362"/>
      <c r="GM3" s="362"/>
      <c r="GN3" s="362"/>
      <c r="GO3" s="362"/>
      <c r="GP3" s="362"/>
      <c r="GQ3" s="362"/>
      <c r="GR3" s="362"/>
      <c r="GS3" s="362"/>
      <c r="GT3" s="362"/>
      <c r="GU3" s="362"/>
      <c r="GV3" s="362"/>
      <c r="GW3" s="362"/>
      <c r="GX3" s="362"/>
      <c r="GY3" s="362"/>
      <c r="GZ3" s="362"/>
      <c r="HA3" s="362"/>
      <c r="HB3" s="362"/>
      <c r="HC3" s="362"/>
      <c r="HD3" s="362"/>
      <c r="HE3" s="362"/>
      <c r="HF3" s="362"/>
      <c r="HG3" s="362"/>
      <c r="HH3" s="362"/>
      <c r="HI3" s="362"/>
      <c r="HJ3" s="362"/>
      <c r="HK3" s="362"/>
      <c r="HL3" s="362"/>
      <c r="HM3" s="362"/>
      <c r="HN3" s="362"/>
      <c r="HO3" s="362"/>
      <c r="HP3" s="362"/>
      <c r="HQ3" s="362"/>
      <c r="HR3" s="362"/>
      <c r="HS3" s="362"/>
      <c r="HT3" s="362"/>
      <c r="HU3" s="362"/>
      <c r="HV3" s="362"/>
      <c r="HW3" s="362"/>
      <c r="HX3" s="362"/>
      <c r="HY3" s="362"/>
      <c r="HZ3" s="362"/>
      <c r="IA3" s="362"/>
      <c r="IB3" s="362"/>
      <c r="IC3" s="362"/>
      <c r="ID3" s="362"/>
      <c r="IE3" s="362"/>
      <c r="IF3" s="362"/>
      <c r="IG3" s="362"/>
      <c r="IH3" s="362"/>
      <c r="II3" s="362"/>
      <c r="IJ3" s="362"/>
      <c r="IK3" s="362"/>
      <c r="IL3" s="362"/>
      <c r="IM3" s="362"/>
      <c r="IN3" s="362"/>
      <c r="IO3" s="362"/>
      <c r="IP3" s="362"/>
      <c r="IQ3" s="362"/>
      <c r="IR3" s="362"/>
      <c r="IS3" s="362"/>
      <c r="IT3" s="362"/>
      <c r="IU3" s="362"/>
    </row>
    <row r="4" spans="1:255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364" t="s">
        <v>529</v>
      </c>
      <c r="Q4" s="362" t="str">
        <f>IF(OR($E$2=$B$86,$E$2=$B$87,E2=B88),IF($M$13&gt;=5,"ATENDE","NÃO CUMPRE"),"NÃO CABE")</f>
        <v>NÃO CUMPRE</v>
      </c>
      <c r="R4" s="362" t="str">
        <f>IF($N$8&lt;$Q$11,IF($M$13&gt;=5,"ATENDE","NÃO CUMPRE"),"REVER FUNDAMENTAÇÃO")</f>
        <v>NÃO CUMPRE</v>
      </c>
      <c r="S4" s="362" t="str">
        <f>IF($N$8&lt;$Q$13,IF($M$13&gt;=5,"ATENDE","NÃO ATENDE"),"REVER FUNDAMENTAÇÃO")</f>
        <v>NÃO ATENDE</v>
      </c>
      <c r="T4" s="362" t="str">
        <f>IF($N$8&lt;$Q$11,IF($M$13&gt;=5,"ATENDE","NÃO ATENDE"),"REVER FUNDAMENT.")</f>
        <v>NÃO ATENDE</v>
      </c>
      <c r="U4" s="362" t="str">
        <f>IF($N$8&lt;$Q$11,IF($M$13&gt;=5,"ATENDE","NÃO ATENDE"),"REVER FUNDAMENT.")</f>
        <v>NÃO ATENDE</v>
      </c>
      <c r="V4" s="362"/>
      <c r="W4" s="362"/>
      <c r="X4" s="362"/>
      <c r="Y4" s="362"/>
      <c r="Z4" s="362"/>
      <c r="AA4" s="362"/>
      <c r="AB4" s="362"/>
      <c r="AC4" s="362"/>
      <c r="AD4" s="363"/>
      <c r="AE4" s="363"/>
      <c r="AF4" s="363"/>
      <c r="AG4" s="362"/>
      <c r="AH4" s="362"/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362"/>
      <c r="AT4" s="362"/>
      <c r="AU4" s="362"/>
      <c r="AV4" s="362"/>
      <c r="AW4" s="362"/>
      <c r="AX4" s="362"/>
      <c r="AY4" s="362"/>
      <c r="AZ4" s="362"/>
      <c r="BA4" s="1069"/>
      <c r="BB4" s="362"/>
      <c r="BC4" s="362"/>
      <c r="BD4" s="362"/>
      <c r="BE4" s="362"/>
      <c r="BF4" s="362"/>
      <c r="BG4" s="362"/>
      <c r="BH4" s="362"/>
      <c r="BI4" s="362"/>
      <c r="BJ4" s="362"/>
      <c r="BK4" s="362"/>
      <c r="BL4" s="362"/>
      <c r="BM4" s="362"/>
      <c r="BN4" s="362"/>
      <c r="BO4" s="362"/>
      <c r="BP4" s="362"/>
      <c r="BQ4" s="362"/>
      <c r="BR4" s="362"/>
      <c r="BS4" s="362"/>
      <c r="BT4" s="362"/>
      <c r="BU4" s="362"/>
      <c r="BV4" s="362"/>
      <c r="BW4" s="362"/>
      <c r="BX4" s="362"/>
      <c r="BY4" s="362"/>
      <c r="BZ4" s="362"/>
      <c r="CA4" s="362"/>
      <c r="CB4" s="362"/>
      <c r="CC4" s="362"/>
      <c r="CD4" s="362"/>
      <c r="CE4" s="362"/>
      <c r="CF4" s="362"/>
      <c r="CG4" s="362"/>
      <c r="CH4" s="362"/>
      <c r="CI4" s="362"/>
      <c r="CJ4" s="362"/>
      <c r="CK4" s="362"/>
      <c r="CL4" s="362"/>
      <c r="CM4" s="362"/>
      <c r="CN4" s="362"/>
      <c r="CO4" s="362"/>
      <c r="CP4" s="362"/>
      <c r="CQ4" s="362"/>
      <c r="CR4" s="362"/>
      <c r="CS4" s="362"/>
      <c r="CT4" s="362"/>
      <c r="CU4" s="362"/>
      <c r="CV4" s="362"/>
      <c r="CW4" s="362"/>
      <c r="CX4" s="362"/>
      <c r="CY4" s="362"/>
      <c r="CZ4" s="362"/>
      <c r="DA4" s="362"/>
      <c r="DB4" s="362"/>
      <c r="DC4" s="362"/>
      <c r="DD4" s="362"/>
      <c r="DE4" s="362"/>
      <c r="DF4" s="362"/>
      <c r="DG4" s="362"/>
      <c r="DH4" s="362"/>
      <c r="DI4" s="362"/>
      <c r="DJ4" s="362"/>
      <c r="DK4" s="362"/>
      <c r="DL4" s="362"/>
      <c r="DM4" s="362"/>
      <c r="DN4" s="362"/>
      <c r="DO4" s="362"/>
      <c r="DP4" s="362"/>
      <c r="DQ4" s="362"/>
      <c r="DR4" s="362"/>
      <c r="DS4" s="362"/>
      <c r="DT4" s="362"/>
      <c r="DU4" s="362"/>
      <c r="DV4" s="362"/>
      <c r="DW4" s="362"/>
      <c r="DX4" s="362"/>
      <c r="DY4" s="362"/>
      <c r="DZ4" s="362"/>
      <c r="EA4" s="362"/>
      <c r="EB4" s="362"/>
      <c r="EC4" s="362"/>
      <c r="ED4" s="362"/>
      <c r="EE4" s="362"/>
      <c r="EF4" s="362"/>
      <c r="EG4" s="362"/>
      <c r="EH4" s="362"/>
      <c r="EI4" s="362"/>
      <c r="EJ4" s="362"/>
      <c r="EK4" s="362"/>
      <c r="EL4" s="362"/>
      <c r="EM4" s="362"/>
      <c r="EN4" s="362"/>
      <c r="EO4" s="362"/>
      <c r="EP4" s="362"/>
      <c r="EQ4" s="362"/>
      <c r="ER4" s="362"/>
      <c r="ES4" s="362"/>
      <c r="ET4" s="362"/>
      <c r="EU4" s="362"/>
      <c r="EV4" s="362"/>
      <c r="EW4" s="362"/>
      <c r="EX4" s="362"/>
      <c r="EY4" s="362"/>
      <c r="EZ4" s="362"/>
      <c r="FA4" s="362"/>
      <c r="FB4" s="362"/>
      <c r="FC4" s="362"/>
      <c r="FD4" s="362"/>
      <c r="FE4" s="362"/>
      <c r="FF4" s="362"/>
      <c r="FG4" s="362"/>
      <c r="FH4" s="362"/>
      <c r="FI4" s="362"/>
      <c r="FJ4" s="362"/>
      <c r="FK4" s="362"/>
      <c r="FL4" s="362"/>
      <c r="FM4" s="362"/>
      <c r="FN4" s="362"/>
      <c r="FO4" s="362"/>
      <c r="FP4" s="362"/>
      <c r="FQ4" s="362"/>
      <c r="FR4" s="362"/>
      <c r="FS4" s="362"/>
      <c r="FT4" s="362"/>
      <c r="FU4" s="362"/>
      <c r="FV4" s="362"/>
      <c r="FW4" s="362"/>
      <c r="FX4" s="362"/>
      <c r="FY4" s="362"/>
      <c r="FZ4" s="362"/>
      <c r="GA4" s="362"/>
      <c r="GB4" s="362"/>
      <c r="GC4" s="362"/>
      <c r="GD4" s="362"/>
      <c r="GE4" s="362"/>
      <c r="GF4" s="362"/>
      <c r="GG4" s="362"/>
      <c r="GH4" s="362"/>
      <c r="GI4" s="362"/>
      <c r="GJ4" s="362"/>
      <c r="GK4" s="362"/>
      <c r="GL4" s="362"/>
      <c r="GM4" s="362"/>
      <c r="GN4" s="362"/>
      <c r="GO4" s="362"/>
      <c r="GP4" s="362"/>
      <c r="GQ4" s="362"/>
      <c r="GR4" s="362"/>
      <c r="GS4" s="362"/>
      <c r="GT4" s="362"/>
      <c r="GU4" s="362"/>
      <c r="GV4" s="362"/>
      <c r="GW4" s="362"/>
      <c r="GX4" s="362"/>
      <c r="GY4" s="362"/>
      <c r="GZ4" s="362"/>
      <c r="HA4" s="362"/>
      <c r="HB4" s="362"/>
      <c r="HC4" s="362"/>
      <c r="HD4" s="362"/>
      <c r="HE4" s="362"/>
      <c r="HF4" s="362"/>
      <c r="HG4" s="362"/>
      <c r="HH4" s="362"/>
      <c r="HI4" s="362"/>
      <c r="HJ4" s="362"/>
      <c r="HK4" s="362"/>
      <c r="HL4" s="362"/>
      <c r="HM4" s="362"/>
      <c r="HN4" s="362"/>
      <c r="HO4" s="362"/>
      <c r="HP4" s="362"/>
      <c r="HQ4" s="362"/>
      <c r="HR4" s="362"/>
      <c r="HS4" s="362"/>
      <c r="HT4" s="362"/>
      <c r="HU4" s="362"/>
      <c r="HV4" s="362"/>
      <c r="HW4" s="362"/>
      <c r="HX4" s="362"/>
      <c r="HY4" s="362"/>
      <c r="HZ4" s="362"/>
      <c r="IA4" s="362"/>
      <c r="IB4" s="362"/>
      <c r="IC4" s="362"/>
      <c r="ID4" s="362"/>
      <c r="IE4" s="362"/>
      <c r="IF4" s="362"/>
      <c r="IG4" s="362"/>
      <c r="IH4" s="362"/>
      <c r="II4" s="362"/>
      <c r="IJ4" s="362"/>
      <c r="IK4" s="362"/>
      <c r="IL4" s="362"/>
      <c r="IM4" s="362"/>
      <c r="IN4" s="362"/>
      <c r="IO4" s="362"/>
      <c r="IP4" s="362"/>
      <c r="IQ4" s="362"/>
      <c r="IR4" s="362"/>
      <c r="IS4" s="362"/>
      <c r="IT4" s="362"/>
      <c r="IU4" s="362"/>
    </row>
    <row r="5" spans="1:255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1070"/>
      <c r="Q5" s="1071"/>
      <c r="R5" s="1071"/>
      <c r="S5" s="1071"/>
      <c r="T5" s="1071"/>
      <c r="U5" s="1071"/>
      <c r="V5" s="1071"/>
      <c r="W5" s="1071"/>
      <c r="X5" s="1071"/>
      <c r="Y5" s="1071"/>
      <c r="Z5" s="1071"/>
      <c r="AA5" s="1071"/>
      <c r="AB5" s="1071"/>
      <c r="AC5" s="1071"/>
      <c r="AD5" s="1072"/>
      <c r="AE5" s="1072"/>
      <c r="AF5" s="1072"/>
      <c r="AG5" s="1071"/>
      <c r="AH5" s="1071"/>
      <c r="AI5" s="1071"/>
      <c r="AJ5" s="1071"/>
      <c r="AK5" s="1071"/>
      <c r="AL5" s="1071"/>
      <c r="AM5" s="1071"/>
      <c r="AN5" s="1071"/>
      <c r="AO5" s="1071"/>
      <c r="AP5" s="1071"/>
      <c r="AQ5" s="1071"/>
      <c r="AR5" s="1071"/>
      <c r="AS5" s="1071"/>
      <c r="AT5" s="1071"/>
      <c r="AU5" s="1071"/>
      <c r="AV5" s="1071"/>
      <c r="AW5" s="1071"/>
      <c r="AX5" s="1071"/>
      <c r="AY5" s="1071"/>
      <c r="AZ5" s="1071"/>
      <c r="BA5" s="1073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</row>
    <row r="6" spans="1:255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944"/>
      <c r="O6" s="1053" t="s">
        <v>465</v>
      </c>
      <c r="P6" s="1053" t="s">
        <v>530</v>
      </c>
      <c r="Q6" s="391" t="s">
        <v>537</v>
      </c>
      <c r="R6" s="391" t="str">
        <f>IF($N$8&lt;$Q$11,"NÃO CABE","REVER FUNDAM.")</f>
        <v>NÃO CABE</v>
      </c>
      <c r="S6" s="391" t="str">
        <f>IF($N$8&lt;$Q$13,IF($M$14&gt;=10,"ATENDE","NÃO ATENDE"),"REVER FUNDAMEN.")</f>
        <v>NÃO ATENDE</v>
      </c>
      <c r="T6" s="391" t="str">
        <f>IF($N$8&lt;$Q$11,"NÃO CABE","REVER FUNDAMENT.")</f>
        <v>NÃO CABE</v>
      </c>
      <c r="U6" s="391" t="str">
        <f>IF($N$8&lt;$Q$11,IF($M$14&gt;=15,"ATENDE","NÃO ATENDE"),"REVER FUNDAMENT.")</f>
        <v>NÃO ATENDE</v>
      </c>
      <c r="V6" s="391"/>
      <c r="W6" s="391"/>
      <c r="X6" s="391"/>
      <c r="Y6" s="391"/>
      <c r="Z6" s="391"/>
      <c r="AA6" s="391"/>
      <c r="AB6" s="391"/>
      <c r="AC6" s="1118"/>
      <c r="AD6" s="1119"/>
      <c r="AE6" s="1119"/>
      <c r="AF6" s="1119"/>
      <c r="AG6" s="1118"/>
      <c r="AH6" s="1118"/>
      <c r="AI6" s="1118"/>
      <c r="AJ6" s="1118"/>
      <c r="AK6" s="1118"/>
      <c r="AL6" s="1118"/>
      <c r="AM6" s="1118"/>
      <c r="AN6" s="391"/>
      <c r="AO6" s="391"/>
      <c r="AP6" s="391"/>
      <c r="AQ6" s="391"/>
      <c r="AR6" s="391"/>
      <c r="AS6" s="391"/>
      <c r="AT6" s="391"/>
      <c r="AU6" s="391"/>
      <c r="AV6" s="391"/>
      <c r="AW6" s="391"/>
      <c r="AX6" s="391"/>
      <c r="AY6" s="391"/>
      <c r="AZ6" s="391"/>
      <c r="BA6" s="1120"/>
      <c r="BB6" s="254"/>
      <c r="BC6" s="254"/>
      <c r="BD6" s="254"/>
      <c r="BE6" s="254"/>
      <c r="BF6" s="254"/>
      <c r="BG6" s="254"/>
      <c r="BH6" s="254"/>
      <c r="BI6" s="254"/>
      <c r="BJ6" s="254"/>
      <c r="BK6" s="254"/>
      <c r="BL6" s="254"/>
      <c r="BM6" s="254"/>
      <c r="BN6" s="254"/>
      <c r="BO6" s="254"/>
      <c r="BP6" s="254"/>
      <c r="BQ6" s="254"/>
      <c r="BR6" s="254"/>
      <c r="BS6" s="254"/>
      <c r="BT6" s="254"/>
      <c r="BU6" s="254"/>
      <c r="BV6" s="254"/>
      <c r="BW6" s="254"/>
      <c r="BX6" s="254"/>
      <c r="BY6" s="254"/>
      <c r="BZ6" s="254"/>
      <c r="CA6" s="254"/>
      <c r="CB6" s="254"/>
      <c r="CC6" s="254"/>
      <c r="CD6" s="254"/>
      <c r="CE6" s="254"/>
      <c r="CF6" s="254"/>
      <c r="CG6" s="254"/>
      <c r="CH6" s="254"/>
      <c r="CI6" s="254"/>
      <c r="CJ6" s="254"/>
      <c r="CK6" s="254"/>
      <c r="CL6" s="254"/>
      <c r="CM6" s="254"/>
      <c r="CN6" s="254"/>
      <c r="CO6" s="254"/>
      <c r="CP6" s="254"/>
      <c r="CQ6" s="254"/>
      <c r="CR6" s="254"/>
      <c r="CS6" s="254"/>
      <c r="CT6" s="254"/>
      <c r="CU6" s="254"/>
      <c r="CV6" s="254"/>
      <c r="CW6" s="254"/>
      <c r="CX6" s="254"/>
      <c r="CY6" s="254"/>
      <c r="CZ6" s="254"/>
      <c r="DA6" s="254"/>
      <c r="DB6" s="254"/>
      <c r="DC6" s="254"/>
      <c r="DD6" s="254"/>
      <c r="DE6" s="254"/>
      <c r="DF6" s="254"/>
      <c r="DG6" s="254"/>
      <c r="DH6" s="254"/>
      <c r="DI6" s="254"/>
      <c r="DJ6" s="254"/>
      <c r="DK6" s="254"/>
      <c r="DL6" s="254"/>
      <c r="DM6" s="254"/>
      <c r="DN6" s="254"/>
      <c r="DO6" s="254"/>
      <c r="DP6" s="254"/>
      <c r="DQ6" s="254"/>
      <c r="DR6" s="254"/>
      <c r="DS6" s="254"/>
      <c r="DT6" s="254"/>
      <c r="DU6" s="254"/>
      <c r="DV6" s="254"/>
      <c r="DW6" s="254"/>
      <c r="DX6" s="254"/>
      <c r="DY6" s="254"/>
      <c r="DZ6" s="254"/>
      <c r="EA6" s="254"/>
      <c r="EB6" s="254"/>
      <c r="EC6" s="254"/>
      <c r="ED6" s="254"/>
      <c r="EE6" s="254"/>
      <c r="EF6" s="254"/>
      <c r="EG6" s="254"/>
      <c r="EH6" s="254"/>
      <c r="EI6" s="254"/>
      <c r="EJ6" s="254"/>
      <c r="EK6" s="254"/>
      <c r="EL6" s="254"/>
      <c r="EM6" s="254"/>
      <c r="EN6" s="254"/>
      <c r="EO6" s="254"/>
      <c r="EP6" s="254"/>
      <c r="EQ6" s="254"/>
      <c r="ER6" s="254"/>
      <c r="ES6" s="254"/>
      <c r="ET6" s="254"/>
      <c r="EU6" s="254"/>
      <c r="EV6" s="254"/>
      <c r="EW6" s="254"/>
      <c r="EX6" s="254"/>
      <c r="EY6" s="254"/>
      <c r="EZ6" s="254"/>
      <c r="FA6" s="254"/>
      <c r="FB6" s="254"/>
      <c r="FC6" s="254"/>
      <c r="FD6" s="254"/>
      <c r="FE6" s="254"/>
      <c r="FF6" s="254"/>
      <c r="FG6" s="254"/>
      <c r="FH6" s="254"/>
      <c r="FI6" s="254"/>
      <c r="FJ6" s="254"/>
      <c r="FK6" s="254"/>
      <c r="FL6" s="254"/>
      <c r="FM6" s="254"/>
      <c r="FN6" s="254"/>
      <c r="FO6" s="254"/>
      <c r="FP6" s="254"/>
      <c r="FQ6" s="254"/>
      <c r="FR6" s="254"/>
      <c r="FS6" s="254"/>
      <c r="FT6" s="254"/>
      <c r="FU6" s="254"/>
      <c r="FV6" s="254"/>
      <c r="FW6" s="254"/>
      <c r="FX6" s="254"/>
      <c r="FY6" s="254"/>
      <c r="FZ6" s="254"/>
      <c r="GA6" s="254"/>
      <c r="GB6" s="254"/>
      <c r="GC6" s="254"/>
      <c r="GD6" s="254"/>
      <c r="GE6" s="254"/>
      <c r="GF6" s="254"/>
      <c r="GG6" s="254"/>
      <c r="GH6" s="254"/>
      <c r="GI6" s="254"/>
      <c r="GJ6" s="254"/>
      <c r="GK6" s="254"/>
      <c r="GL6" s="254"/>
      <c r="GM6" s="254"/>
      <c r="GN6" s="254"/>
      <c r="GO6" s="254"/>
      <c r="GP6" s="254"/>
      <c r="GQ6" s="254"/>
      <c r="GR6" s="254"/>
      <c r="GS6" s="254"/>
      <c r="GT6" s="254"/>
      <c r="GU6" s="254"/>
      <c r="GV6" s="254"/>
      <c r="GW6" s="254"/>
      <c r="GX6" s="254"/>
      <c r="GY6" s="254"/>
      <c r="GZ6" s="254"/>
      <c r="HA6" s="254"/>
      <c r="HB6" s="254"/>
      <c r="HC6" s="254"/>
      <c r="HD6" s="254"/>
      <c r="HE6" s="254"/>
      <c r="HF6" s="254"/>
      <c r="HG6" s="254"/>
      <c r="HH6" s="254"/>
      <c r="HI6" s="254"/>
      <c r="HJ6" s="254"/>
      <c r="HK6" s="254"/>
      <c r="HL6" s="254"/>
      <c r="HM6" s="254"/>
      <c r="HN6" s="254"/>
      <c r="HO6" s="254"/>
      <c r="HP6" s="254"/>
      <c r="HQ6" s="254"/>
      <c r="HR6" s="254"/>
      <c r="HS6" s="254"/>
      <c r="HT6" s="254"/>
      <c r="HU6" s="254"/>
      <c r="HV6" s="254"/>
      <c r="HW6" s="254"/>
      <c r="HX6" s="254"/>
      <c r="HY6" s="254"/>
      <c r="HZ6" s="254"/>
      <c r="IA6" s="254"/>
      <c r="IB6" s="254"/>
      <c r="IC6" s="254"/>
      <c r="ID6" s="254"/>
      <c r="IE6" s="254"/>
      <c r="IF6" s="254"/>
      <c r="IG6" s="254"/>
      <c r="IH6" s="254"/>
      <c r="II6" s="254"/>
      <c r="IJ6" s="254"/>
      <c r="IK6" s="254"/>
      <c r="IL6" s="254"/>
      <c r="IM6" s="254"/>
      <c r="IN6" s="254"/>
      <c r="IO6" s="254"/>
      <c r="IP6" s="254"/>
      <c r="IQ6" s="254"/>
      <c r="IR6" s="254"/>
      <c r="IS6" s="254"/>
      <c r="IT6" s="254"/>
      <c r="IU6" s="362"/>
    </row>
    <row r="7" spans="1:255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053" t="s">
        <v>531</v>
      </c>
      <c r="Q7" s="1121" t="str">
        <f>IF(OR($E$2=$B$86,$E$2=$B$87,E2=B88),IF($M$15&gt;=10,"ATENDE","NÃO CUMPRE"),O76)</f>
        <v>NÃO CUMPRE</v>
      </c>
      <c r="R7" s="255">
        <v>0</v>
      </c>
      <c r="S7" s="391" t="str">
        <f>IF($N$8&lt;$Q$13,IF($M$15&gt;=20,"ATENDE","NÃO ATENDE"),"REVER FUNDAMENT.")</f>
        <v>NÃO ATENDE</v>
      </c>
      <c r="T7" s="255">
        <v>0</v>
      </c>
      <c r="U7" s="391" t="str">
        <f>IF($N$8&lt;$Q$11,IF($M$15&gt;=25,"ATENDE","NÃO ATENDE"),"REVER FUNDAMENT.")</f>
        <v>NÃO ATENDE</v>
      </c>
      <c r="V7" s="391"/>
      <c r="W7" s="391"/>
      <c r="X7" s="391"/>
      <c r="Y7" s="391"/>
      <c r="Z7" s="391"/>
      <c r="AA7" s="391"/>
      <c r="AB7" s="391"/>
      <c r="AC7" s="1118"/>
      <c r="AD7" s="1119"/>
      <c r="AE7" s="1119"/>
      <c r="AF7" s="1119"/>
      <c r="AG7" s="1118"/>
      <c r="AH7" s="1118"/>
      <c r="AI7" s="1118"/>
      <c r="AJ7" s="1118"/>
      <c r="AK7" s="1118"/>
      <c r="AL7" s="1118"/>
      <c r="AM7" s="1118"/>
      <c r="AN7" s="391"/>
      <c r="AO7" s="391"/>
      <c r="AP7" s="391"/>
      <c r="AQ7" s="391"/>
      <c r="AR7" s="391"/>
      <c r="AS7" s="391"/>
      <c r="AT7" s="391"/>
      <c r="AU7" s="391"/>
      <c r="AV7" s="391"/>
      <c r="AW7" s="391"/>
      <c r="AX7" s="391"/>
      <c r="AY7" s="391"/>
      <c r="AZ7" s="391"/>
      <c r="BA7" s="1120"/>
      <c r="BB7" s="254"/>
      <c r="BC7" s="254"/>
      <c r="BD7" s="254"/>
      <c r="BE7" s="254"/>
      <c r="BF7" s="254"/>
      <c r="BG7" s="254"/>
      <c r="BH7" s="254"/>
      <c r="BI7" s="254"/>
      <c r="BJ7" s="254"/>
      <c r="BK7" s="254"/>
      <c r="BL7" s="254"/>
      <c r="BM7" s="254"/>
      <c r="BN7" s="254"/>
      <c r="BO7" s="254"/>
      <c r="BP7" s="254"/>
      <c r="BQ7" s="254"/>
      <c r="BR7" s="254"/>
      <c r="BS7" s="254"/>
      <c r="BT7" s="254"/>
      <c r="BU7" s="254"/>
      <c r="BV7" s="254"/>
      <c r="BW7" s="254"/>
      <c r="BX7" s="254"/>
      <c r="BY7" s="254"/>
      <c r="BZ7" s="254"/>
      <c r="CA7" s="254"/>
      <c r="CB7" s="254"/>
      <c r="CC7" s="254"/>
      <c r="CD7" s="254"/>
      <c r="CE7" s="254"/>
      <c r="CF7" s="254"/>
      <c r="CG7" s="254"/>
      <c r="CH7" s="254"/>
      <c r="CI7" s="254"/>
      <c r="CJ7" s="254"/>
      <c r="CK7" s="254"/>
      <c r="CL7" s="254"/>
      <c r="CM7" s="254"/>
      <c r="CN7" s="254"/>
      <c r="CO7" s="254"/>
      <c r="CP7" s="254"/>
      <c r="CQ7" s="254"/>
      <c r="CR7" s="254"/>
      <c r="CS7" s="254"/>
      <c r="CT7" s="254"/>
      <c r="CU7" s="254"/>
      <c r="CV7" s="254"/>
      <c r="CW7" s="254"/>
      <c r="CX7" s="254"/>
      <c r="CY7" s="254"/>
      <c r="CZ7" s="254"/>
      <c r="DA7" s="254"/>
      <c r="DB7" s="254"/>
      <c r="DC7" s="254"/>
      <c r="DD7" s="254"/>
      <c r="DE7" s="254"/>
      <c r="DF7" s="254"/>
      <c r="DG7" s="254"/>
      <c r="DH7" s="254"/>
      <c r="DI7" s="254"/>
      <c r="DJ7" s="254"/>
      <c r="DK7" s="254"/>
      <c r="DL7" s="254"/>
      <c r="DM7" s="254"/>
      <c r="DN7" s="254"/>
      <c r="DO7" s="254"/>
      <c r="DP7" s="254"/>
      <c r="DQ7" s="254"/>
      <c r="DR7" s="254"/>
      <c r="DS7" s="254"/>
      <c r="DT7" s="254"/>
      <c r="DU7" s="254"/>
      <c r="DV7" s="254"/>
      <c r="DW7" s="254"/>
      <c r="DX7" s="254"/>
      <c r="DY7" s="254"/>
      <c r="DZ7" s="254"/>
      <c r="EA7" s="254"/>
      <c r="EB7" s="254"/>
      <c r="EC7" s="254"/>
      <c r="ED7" s="254"/>
      <c r="EE7" s="254"/>
      <c r="EF7" s="254"/>
      <c r="EG7" s="254"/>
      <c r="EH7" s="254"/>
      <c r="EI7" s="254"/>
      <c r="EJ7" s="254"/>
      <c r="EK7" s="254"/>
      <c r="EL7" s="254"/>
      <c r="EM7" s="254"/>
      <c r="EN7" s="254"/>
      <c r="EO7" s="254"/>
      <c r="EP7" s="254"/>
      <c r="EQ7" s="254"/>
      <c r="ER7" s="254"/>
      <c r="ES7" s="254"/>
      <c r="ET7" s="254"/>
      <c r="EU7" s="254"/>
      <c r="EV7" s="254"/>
      <c r="EW7" s="254"/>
      <c r="EX7" s="254"/>
      <c r="EY7" s="254"/>
      <c r="EZ7" s="254"/>
      <c r="FA7" s="254"/>
      <c r="FB7" s="254"/>
      <c r="FC7" s="254"/>
      <c r="FD7" s="254"/>
      <c r="FE7" s="254"/>
      <c r="FF7" s="254"/>
      <c r="FG7" s="254"/>
      <c r="FH7" s="254"/>
      <c r="FI7" s="254"/>
      <c r="FJ7" s="254"/>
      <c r="FK7" s="254"/>
      <c r="FL7" s="254"/>
      <c r="FM7" s="254"/>
      <c r="FN7" s="254"/>
      <c r="FO7" s="254"/>
      <c r="FP7" s="254"/>
      <c r="FQ7" s="254"/>
      <c r="FR7" s="254"/>
      <c r="FS7" s="254"/>
      <c r="FT7" s="254"/>
      <c r="FU7" s="254"/>
      <c r="FV7" s="254"/>
      <c r="FW7" s="254"/>
      <c r="FX7" s="254"/>
      <c r="FY7" s="254"/>
      <c r="FZ7" s="254"/>
      <c r="GA7" s="254"/>
      <c r="GB7" s="254"/>
      <c r="GC7" s="254"/>
      <c r="GD7" s="254"/>
      <c r="GE7" s="254"/>
      <c r="GF7" s="254"/>
      <c r="GG7" s="254"/>
      <c r="GH7" s="254"/>
      <c r="GI7" s="254"/>
      <c r="GJ7" s="254"/>
      <c r="GK7" s="254"/>
      <c r="GL7" s="254"/>
      <c r="GM7" s="254"/>
      <c r="GN7" s="254"/>
      <c r="GO7" s="254"/>
      <c r="GP7" s="254"/>
      <c r="GQ7" s="254"/>
      <c r="GR7" s="254"/>
      <c r="GS7" s="254"/>
      <c r="GT7" s="254"/>
      <c r="GU7" s="254"/>
      <c r="GV7" s="254"/>
      <c r="GW7" s="254"/>
      <c r="GX7" s="254"/>
      <c r="GY7" s="254"/>
      <c r="GZ7" s="254"/>
      <c r="HA7" s="254"/>
      <c r="HB7" s="254"/>
      <c r="HC7" s="254"/>
      <c r="HD7" s="254"/>
      <c r="HE7" s="254"/>
      <c r="HF7" s="254"/>
      <c r="HG7" s="254"/>
      <c r="HH7" s="254"/>
      <c r="HI7" s="254"/>
      <c r="HJ7" s="254"/>
      <c r="HK7" s="254"/>
      <c r="HL7" s="254"/>
      <c r="HM7" s="254"/>
      <c r="HN7" s="254"/>
      <c r="HO7" s="254"/>
      <c r="HP7" s="254"/>
      <c r="HQ7" s="254"/>
      <c r="HR7" s="254"/>
      <c r="HS7" s="254"/>
      <c r="HT7" s="254"/>
      <c r="HU7" s="254"/>
      <c r="HV7" s="254"/>
      <c r="HW7" s="254"/>
      <c r="HX7" s="254"/>
      <c r="HY7" s="254"/>
      <c r="HZ7" s="254"/>
      <c r="IA7" s="254"/>
      <c r="IB7" s="254"/>
      <c r="IC7" s="254"/>
      <c r="ID7" s="254"/>
      <c r="IE7" s="254"/>
      <c r="IF7" s="254"/>
      <c r="IG7" s="254"/>
      <c r="IH7" s="254"/>
      <c r="II7" s="254"/>
      <c r="IJ7" s="254"/>
      <c r="IK7" s="254"/>
      <c r="IL7" s="254"/>
      <c r="IM7" s="254"/>
      <c r="IN7" s="254"/>
      <c r="IO7" s="254"/>
      <c r="IP7" s="254"/>
      <c r="IQ7" s="254"/>
      <c r="IR7" s="254"/>
      <c r="IS7" s="254"/>
      <c r="IT7" s="254"/>
      <c r="IU7" s="362"/>
    </row>
    <row r="8" spans="1:255" x14ac:dyDescent="0.15">
      <c r="A8" s="362" t="s">
        <v>591</v>
      </c>
      <c r="B8" s="149" t="s">
        <v>731</v>
      </c>
      <c r="C8" s="1870"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37">
        <f>CRÍTICA_IGP1!N8</f>
        <v>0</v>
      </c>
      <c r="P8" s="1053"/>
      <c r="Q8" s="391"/>
      <c r="R8" s="391"/>
      <c r="S8" s="391"/>
      <c r="T8" s="391"/>
      <c r="U8" s="391"/>
      <c r="V8" s="391"/>
      <c r="W8" s="391"/>
      <c r="X8" s="391"/>
      <c r="Y8" s="391"/>
      <c r="Z8" s="391"/>
      <c r="AA8" s="391"/>
      <c r="AB8" s="391"/>
      <c r="AC8" s="1118"/>
      <c r="AD8" s="1119"/>
      <c r="AE8" s="1119"/>
      <c r="AF8" s="1119"/>
      <c r="AG8" s="1118"/>
      <c r="AH8" s="1118"/>
      <c r="AI8" s="1118"/>
      <c r="AJ8" s="1118"/>
      <c r="AK8" s="1118"/>
      <c r="AL8" s="1118"/>
      <c r="AM8" s="1118"/>
      <c r="AN8" s="391"/>
      <c r="AO8" s="391"/>
      <c r="AP8" s="391"/>
      <c r="AQ8" s="391"/>
      <c r="AR8" s="391"/>
      <c r="AS8" s="391"/>
      <c r="AT8" s="391"/>
      <c r="AU8" s="391"/>
      <c r="AV8" s="391"/>
      <c r="AW8" s="391"/>
      <c r="AX8" s="391"/>
      <c r="AY8" s="391"/>
      <c r="AZ8" s="391"/>
      <c r="BA8" s="1120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Q8" s="254"/>
      <c r="CR8" s="254"/>
      <c r="CS8" s="254"/>
      <c r="CT8" s="254"/>
      <c r="CU8" s="254"/>
      <c r="CV8" s="254"/>
      <c r="CW8" s="254"/>
      <c r="CX8" s="254"/>
      <c r="CY8" s="254"/>
      <c r="CZ8" s="254"/>
      <c r="DA8" s="254"/>
      <c r="DB8" s="254"/>
      <c r="DC8" s="254"/>
      <c r="DD8" s="254"/>
      <c r="DE8" s="254"/>
      <c r="DF8" s="254"/>
      <c r="DG8" s="254"/>
      <c r="DH8" s="254"/>
      <c r="DI8" s="254"/>
      <c r="DJ8" s="254"/>
      <c r="DK8" s="254"/>
      <c r="DL8" s="254"/>
      <c r="DM8" s="254"/>
      <c r="DN8" s="254"/>
      <c r="DO8" s="254"/>
      <c r="DP8" s="254"/>
      <c r="DQ8" s="254"/>
      <c r="DR8" s="254"/>
      <c r="DS8" s="254"/>
      <c r="DT8" s="254"/>
      <c r="DU8" s="254"/>
      <c r="DV8" s="254"/>
      <c r="DW8" s="254"/>
      <c r="DX8" s="254"/>
      <c r="DY8" s="254"/>
      <c r="DZ8" s="254"/>
      <c r="EA8" s="254"/>
      <c r="EB8" s="254"/>
      <c r="EC8" s="254"/>
      <c r="ED8" s="254"/>
      <c r="EE8" s="254"/>
      <c r="EF8" s="254"/>
      <c r="EG8" s="254"/>
      <c r="EH8" s="254"/>
      <c r="EI8" s="254"/>
      <c r="EJ8" s="254"/>
      <c r="EK8" s="254"/>
      <c r="EL8" s="254"/>
      <c r="EM8" s="254"/>
      <c r="EN8" s="254"/>
      <c r="EO8" s="254"/>
      <c r="EP8" s="254"/>
      <c r="EQ8" s="254"/>
      <c r="ER8" s="254"/>
      <c r="ES8" s="254"/>
      <c r="ET8" s="254"/>
      <c r="EU8" s="254"/>
      <c r="EV8" s="254"/>
      <c r="EW8" s="254"/>
      <c r="EX8" s="254"/>
      <c r="EY8" s="254"/>
      <c r="EZ8" s="254"/>
      <c r="FA8" s="254"/>
      <c r="FB8" s="254"/>
      <c r="FC8" s="254"/>
      <c r="FD8" s="254"/>
      <c r="FE8" s="254"/>
      <c r="FF8" s="254"/>
      <c r="FG8" s="254"/>
      <c r="FH8" s="254"/>
      <c r="FI8" s="254"/>
      <c r="FJ8" s="254"/>
      <c r="FK8" s="254"/>
      <c r="FL8" s="254"/>
      <c r="FM8" s="254"/>
      <c r="FN8" s="254"/>
      <c r="FO8" s="254"/>
      <c r="FP8" s="254"/>
      <c r="FQ8" s="254"/>
      <c r="FR8" s="254"/>
      <c r="FS8" s="254"/>
      <c r="FT8" s="254"/>
      <c r="FU8" s="254"/>
      <c r="FV8" s="254"/>
      <c r="FW8" s="254"/>
      <c r="FX8" s="254"/>
      <c r="FY8" s="254"/>
      <c r="FZ8" s="254"/>
      <c r="GA8" s="254"/>
      <c r="GB8" s="254"/>
      <c r="GC8" s="254"/>
      <c r="GD8" s="254"/>
      <c r="GE8" s="254"/>
      <c r="GF8" s="254"/>
      <c r="GG8" s="254"/>
      <c r="GH8" s="254"/>
      <c r="GI8" s="254"/>
      <c r="GJ8" s="254"/>
      <c r="GK8" s="254"/>
      <c r="GL8" s="254"/>
      <c r="GM8" s="254"/>
      <c r="GN8" s="254"/>
      <c r="GO8" s="254"/>
      <c r="GP8" s="254"/>
      <c r="GQ8" s="254"/>
      <c r="GR8" s="254"/>
      <c r="GS8" s="254"/>
      <c r="GT8" s="254"/>
      <c r="GU8" s="254"/>
      <c r="GV8" s="254"/>
      <c r="GW8" s="254"/>
      <c r="GX8" s="254"/>
      <c r="GY8" s="254"/>
      <c r="GZ8" s="254"/>
      <c r="HA8" s="254"/>
      <c r="HB8" s="254"/>
      <c r="HC8" s="254"/>
      <c r="HD8" s="254"/>
      <c r="HE8" s="254"/>
      <c r="HF8" s="254"/>
      <c r="HG8" s="254"/>
      <c r="HH8" s="254"/>
      <c r="HI8" s="254"/>
      <c r="HJ8" s="254"/>
      <c r="HK8" s="254"/>
      <c r="HL8" s="254"/>
      <c r="HM8" s="254"/>
      <c r="HN8" s="254"/>
      <c r="HO8" s="254"/>
      <c r="HP8" s="254"/>
      <c r="HQ8" s="254"/>
      <c r="HR8" s="254"/>
      <c r="HS8" s="254"/>
      <c r="HT8" s="254"/>
      <c r="HU8" s="254"/>
      <c r="HV8" s="254"/>
      <c r="HW8" s="254"/>
      <c r="HX8" s="254"/>
      <c r="HY8" s="254"/>
      <c r="HZ8" s="254"/>
      <c r="IA8" s="254"/>
      <c r="IB8" s="254"/>
      <c r="IC8" s="254"/>
      <c r="ID8" s="254"/>
      <c r="IE8" s="254"/>
      <c r="IF8" s="254"/>
      <c r="IG8" s="254"/>
      <c r="IH8" s="254"/>
      <c r="II8" s="254"/>
      <c r="IJ8" s="254"/>
      <c r="IK8" s="254"/>
      <c r="IL8" s="254"/>
      <c r="IM8" s="254"/>
      <c r="IN8" s="254"/>
      <c r="IO8" s="254"/>
      <c r="IP8" s="254"/>
      <c r="IQ8" s="254"/>
      <c r="IR8" s="254"/>
      <c r="IS8" s="254"/>
      <c r="IT8" s="254"/>
      <c r="IU8" s="362"/>
    </row>
    <row r="9" spans="1:255" ht="13.5" customHeight="1" x14ac:dyDescent="0.15">
      <c r="A9" s="362" t="s">
        <v>592</v>
      </c>
      <c r="B9" s="149" t="s">
        <v>732</v>
      </c>
      <c r="C9" s="1870"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37">
        <f>CRÍTICA_IGP1!N9</f>
        <v>0</v>
      </c>
      <c r="O9" s="1055">
        <f>IF($N$9=0,0,O$10-N9)</f>
        <v>0</v>
      </c>
      <c r="P9" s="254"/>
      <c r="Q9" s="254"/>
      <c r="R9" s="391"/>
      <c r="S9" s="391"/>
      <c r="T9" s="391"/>
      <c r="U9" s="391"/>
      <c r="V9" s="391"/>
      <c r="W9" s="391"/>
      <c r="X9" s="391"/>
      <c r="Y9" s="391"/>
      <c r="Z9" s="391"/>
      <c r="AA9" s="391"/>
      <c r="AB9" s="391"/>
      <c r="AC9" s="1118"/>
      <c r="AD9" s="1119"/>
      <c r="AE9" s="1119"/>
      <c r="AF9" s="1119"/>
      <c r="AG9" s="1118"/>
      <c r="AH9" s="1118"/>
      <c r="AI9" s="1118"/>
      <c r="AJ9" s="1118"/>
      <c r="AK9" s="1118"/>
      <c r="AL9" s="1118"/>
      <c r="AM9" s="1118"/>
      <c r="AN9" s="391"/>
      <c r="AO9" s="391"/>
      <c r="AP9" s="391"/>
      <c r="AQ9" s="391"/>
      <c r="AR9" s="391"/>
      <c r="AS9" s="391"/>
      <c r="AT9" s="391"/>
      <c r="AU9" s="391"/>
      <c r="AV9" s="391"/>
      <c r="AW9" s="391"/>
      <c r="AX9" s="391"/>
      <c r="AY9" s="391"/>
      <c r="AZ9" s="391"/>
      <c r="BA9" s="1120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4"/>
      <c r="BN9" s="254"/>
      <c r="BO9" s="254"/>
      <c r="BP9" s="254"/>
      <c r="BQ9" s="254"/>
      <c r="BR9" s="254"/>
      <c r="BS9" s="254"/>
      <c r="BT9" s="254"/>
      <c r="BU9" s="254"/>
      <c r="BV9" s="254"/>
      <c r="BW9" s="254"/>
      <c r="BX9" s="254"/>
      <c r="BY9" s="254"/>
      <c r="BZ9" s="254"/>
      <c r="CA9" s="254"/>
      <c r="CB9" s="254"/>
      <c r="CC9" s="254"/>
      <c r="CD9" s="254"/>
      <c r="CE9" s="254"/>
      <c r="CF9" s="254"/>
      <c r="CG9" s="254"/>
      <c r="CH9" s="254"/>
      <c r="CI9" s="254"/>
      <c r="CJ9" s="254"/>
      <c r="CK9" s="254"/>
      <c r="CL9" s="254"/>
      <c r="CM9" s="254"/>
      <c r="CN9" s="254"/>
      <c r="CO9" s="254"/>
      <c r="CP9" s="254"/>
      <c r="CQ9" s="254"/>
      <c r="CR9" s="254"/>
      <c r="CS9" s="254"/>
      <c r="CT9" s="254"/>
      <c r="CU9" s="254"/>
      <c r="CV9" s="254"/>
      <c r="CW9" s="254"/>
      <c r="CX9" s="254"/>
      <c r="CY9" s="254"/>
      <c r="CZ9" s="254"/>
      <c r="DA9" s="254"/>
      <c r="DB9" s="254"/>
      <c r="DC9" s="254"/>
      <c r="DD9" s="254"/>
      <c r="DE9" s="254"/>
      <c r="DF9" s="254"/>
      <c r="DG9" s="254"/>
      <c r="DH9" s="254"/>
      <c r="DI9" s="254"/>
      <c r="DJ9" s="254"/>
      <c r="DK9" s="254"/>
      <c r="DL9" s="254"/>
      <c r="DM9" s="254"/>
      <c r="DN9" s="254"/>
      <c r="DO9" s="254"/>
      <c r="DP9" s="254"/>
      <c r="DQ9" s="254"/>
      <c r="DR9" s="254"/>
      <c r="DS9" s="254"/>
      <c r="DT9" s="254"/>
      <c r="DU9" s="254"/>
      <c r="DV9" s="254"/>
      <c r="DW9" s="254"/>
      <c r="DX9" s="254"/>
      <c r="DY9" s="254"/>
      <c r="DZ9" s="254"/>
      <c r="EA9" s="254"/>
      <c r="EB9" s="254"/>
      <c r="EC9" s="254"/>
      <c r="ED9" s="254"/>
      <c r="EE9" s="254"/>
      <c r="EF9" s="254"/>
      <c r="EG9" s="254"/>
      <c r="EH9" s="254"/>
      <c r="EI9" s="254"/>
      <c r="EJ9" s="254"/>
      <c r="EK9" s="254"/>
      <c r="EL9" s="254"/>
      <c r="EM9" s="254"/>
      <c r="EN9" s="254"/>
      <c r="EO9" s="254"/>
      <c r="EP9" s="254"/>
      <c r="EQ9" s="254"/>
      <c r="ER9" s="254"/>
      <c r="ES9" s="254"/>
      <c r="ET9" s="254"/>
      <c r="EU9" s="254"/>
      <c r="EV9" s="254"/>
      <c r="EW9" s="254"/>
      <c r="EX9" s="254"/>
      <c r="EY9" s="254"/>
      <c r="EZ9" s="254"/>
      <c r="FA9" s="254"/>
      <c r="FB9" s="254"/>
      <c r="FC9" s="254"/>
      <c r="FD9" s="254"/>
      <c r="FE9" s="254"/>
      <c r="FF9" s="254"/>
      <c r="FG9" s="254"/>
      <c r="FH9" s="254"/>
      <c r="FI9" s="254"/>
      <c r="FJ9" s="254"/>
      <c r="FK9" s="254"/>
      <c r="FL9" s="254"/>
      <c r="FM9" s="254"/>
      <c r="FN9" s="254"/>
      <c r="FO9" s="254"/>
      <c r="FP9" s="254"/>
      <c r="FQ9" s="254"/>
      <c r="FR9" s="254"/>
      <c r="FS9" s="254"/>
      <c r="FT9" s="254"/>
      <c r="FU9" s="254"/>
      <c r="FV9" s="254"/>
      <c r="FW9" s="254"/>
      <c r="FX9" s="254"/>
      <c r="FY9" s="254"/>
      <c r="FZ9" s="254"/>
      <c r="GA9" s="254"/>
      <c r="GB9" s="254"/>
      <c r="GC9" s="254"/>
      <c r="GD9" s="254"/>
      <c r="GE9" s="254"/>
      <c r="GF9" s="254"/>
      <c r="GG9" s="254"/>
      <c r="GH9" s="254"/>
      <c r="GI9" s="254"/>
      <c r="GJ9" s="254"/>
      <c r="GK9" s="254"/>
      <c r="GL9" s="254"/>
      <c r="GM9" s="254"/>
      <c r="GN9" s="254"/>
      <c r="GO9" s="254"/>
      <c r="GP9" s="254"/>
      <c r="GQ9" s="254"/>
      <c r="GR9" s="254"/>
      <c r="GS9" s="254"/>
      <c r="GT9" s="254"/>
      <c r="GU9" s="254"/>
      <c r="GV9" s="254"/>
      <c r="GW9" s="254"/>
      <c r="GX9" s="254"/>
      <c r="GY9" s="254"/>
      <c r="GZ9" s="254"/>
      <c r="HA9" s="254"/>
      <c r="HB9" s="254"/>
      <c r="HC9" s="254"/>
      <c r="HD9" s="254"/>
      <c r="HE9" s="254"/>
      <c r="HF9" s="254"/>
      <c r="HG9" s="254"/>
      <c r="HH9" s="254"/>
      <c r="HI9" s="254"/>
      <c r="HJ9" s="254"/>
      <c r="HK9" s="254"/>
      <c r="HL9" s="254"/>
      <c r="HM9" s="254"/>
      <c r="HN9" s="254"/>
      <c r="HO9" s="254"/>
      <c r="HP9" s="254"/>
      <c r="HQ9" s="254"/>
      <c r="HR9" s="254"/>
      <c r="HS9" s="254"/>
      <c r="HT9" s="254"/>
      <c r="HU9" s="254"/>
      <c r="HV9" s="254"/>
      <c r="HW9" s="254"/>
      <c r="HX9" s="254"/>
      <c r="HY9" s="254"/>
      <c r="HZ9" s="254"/>
      <c r="IA9" s="254"/>
      <c r="IB9" s="254"/>
      <c r="IC9" s="254"/>
      <c r="ID9" s="254"/>
      <c r="IE9" s="254"/>
      <c r="IF9" s="254"/>
      <c r="IG9" s="254"/>
      <c r="IH9" s="254"/>
      <c r="II9" s="254"/>
      <c r="IJ9" s="254"/>
      <c r="IK9" s="254"/>
      <c r="IL9" s="254"/>
      <c r="IM9" s="254"/>
      <c r="IN9" s="254"/>
      <c r="IO9" s="254"/>
      <c r="IP9" s="254"/>
      <c r="IQ9" s="254"/>
      <c r="IR9" s="254"/>
      <c r="IS9" s="254"/>
      <c r="IT9" s="254"/>
      <c r="IU9" s="362"/>
    </row>
    <row r="10" spans="1:255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391"/>
      <c r="Q10" s="391"/>
      <c r="R10" s="391"/>
      <c r="S10" s="391"/>
      <c r="T10" s="391"/>
      <c r="U10" s="391"/>
      <c r="V10" s="391"/>
      <c r="W10" s="391"/>
      <c r="X10" s="391"/>
      <c r="Y10" s="391"/>
      <c r="Z10" s="391"/>
      <c r="AA10" s="391"/>
      <c r="AB10" s="391"/>
      <c r="AC10" s="1118"/>
      <c r="AD10" s="1119"/>
      <c r="AE10" s="1119"/>
      <c r="AF10" s="1119"/>
      <c r="AG10" s="1118"/>
      <c r="AH10" s="1118"/>
      <c r="AI10" s="1118"/>
      <c r="AJ10" s="1118"/>
      <c r="AK10" s="1118"/>
      <c r="AL10" s="1118"/>
      <c r="AM10" s="1118"/>
      <c r="AN10" s="391"/>
      <c r="AO10" s="391"/>
      <c r="AP10" s="391"/>
      <c r="AQ10" s="391"/>
      <c r="AR10" s="391"/>
      <c r="AS10" s="391"/>
      <c r="AT10" s="391"/>
      <c r="AU10" s="391"/>
      <c r="AV10" s="391"/>
      <c r="AW10" s="391"/>
      <c r="AX10" s="391"/>
      <c r="AY10" s="391"/>
      <c r="AZ10" s="391"/>
      <c r="BA10" s="1120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54"/>
      <c r="BR10" s="254"/>
      <c r="BS10" s="254"/>
      <c r="BT10" s="254"/>
      <c r="BU10" s="254"/>
      <c r="BV10" s="254"/>
      <c r="BW10" s="254"/>
      <c r="BX10" s="254"/>
      <c r="BY10" s="254"/>
      <c r="BZ10" s="254"/>
      <c r="CA10" s="254"/>
      <c r="CB10" s="254"/>
      <c r="CC10" s="254"/>
      <c r="CD10" s="254"/>
      <c r="CE10" s="254"/>
      <c r="CF10" s="254"/>
      <c r="CG10" s="254"/>
      <c r="CH10" s="254"/>
      <c r="CI10" s="254"/>
      <c r="CJ10" s="254"/>
      <c r="CK10" s="254"/>
      <c r="CL10" s="254"/>
      <c r="CM10" s="254"/>
      <c r="CN10" s="254"/>
      <c r="CO10" s="254"/>
      <c r="CP10" s="254"/>
      <c r="CQ10" s="254"/>
      <c r="CR10" s="254"/>
      <c r="CS10" s="254"/>
      <c r="CT10" s="254"/>
      <c r="CU10" s="254"/>
      <c r="CV10" s="254"/>
      <c r="CW10" s="254"/>
      <c r="CX10" s="254"/>
      <c r="CY10" s="254"/>
      <c r="CZ10" s="254"/>
      <c r="DA10" s="254"/>
      <c r="DB10" s="254"/>
      <c r="DC10" s="254"/>
      <c r="DD10" s="254"/>
      <c r="DE10" s="254"/>
      <c r="DF10" s="254"/>
      <c r="DG10" s="254"/>
      <c r="DH10" s="254"/>
      <c r="DI10" s="254"/>
      <c r="DJ10" s="254"/>
      <c r="DK10" s="254"/>
      <c r="DL10" s="254"/>
      <c r="DM10" s="254"/>
      <c r="DN10" s="254"/>
      <c r="DO10" s="254"/>
      <c r="DP10" s="254"/>
      <c r="DQ10" s="254"/>
      <c r="DR10" s="254"/>
      <c r="DS10" s="254"/>
      <c r="DT10" s="254"/>
      <c r="DU10" s="254"/>
      <c r="DV10" s="254"/>
      <c r="DW10" s="254"/>
      <c r="DX10" s="254"/>
      <c r="DY10" s="254"/>
      <c r="DZ10" s="254"/>
      <c r="EA10" s="254"/>
      <c r="EB10" s="254"/>
      <c r="EC10" s="254"/>
      <c r="ED10" s="254"/>
      <c r="EE10" s="254"/>
      <c r="EF10" s="254"/>
      <c r="EG10" s="254"/>
      <c r="EH10" s="254"/>
      <c r="EI10" s="254"/>
      <c r="EJ10" s="254"/>
      <c r="EK10" s="254"/>
      <c r="EL10" s="254"/>
      <c r="EM10" s="254"/>
      <c r="EN10" s="254"/>
      <c r="EO10" s="254"/>
      <c r="EP10" s="254"/>
      <c r="EQ10" s="254"/>
      <c r="ER10" s="254"/>
      <c r="ES10" s="254"/>
      <c r="ET10" s="254"/>
      <c r="EU10" s="254"/>
      <c r="EV10" s="254"/>
      <c r="EW10" s="254"/>
      <c r="EX10" s="254"/>
      <c r="EY10" s="254"/>
      <c r="EZ10" s="254"/>
      <c r="FA10" s="254"/>
      <c r="FB10" s="254"/>
      <c r="FC10" s="254"/>
      <c r="FD10" s="254"/>
      <c r="FE10" s="254"/>
      <c r="FF10" s="254"/>
      <c r="FG10" s="254"/>
      <c r="FH10" s="254"/>
      <c r="FI10" s="254"/>
      <c r="FJ10" s="254"/>
      <c r="FK10" s="254"/>
      <c r="FL10" s="254"/>
      <c r="FM10" s="254"/>
      <c r="FN10" s="254"/>
      <c r="FO10" s="254"/>
      <c r="FP10" s="254"/>
      <c r="FQ10" s="254"/>
      <c r="FR10" s="254"/>
      <c r="FS10" s="254"/>
      <c r="FT10" s="254"/>
      <c r="FU10" s="254"/>
      <c r="FV10" s="254"/>
      <c r="FW10" s="254"/>
      <c r="FX10" s="254"/>
      <c r="FY10" s="254"/>
      <c r="FZ10" s="254"/>
      <c r="GA10" s="254"/>
      <c r="GB10" s="254"/>
      <c r="GC10" s="254"/>
      <c r="GD10" s="254"/>
      <c r="GE10" s="254"/>
      <c r="GF10" s="254"/>
      <c r="GG10" s="254"/>
      <c r="GH10" s="254"/>
      <c r="GI10" s="254"/>
      <c r="GJ10" s="254"/>
      <c r="GK10" s="254"/>
      <c r="GL10" s="254"/>
      <c r="GM10" s="254"/>
      <c r="GN10" s="254"/>
      <c r="GO10" s="254"/>
      <c r="GP10" s="254"/>
      <c r="GQ10" s="254"/>
      <c r="GR10" s="254"/>
      <c r="GS10" s="254"/>
      <c r="GT10" s="254"/>
      <c r="GU10" s="254"/>
      <c r="GV10" s="254"/>
      <c r="GW10" s="254"/>
      <c r="GX10" s="254"/>
      <c r="GY10" s="254"/>
      <c r="GZ10" s="254"/>
      <c r="HA10" s="254"/>
      <c r="HB10" s="254"/>
      <c r="HC10" s="254"/>
      <c r="HD10" s="254"/>
      <c r="HE10" s="254"/>
      <c r="HF10" s="254"/>
      <c r="HG10" s="254"/>
      <c r="HH10" s="254"/>
      <c r="HI10" s="254"/>
      <c r="HJ10" s="254"/>
      <c r="HK10" s="254"/>
      <c r="HL10" s="254"/>
      <c r="HM10" s="254"/>
      <c r="HN10" s="254"/>
      <c r="HO10" s="254"/>
      <c r="HP10" s="254"/>
      <c r="HQ10" s="254"/>
      <c r="HR10" s="254"/>
      <c r="HS10" s="254"/>
      <c r="HT10" s="254"/>
      <c r="HU10" s="254"/>
      <c r="HV10" s="254"/>
      <c r="HW10" s="254"/>
      <c r="HX10" s="254"/>
      <c r="HY10" s="254"/>
      <c r="HZ10" s="254"/>
      <c r="IA10" s="254"/>
      <c r="IB10" s="254"/>
      <c r="IC10" s="254"/>
      <c r="ID10" s="254"/>
      <c r="IE10" s="254"/>
      <c r="IF10" s="254"/>
      <c r="IG10" s="254"/>
      <c r="IH10" s="254"/>
      <c r="II10" s="254"/>
      <c r="IJ10" s="254"/>
      <c r="IK10" s="254"/>
      <c r="IL10" s="254"/>
      <c r="IM10" s="254"/>
      <c r="IN10" s="254"/>
      <c r="IO10" s="254"/>
      <c r="IP10" s="254"/>
      <c r="IQ10" s="254"/>
      <c r="IR10" s="254"/>
      <c r="IS10" s="254"/>
      <c r="IT10" s="254"/>
      <c r="IU10" s="362"/>
    </row>
    <row r="11" spans="1:255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255" t="s">
        <v>715</v>
      </c>
      <c r="Q11" s="1122">
        <v>36145</v>
      </c>
      <c r="R11" s="1123">
        <f>IF($H$19&lt;36144,$H$19,36144)</f>
        <v>0</v>
      </c>
      <c r="S11" s="391"/>
      <c r="T11" s="391"/>
      <c r="U11" s="391"/>
      <c r="V11" s="391"/>
      <c r="W11" s="391"/>
      <c r="X11" s="391"/>
      <c r="Y11" s="391"/>
      <c r="Z11" s="391"/>
      <c r="AA11" s="391"/>
      <c r="AB11" s="391"/>
      <c r="AC11" s="1118"/>
      <c r="AD11" s="1119"/>
      <c r="AE11" s="1119"/>
      <c r="AF11" s="1119"/>
      <c r="AG11" s="1118"/>
      <c r="AH11" s="1118"/>
      <c r="AI11" s="1118"/>
      <c r="AJ11" s="1118"/>
      <c r="AK11" s="1118"/>
      <c r="AL11" s="1118"/>
      <c r="AM11" s="1118"/>
      <c r="AN11" s="391"/>
      <c r="AO11" s="391"/>
      <c r="AP11" s="391"/>
      <c r="AQ11" s="391"/>
      <c r="AR11" s="391"/>
      <c r="AS11" s="391"/>
      <c r="AT11" s="391"/>
      <c r="AU11" s="391"/>
      <c r="AV11" s="391"/>
      <c r="AW11" s="391"/>
      <c r="AX11" s="391"/>
      <c r="AY11" s="391"/>
      <c r="AZ11" s="391"/>
      <c r="BA11" s="1120"/>
      <c r="BB11" s="254"/>
      <c r="BC11" s="254"/>
      <c r="BD11" s="254"/>
      <c r="BE11" s="254"/>
      <c r="BF11" s="254"/>
      <c r="BG11" s="254"/>
      <c r="BH11" s="254"/>
      <c r="BI11" s="254"/>
      <c r="BJ11" s="254"/>
      <c r="BK11" s="254"/>
      <c r="BL11" s="254"/>
      <c r="BM11" s="254"/>
      <c r="BN11" s="254"/>
      <c r="BO11" s="254"/>
      <c r="BP11" s="254"/>
      <c r="BQ11" s="254"/>
      <c r="BR11" s="254"/>
      <c r="BS11" s="254"/>
      <c r="BT11" s="254"/>
      <c r="BU11" s="254"/>
      <c r="BV11" s="254"/>
      <c r="BW11" s="254"/>
      <c r="BX11" s="254"/>
      <c r="BY11" s="254"/>
      <c r="BZ11" s="254"/>
      <c r="CA11" s="254"/>
      <c r="CB11" s="254"/>
      <c r="CC11" s="254"/>
      <c r="CD11" s="254"/>
      <c r="CE11" s="254"/>
      <c r="CF11" s="254"/>
      <c r="CG11" s="254"/>
      <c r="CH11" s="254"/>
      <c r="CI11" s="254"/>
      <c r="CJ11" s="254"/>
      <c r="CK11" s="254"/>
      <c r="CL11" s="254"/>
      <c r="CM11" s="254"/>
      <c r="CN11" s="254"/>
      <c r="CO11" s="254"/>
      <c r="CP11" s="254"/>
      <c r="CQ11" s="254"/>
      <c r="CR11" s="254"/>
      <c r="CS11" s="254"/>
      <c r="CT11" s="254"/>
      <c r="CU11" s="254"/>
      <c r="CV11" s="254"/>
      <c r="CW11" s="254"/>
      <c r="CX11" s="254"/>
      <c r="CY11" s="254"/>
      <c r="CZ11" s="254"/>
      <c r="DA11" s="254"/>
      <c r="DB11" s="254"/>
      <c r="DC11" s="254"/>
      <c r="DD11" s="254"/>
      <c r="DE11" s="254"/>
      <c r="DF11" s="254"/>
      <c r="DG11" s="254"/>
      <c r="DH11" s="254"/>
      <c r="DI11" s="254"/>
      <c r="DJ11" s="254"/>
      <c r="DK11" s="254"/>
      <c r="DL11" s="254"/>
      <c r="DM11" s="254"/>
      <c r="DN11" s="254"/>
      <c r="DO11" s="254"/>
      <c r="DP11" s="254"/>
      <c r="DQ11" s="254"/>
      <c r="DR11" s="254"/>
      <c r="DS11" s="254"/>
      <c r="DT11" s="254"/>
      <c r="DU11" s="254"/>
      <c r="DV11" s="254"/>
      <c r="DW11" s="254"/>
      <c r="DX11" s="254"/>
      <c r="DY11" s="254"/>
      <c r="DZ11" s="254"/>
      <c r="EA11" s="254"/>
      <c r="EB11" s="254"/>
      <c r="EC11" s="254"/>
      <c r="ED11" s="254"/>
      <c r="EE11" s="254"/>
      <c r="EF11" s="254"/>
      <c r="EG11" s="254"/>
      <c r="EH11" s="254"/>
      <c r="EI11" s="254"/>
      <c r="EJ11" s="254"/>
      <c r="EK11" s="254"/>
      <c r="EL11" s="254"/>
      <c r="EM11" s="254"/>
      <c r="EN11" s="254"/>
      <c r="EO11" s="254"/>
      <c r="EP11" s="254"/>
      <c r="EQ11" s="254"/>
      <c r="ER11" s="254"/>
      <c r="ES11" s="254"/>
      <c r="ET11" s="254"/>
      <c r="EU11" s="254"/>
      <c r="EV11" s="254"/>
      <c r="EW11" s="254"/>
      <c r="EX11" s="254"/>
      <c r="EY11" s="254"/>
      <c r="EZ11" s="254"/>
      <c r="FA11" s="254"/>
      <c r="FB11" s="254"/>
      <c r="FC11" s="254"/>
      <c r="FD11" s="254"/>
      <c r="FE11" s="254"/>
      <c r="FF11" s="254"/>
      <c r="FG11" s="254"/>
      <c r="FH11" s="254"/>
      <c r="FI11" s="254"/>
      <c r="FJ11" s="254"/>
      <c r="FK11" s="254"/>
      <c r="FL11" s="254"/>
      <c r="FM11" s="254"/>
      <c r="FN11" s="254"/>
      <c r="FO11" s="254"/>
      <c r="FP11" s="254"/>
      <c r="FQ11" s="254"/>
      <c r="FR11" s="254"/>
      <c r="FS11" s="254"/>
      <c r="FT11" s="254"/>
      <c r="FU11" s="254"/>
      <c r="FV11" s="254"/>
      <c r="FW11" s="254"/>
      <c r="FX11" s="254"/>
      <c r="FY11" s="254"/>
      <c r="FZ11" s="254"/>
      <c r="GA11" s="254"/>
      <c r="GB11" s="254"/>
      <c r="GC11" s="254"/>
      <c r="GD11" s="254"/>
      <c r="GE11" s="254"/>
      <c r="GF11" s="254"/>
      <c r="GG11" s="254"/>
      <c r="GH11" s="254"/>
      <c r="GI11" s="254"/>
      <c r="GJ11" s="254"/>
      <c r="GK11" s="254"/>
      <c r="GL11" s="254"/>
      <c r="GM11" s="254"/>
      <c r="GN11" s="254"/>
      <c r="GO11" s="254"/>
      <c r="GP11" s="254"/>
      <c r="GQ11" s="254"/>
      <c r="GR11" s="254"/>
      <c r="GS11" s="254"/>
      <c r="GT11" s="254"/>
      <c r="GU11" s="254"/>
      <c r="GV11" s="254"/>
      <c r="GW11" s="254"/>
      <c r="GX11" s="254"/>
      <c r="GY11" s="254"/>
      <c r="GZ11" s="254"/>
      <c r="HA11" s="254"/>
      <c r="HB11" s="254"/>
      <c r="HC11" s="254"/>
      <c r="HD11" s="254"/>
      <c r="HE11" s="254"/>
      <c r="HF11" s="254"/>
      <c r="HG11" s="254"/>
      <c r="HH11" s="254"/>
      <c r="HI11" s="254"/>
      <c r="HJ11" s="254"/>
      <c r="HK11" s="254"/>
      <c r="HL11" s="254"/>
      <c r="HM11" s="254"/>
      <c r="HN11" s="254"/>
      <c r="HO11" s="254"/>
      <c r="HP11" s="254"/>
      <c r="HQ11" s="254"/>
      <c r="HR11" s="254"/>
      <c r="HS11" s="254"/>
      <c r="HT11" s="254"/>
      <c r="HU11" s="254"/>
      <c r="HV11" s="254"/>
      <c r="HW11" s="254"/>
      <c r="HX11" s="254"/>
      <c r="HY11" s="254"/>
      <c r="HZ11" s="254"/>
      <c r="IA11" s="254"/>
      <c r="IB11" s="254"/>
      <c r="IC11" s="254"/>
      <c r="ID11" s="254"/>
      <c r="IE11" s="254"/>
      <c r="IF11" s="254"/>
      <c r="IG11" s="254"/>
      <c r="IH11" s="254"/>
      <c r="II11" s="254"/>
      <c r="IJ11" s="254"/>
      <c r="IK11" s="254"/>
      <c r="IL11" s="254"/>
      <c r="IM11" s="254"/>
      <c r="IN11" s="254"/>
      <c r="IO11" s="254"/>
      <c r="IP11" s="254"/>
      <c r="IQ11" s="254"/>
      <c r="IR11" s="254"/>
      <c r="IS11" s="254"/>
      <c r="IT11" s="254"/>
      <c r="IU11" s="362"/>
    </row>
    <row r="12" spans="1:255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255" t="s">
        <v>717</v>
      </c>
      <c r="Q12" s="1124">
        <v>38037</v>
      </c>
      <c r="R12" s="1123">
        <f>IF($H$19&lt;38036,$H$19,38036)</f>
        <v>0</v>
      </c>
      <c r="S12" s="391"/>
      <c r="T12" s="391"/>
      <c r="U12" s="391"/>
      <c r="V12" s="391"/>
      <c r="W12" s="391"/>
      <c r="X12" s="391"/>
      <c r="Y12" s="391"/>
      <c r="Z12" s="391"/>
      <c r="AA12" s="391"/>
      <c r="AB12" s="391"/>
      <c r="AC12" s="1118"/>
      <c r="AD12" s="1119"/>
      <c r="AE12" s="1119"/>
      <c r="AF12" s="1119"/>
      <c r="AG12" s="1118"/>
      <c r="AH12" s="1118"/>
      <c r="AI12" s="1118"/>
      <c r="AJ12" s="1118"/>
      <c r="AK12" s="1118"/>
      <c r="AL12" s="1118"/>
      <c r="AM12" s="1118"/>
      <c r="AN12" s="391"/>
      <c r="AO12" s="391"/>
      <c r="AP12" s="391"/>
      <c r="AQ12" s="391"/>
      <c r="AR12" s="391"/>
      <c r="AS12" s="391"/>
      <c r="AT12" s="391"/>
      <c r="AU12" s="391"/>
      <c r="AV12" s="391"/>
      <c r="AW12" s="391"/>
      <c r="AX12" s="391"/>
      <c r="AY12" s="391"/>
      <c r="AZ12" s="391"/>
      <c r="BA12" s="1120"/>
      <c r="BB12" s="254"/>
      <c r="BC12" s="254"/>
      <c r="BD12" s="254"/>
      <c r="BE12" s="254"/>
      <c r="BF12" s="254"/>
      <c r="BG12" s="254"/>
      <c r="BH12" s="254"/>
      <c r="BI12" s="254"/>
      <c r="BJ12" s="254"/>
      <c r="BK12" s="254"/>
      <c r="BL12" s="254"/>
      <c r="BM12" s="254"/>
      <c r="BN12" s="254"/>
      <c r="BO12" s="254"/>
      <c r="BP12" s="254"/>
      <c r="BQ12" s="254"/>
      <c r="BR12" s="254"/>
      <c r="BS12" s="254"/>
      <c r="BT12" s="254"/>
      <c r="BU12" s="254"/>
      <c r="BV12" s="254"/>
      <c r="BW12" s="254"/>
      <c r="BX12" s="254"/>
      <c r="BY12" s="254"/>
      <c r="BZ12" s="254"/>
      <c r="CA12" s="254"/>
      <c r="CB12" s="254"/>
      <c r="CC12" s="254"/>
      <c r="CD12" s="254"/>
      <c r="CE12" s="254"/>
      <c r="CF12" s="254"/>
      <c r="CG12" s="254"/>
      <c r="CH12" s="254"/>
      <c r="CI12" s="254"/>
      <c r="CJ12" s="254"/>
      <c r="CK12" s="254"/>
      <c r="CL12" s="254"/>
      <c r="CM12" s="254"/>
      <c r="CN12" s="254"/>
      <c r="CO12" s="254"/>
      <c r="CP12" s="254"/>
      <c r="CQ12" s="254"/>
      <c r="CR12" s="254"/>
      <c r="CS12" s="254"/>
      <c r="CT12" s="254"/>
      <c r="CU12" s="254"/>
      <c r="CV12" s="254"/>
      <c r="CW12" s="254"/>
      <c r="CX12" s="254"/>
      <c r="CY12" s="254"/>
      <c r="CZ12" s="254"/>
      <c r="DA12" s="254"/>
      <c r="DB12" s="254"/>
      <c r="DC12" s="254"/>
      <c r="DD12" s="254"/>
      <c r="DE12" s="254"/>
      <c r="DF12" s="254"/>
      <c r="DG12" s="254"/>
      <c r="DH12" s="254"/>
      <c r="DI12" s="254"/>
      <c r="DJ12" s="254"/>
      <c r="DK12" s="254"/>
      <c r="DL12" s="254"/>
      <c r="DM12" s="254"/>
      <c r="DN12" s="254"/>
      <c r="DO12" s="254"/>
      <c r="DP12" s="254"/>
      <c r="DQ12" s="254"/>
      <c r="DR12" s="254"/>
      <c r="DS12" s="254"/>
      <c r="DT12" s="254"/>
      <c r="DU12" s="254"/>
      <c r="DV12" s="254"/>
      <c r="DW12" s="254"/>
      <c r="DX12" s="254"/>
      <c r="DY12" s="254"/>
      <c r="DZ12" s="254"/>
      <c r="EA12" s="254"/>
      <c r="EB12" s="254"/>
      <c r="EC12" s="254"/>
      <c r="ED12" s="254"/>
      <c r="EE12" s="254"/>
      <c r="EF12" s="254"/>
      <c r="EG12" s="254"/>
      <c r="EH12" s="254"/>
      <c r="EI12" s="254"/>
      <c r="EJ12" s="254"/>
      <c r="EK12" s="254"/>
      <c r="EL12" s="254"/>
      <c r="EM12" s="254"/>
      <c r="EN12" s="254"/>
      <c r="EO12" s="254"/>
      <c r="EP12" s="254"/>
      <c r="EQ12" s="254"/>
      <c r="ER12" s="254"/>
      <c r="ES12" s="254"/>
      <c r="ET12" s="254"/>
      <c r="EU12" s="254"/>
      <c r="EV12" s="254"/>
      <c r="EW12" s="254"/>
      <c r="EX12" s="254"/>
      <c r="EY12" s="254"/>
      <c r="EZ12" s="254"/>
      <c r="FA12" s="254"/>
      <c r="FB12" s="254"/>
      <c r="FC12" s="254"/>
      <c r="FD12" s="254"/>
      <c r="FE12" s="254"/>
      <c r="FF12" s="254"/>
      <c r="FG12" s="254"/>
      <c r="FH12" s="254"/>
      <c r="FI12" s="254"/>
      <c r="FJ12" s="254"/>
      <c r="FK12" s="254"/>
      <c r="FL12" s="254"/>
      <c r="FM12" s="254"/>
      <c r="FN12" s="254"/>
      <c r="FO12" s="254"/>
      <c r="FP12" s="254"/>
      <c r="FQ12" s="254"/>
      <c r="FR12" s="254"/>
      <c r="FS12" s="254"/>
      <c r="FT12" s="254"/>
      <c r="FU12" s="254"/>
      <c r="FV12" s="254"/>
      <c r="FW12" s="254"/>
      <c r="FX12" s="254"/>
      <c r="FY12" s="254"/>
      <c r="FZ12" s="254"/>
      <c r="GA12" s="254"/>
      <c r="GB12" s="254"/>
      <c r="GC12" s="254"/>
      <c r="GD12" s="254"/>
      <c r="GE12" s="254"/>
      <c r="GF12" s="254"/>
      <c r="GG12" s="254"/>
      <c r="GH12" s="254"/>
      <c r="GI12" s="254"/>
      <c r="GJ12" s="254"/>
      <c r="GK12" s="254"/>
      <c r="GL12" s="254"/>
      <c r="GM12" s="254"/>
      <c r="GN12" s="254"/>
      <c r="GO12" s="254"/>
      <c r="GP12" s="254"/>
      <c r="GQ12" s="254"/>
      <c r="GR12" s="254"/>
      <c r="GS12" s="254"/>
      <c r="GT12" s="254"/>
      <c r="GU12" s="254"/>
      <c r="GV12" s="254"/>
      <c r="GW12" s="254"/>
      <c r="GX12" s="254"/>
      <c r="GY12" s="254"/>
      <c r="GZ12" s="254"/>
      <c r="HA12" s="254"/>
      <c r="HB12" s="254"/>
      <c r="HC12" s="254"/>
      <c r="HD12" s="254"/>
      <c r="HE12" s="254"/>
      <c r="HF12" s="254"/>
      <c r="HG12" s="254"/>
      <c r="HH12" s="254"/>
      <c r="HI12" s="254"/>
      <c r="HJ12" s="254"/>
      <c r="HK12" s="254"/>
      <c r="HL12" s="254"/>
      <c r="HM12" s="254"/>
      <c r="HN12" s="254"/>
      <c r="HO12" s="254"/>
      <c r="HP12" s="254"/>
      <c r="HQ12" s="254"/>
      <c r="HR12" s="254"/>
      <c r="HS12" s="254"/>
      <c r="HT12" s="254"/>
      <c r="HU12" s="254"/>
      <c r="HV12" s="254"/>
      <c r="HW12" s="254"/>
      <c r="HX12" s="254"/>
      <c r="HY12" s="254"/>
      <c r="HZ12" s="254"/>
      <c r="IA12" s="254"/>
      <c r="IB12" s="254"/>
      <c r="IC12" s="254"/>
      <c r="ID12" s="254"/>
      <c r="IE12" s="254"/>
      <c r="IF12" s="254"/>
      <c r="IG12" s="254"/>
      <c r="IH12" s="254"/>
      <c r="II12" s="254"/>
      <c r="IJ12" s="254"/>
      <c r="IK12" s="254"/>
      <c r="IL12" s="254"/>
      <c r="IM12" s="254"/>
      <c r="IN12" s="254"/>
      <c r="IO12" s="254"/>
      <c r="IP12" s="254"/>
      <c r="IQ12" s="254"/>
      <c r="IR12" s="254"/>
      <c r="IS12" s="254"/>
      <c r="IT12" s="254"/>
      <c r="IU12" s="362"/>
    </row>
    <row r="13" spans="1:255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055">
        <f>IF($J$8=0,0,O$10-$J$8-$O$63-$O$61)</f>
        <v>0</v>
      </c>
      <c r="P13" s="255" t="s">
        <v>716</v>
      </c>
      <c r="Q13" s="1122">
        <v>37986</v>
      </c>
      <c r="R13" s="1123">
        <f>IF($H$19&lt;37985,$H$19,37985)</f>
        <v>0</v>
      </c>
      <c r="S13" s="391"/>
      <c r="T13" s="391"/>
      <c r="U13" s="391"/>
      <c r="V13" s="391"/>
      <c r="W13" s="391"/>
      <c r="X13" s="391"/>
      <c r="Y13" s="391"/>
      <c r="Z13" s="391"/>
      <c r="AA13" s="391"/>
      <c r="AB13" s="391"/>
      <c r="AC13" s="1118"/>
      <c r="AD13" s="1119"/>
      <c r="AE13" s="1119"/>
      <c r="AF13" s="1119"/>
      <c r="AG13" s="1118"/>
      <c r="AH13" s="1118"/>
      <c r="AI13" s="1118"/>
      <c r="AJ13" s="1118"/>
      <c r="AK13" s="1118"/>
      <c r="AL13" s="1118"/>
      <c r="AM13" s="1118"/>
      <c r="AN13" s="391"/>
      <c r="AO13" s="391"/>
      <c r="AP13" s="391"/>
      <c r="AQ13" s="391"/>
      <c r="AR13" s="391"/>
      <c r="AS13" s="391"/>
      <c r="AT13" s="391"/>
      <c r="AU13" s="391"/>
      <c r="AV13" s="391"/>
      <c r="AW13" s="391"/>
      <c r="AX13" s="391"/>
      <c r="AY13" s="391"/>
      <c r="AZ13" s="391"/>
      <c r="BA13" s="1120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Q13" s="254"/>
      <c r="CR13" s="254"/>
      <c r="CS13" s="254"/>
      <c r="CT13" s="254"/>
      <c r="CU13" s="254"/>
      <c r="CV13" s="254"/>
      <c r="CW13" s="254"/>
      <c r="CX13" s="254"/>
      <c r="CY13" s="254"/>
      <c r="CZ13" s="254"/>
      <c r="DA13" s="254"/>
      <c r="DB13" s="254"/>
      <c r="DC13" s="254"/>
      <c r="DD13" s="254"/>
      <c r="DE13" s="254"/>
      <c r="DF13" s="254"/>
      <c r="DG13" s="254"/>
      <c r="DH13" s="254"/>
      <c r="DI13" s="254"/>
      <c r="DJ13" s="254"/>
      <c r="DK13" s="254"/>
      <c r="DL13" s="254"/>
      <c r="DM13" s="254"/>
      <c r="DN13" s="254"/>
      <c r="DO13" s="254"/>
      <c r="DP13" s="254"/>
      <c r="DQ13" s="254"/>
      <c r="DR13" s="254"/>
      <c r="DS13" s="254"/>
      <c r="DT13" s="254"/>
      <c r="DU13" s="254"/>
      <c r="DV13" s="254"/>
      <c r="DW13" s="254"/>
      <c r="DX13" s="254"/>
      <c r="DY13" s="254"/>
      <c r="DZ13" s="254"/>
      <c r="EA13" s="254"/>
      <c r="EB13" s="254"/>
      <c r="EC13" s="254"/>
      <c r="ED13" s="254"/>
      <c r="EE13" s="254"/>
      <c r="EF13" s="254"/>
      <c r="EG13" s="254"/>
      <c r="EH13" s="254"/>
      <c r="EI13" s="254"/>
      <c r="EJ13" s="254"/>
      <c r="EK13" s="254"/>
      <c r="EL13" s="254"/>
      <c r="EM13" s="254"/>
      <c r="EN13" s="254"/>
      <c r="EO13" s="254"/>
      <c r="EP13" s="254"/>
      <c r="EQ13" s="254"/>
      <c r="ER13" s="254"/>
      <c r="ES13" s="254"/>
      <c r="ET13" s="254"/>
      <c r="EU13" s="254"/>
      <c r="EV13" s="254"/>
      <c r="EW13" s="254"/>
      <c r="EX13" s="254"/>
      <c r="EY13" s="254"/>
      <c r="EZ13" s="254"/>
      <c r="FA13" s="254"/>
      <c r="FB13" s="254"/>
      <c r="FC13" s="254"/>
      <c r="FD13" s="254"/>
      <c r="FE13" s="254"/>
      <c r="FF13" s="254"/>
      <c r="FG13" s="254"/>
      <c r="FH13" s="254"/>
      <c r="FI13" s="254"/>
      <c r="FJ13" s="254"/>
      <c r="FK13" s="254"/>
      <c r="FL13" s="254"/>
      <c r="FM13" s="254"/>
      <c r="FN13" s="254"/>
      <c r="FO13" s="254"/>
      <c r="FP13" s="254"/>
      <c r="FQ13" s="254"/>
      <c r="FR13" s="254"/>
      <c r="FS13" s="254"/>
      <c r="FT13" s="254"/>
      <c r="FU13" s="254"/>
      <c r="FV13" s="254"/>
      <c r="FW13" s="254"/>
      <c r="FX13" s="254"/>
      <c r="FY13" s="254"/>
      <c r="FZ13" s="254"/>
      <c r="GA13" s="254"/>
      <c r="GB13" s="254"/>
      <c r="GC13" s="254"/>
      <c r="GD13" s="254"/>
      <c r="GE13" s="254"/>
      <c r="GF13" s="254"/>
      <c r="GG13" s="254"/>
      <c r="GH13" s="254"/>
      <c r="GI13" s="254"/>
      <c r="GJ13" s="254"/>
      <c r="GK13" s="254"/>
      <c r="GL13" s="254"/>
      <c r="GM13" s="254"/>
      <c r="GN13" s="254"/>
      <c r="GO13" s="254"/>
      <c r="GP13" s="254"/>
      <c r="GQ13" s="254"/>
      <c r="GR13" s="254"/>
      <c r="GS13" s="254"/>
      <c r="GT13" s="254"/>
      <c r="GU13" s="254"/>
      <c r="GV13" s="254"/>
      <c r="GW13" s="254"/>
      <c r="GX13" s="254"/>
      <c r="GY13" s="254"/>
      <c r="GZ13" s="254"/>
      <c r="HA13" s="254"/>
      <c r="HB13" s="254"/>
      <c r="HC13" s="254"/>
      <c r="HD13" s="254"/>
      <c r="HE13" s="254"/>
      <c r="HF13" s="254"/>
      <c r="HG13" s="254"/>
      <c r="HH13" s="254"/>
      <c r="HI13" s="254"/>
      <c r="HJ13" s="254"/>
      <c r="HK13" s="254"/>
      <c r="HL13" s="254"/>
      <c r="HM13" s="254"/>
      <c r="HN13" s="254"/>
      <c r="HO13" s="254"/>
      <c r="HP13" s="254"/>
      <c r="HQ13" s="254"/>
      <c r="HR13" s="254"/>
      <c r="HS13" s="254"/>
      <c r="HT13" s="254"/>
      <c r="HU13" s="254"/>
      <c r="HV13" s="254"/>
      <c r="HW13" s="254"/>
      <c r="HX13" s="254"/>
      <c r="HY13" s="254"/>
      <c r="HZ13" s="254"/>
      <c r="IA13" s="254"/>
      <c r="IB13" s="254"/>
      <c r="IC13" s="254"/>
      <c r="ID13" s="254"/>
      <c r="IE13" s="254"/>
      <c r="IF13" s="254"/>
      <c r="IG13" s="254"/>
      <c r="IH13" s="254"/>
      <c r="II13" s="254"/>
      <c r="IJ13" s="254"/>
      <c r="IK13" s="254"/>
      <c r="IL13" s="254"/>
      <c r="IM13" s="254"/>
      <c r="IN13" s="254"/>
      <c r="IO13" s="254"/>
      <c r="IP13" s="254"/>
      <c r="IQ13" s="254"/>
      <c r="IR13" s="254"/>
      <c r="IS13" s="254"/>
      <c r="IT13" s="254"/>
      <c r="IU13" s="362"/>
    </row>
    <row r="14" spans="1:255" x14ac:dyDescent="0.15">
      <c r="A14" s="295"/>
      <c r="B14" s="249" t="s">
        <v>735</v>
      </c>
      <c r="C14" s="150"/>
      <c r="D14" s="656" t="s">
        <v>744</v>
      </c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055">
        <f>IF($J$9=0,0,O$10-$J$9-$O$63-$O$61)</f>
        <v>0</v>
      </c>
      <c r="P14" s="255" t="s">
        <v>545</v>
      </c>
      <c r="Q14" s="1122">
        <v>32421</v>
      </c>
      <c r="R14" s="1122"/>
      <c r="S14" s="391"/>
      <c r="T14" s="391"/>
      <c r="U14" s="391"/>
      <c r="V14" s="391"/>
      <c r="W14" s="391"/>
      <c r="X14" s="391"/>
      <c r="Y14" s="391"/>
      <c r="Z14" s="391"/>
      <c r="AA14" s="391"/>
      <c r="AB14" s="391"/>
      <c r="AC14" s="1118"/>
      <c r="AD14" s="1119"/>
      <c r="AE14" s="1119"/>
      <c r="AF14" s="1119"/>
      <c r="AG14" s="1118"/>
      <c r="AH14" s="1118"/>
      <c r="AI14" s="1118"/>
      <c r="AJ14" s="1118"/>
      <c r="AK14" s="1118"/>
      <c r="AL14" s="1118"/>
      <c r="AM14" s="1118"/>
      <c r="AN14" s="391"/>
      <c r="AO14" s="391"/>
      <c r="AP14" s="391"/>
      <c r="AQ14" s="391"/>
      <c r="AR14" s="391"/>
      <c r="AS14" s="391"/>
      <c r="AT14" s="391"/>
      <c r="AU14" s="391"/>
      <c r="AV14" s="391"/>
      <c r="AW14" s="391"/>
      <c r="AX14" s="391"/>
      <c r="AY14" s="391"/>
      <c r="AZ14" s="391"/>
      <c r="BA14" s="1120"/>
      <c r="BB14" s="254"/>
      <c r="BC14" s="254"/>
      <c r="BD14" s="254"/>
      <c r="BE14" s="254"/>
      <c r="BF14" s="254"/>
      <c r="BG14" s="254"/>
      <c r="BH14" s="254"/>
      <c r="BI14" s="254"/>
      <c r="BJ14" s="254"/>
      <c r="BK14" s="254"/>
      <c r="BL14" s="254"/>
      <c r="BM14" s="254"/>
      <c r="BN14" s="254"/>
      <c r="BO14" s="254"/>
      <c r="BP14" s="254"/>
      <c r="BQ14" s="254"/>
      <c r="BR14" s="254"/>
      <c r="BS14" s="254"/>
      <c r="BT14" s="254"/>
      <c r="BU14" s="254"/>
      <c r="BV14" s="254"/>
      <c r="BW14" s="254"/>
      <c r="BX14" s="254"/>
      <c r="BY14" s="254"/>
      <c r="BZ14" s="254"/>
      <c r="CA14" s="254"/>
      <c r="CB14" s="254"/>
      <c r="CC14" s="254"/>
      <c r="CD14" s="254"/>
      <c r="CE14" s="254"/>
      <c r="CF14" s="254"/>
      <c r="CG14" s="254"/>
      <c r="CH14" s="254"/>
      <c r="CI14" s="254"/>
      <c r="CJ14" s="254"/>
      <c r="CK14" s="254"/>
      <c r="CL14" s="254"/>
      <c r="CM14" s="254"/>
      <c r="CN14" s="254"/>
      <c r="CO14" s="254"/>
      <c r="CP14" s="254"/>
      <c r="CQ14" s="254"/>
      <c r="CR14" s="254"/>
      <c r="CS14" s="254"/>
      <c r="CT14" s="254"/>
      <c r="CU14" s="254"/>
      <c r="CV14" s="254"/>
      <c r="CW14" s="254"/>
      <c r="CX14" s="254"/>
      <c r="CY14" s="254"/>
      <c r="CZ14" s="254"/>
      <c r="DA14" s="254"/>
      <c r="DB14" s="254"/>
      <c r="DC14" s="254"/>
      <c r="DD14" s="254"/>
      <c r="DE14" s="254"/>
      <c r="DF14" s="254"/>
      <c r="DG14" s="254"/>
      <c r="DH14" s="254"/>
      <c r="DI14" s="254"/>
      <c r="DJ14" s="254"/>
      <c r="DK14" s="254"/>
      <c r="DL14" s="254"/>
      <c r="DM14" s="254"/>
      <c r="DN14" s="254"/>
      <c r="DO14" s="254"/>
      <c r="DP14" s="254"/>
      <c r="DQ14" s="254"/>
      <c r="DR14" s="254"/>
      <c r="DS14" s="254"/>
      <c r="DT14" s="254"/>
      <c r="DU14" s="254"/>
      <c r="DV14" s="254"/>
      <c r="DW14" s="254"/>
      <c r="DX14" s="254"/>
      <c r="DY14" s="254"/>
      <c r="DZ14" s="254"/>
      <c r="EA14" s="254"/>
      <c r="EB14" s="254"/>
      <c r="EC14" s="254"/>
      <c r="ED14" s="254"/>
      <c r="EE14" s="254"/>
      <c r="EF14" s="254"/>
      <c r="EG14" s="254"/>
      <c r="EH14" s="254"/>
      <c r="EI14" s="254"/>
      <c r="EJ14" s="254"/>
      <c r="EK14" s="254"/>
      <c r="EL14" s="254"/>
      <c r="EM14" s="254"/>
      <c r="EN14" s="254"/>
      <c r="EO14" s="254"/>
      <c r="EP14" s="254"/>
      <c r="EQ14" s="254"/>
      <c r="ER14" s="254"/>
      <c r="ES14" s="254"/>
      <c r="ET14" s="254"/>
      <c r="EU14" s="254"/>
      <c r="EV14" s="254"/>
      <c r="EW14" s="254"/>
      <c r="EX14" s="254"/>
      <c r="EY14" s="254"/>
      <c r="EZ14" s="254"/>
      <c r="FA14" s="254"/>
      <c r="FB14" s="254"/>
      <c r="FC14" s="254"/>
      <c r="FD14" s="254"/>
      <c r="FE14" s="254"/>
      <c r="FF14" s="254"/>
      <c r="FG14" s="254"/>
      <c r="FH14" s="254"/>
      <c r="FI14" s="254"/>
      <c r="FJ14" s="254"/>
      <c r="FK14" s="254"/>
      <c r="FL14" s="254"/>
      <c r="FM14" s="254"/>
      <c r="FN14" s="254"/>
      <c r="FO14" s="254"/>
      <c r="FP14" s="254"/>
      <c r="FQ14" s="254"/>
      <c r="FR14" s="254"/>
      <c r="FS14" s="254"/>
      <c r="FT14" s="254"/>
      <c r="FU14" s="254"/>
      <c r="FV14" s="254"/>
      <c r="FW14" s="254"/>
      <c r="FX14" s="254"/>
      <c r="FY14" s="254"/>
      <c r="FZ14" s="254"/>
      <c r="GA14" s="254"/>
      <c r="GB14" s="254"/>
      <c r="GC14" s="254"/>
      <c r="GD14" s="254"/>
      <c r="GE14" s="254"/>
      <c r="GF14" s="254"/>
      <c r="GG14" s="254"/>
      <c r="GH14" s="254"/>
      <c r="GI14" s="254"/>
      <c r="GJ14" s="254"/>
      <c r="GK14" s="254"/>
      <c r="GL14" s="254"/>
      <c r="GM14" s="254"/>
      <c r="GN14" s="254"/>
      <c r="GO14" s="254"/>
      <c r="GP14" s="254"/>
      <c r="GQ14" s="254"/>
      <c r="GR14" s="254"/>
      <c r="GS14" s="254"/>
      <c r="GT14" s="254"/>
      <c r="GU14" s="254"/>
      <c r="GV14" s="254"/>
      <c r="GW14" s="254"/>
      <c r="GX14" s="254"/>
      <c r="GY14" s="254"/>
      <c r="GZ14" s="254"/>
      <c r="HA14" s="254"/>
      <c r="HB14" s="254"/>
      <c r="HC14" s="254"/>
      <c r="HD14" s="254"/>
      <c r="HE14" s="254"/>
      <c r="HF14" s="254"/>
      <c r="HG14" s="254"/>
      <c r="HH14" s="254"/>
      <c r="HI14" s="254"/>
      <c r="HJ14" s="254"/>
      <c r="HK14" s="254"/>
      <c r="HL14" s="254"/>
      <c r="HM14" s="254"/>
      <c r="HN14" s="254"/>
      <c r="HO14" s="254"/>
      <c r="HP14" s="254"/>
      <c r="HQ14" s="254"/>
      <c r="HR14" s="254"/>
      <c r="HS14" s="254"/>
      <c r="HT14" s="254"/>
      <c r="HU14" s="254"/>
      <c r="HV14" s="254"/>
      <c r="HW14" s="254"/>
      <c r="HX14" s="254"/>
      <c r="HY14" s="254"/>
      <c r="HZ14" s="254"/>
      <c r="IA14" s="254"/>
      <c r="IB14" s="254"/>
      <c r="IC14" s="254"/>
      <c r="ID14" s="254"/>
      <c r="IE14" s="254"/>
      <c r="IF14" s="254"/>
      <c r="IG14" s="254"/>
      <c r="IH14" s="254"/>
      <c r="II14" s="254"/>
      <c r="IJ14" s="254"/>
      <c r="IK14" s="254"/>
      <c r="IL14" s="254"/>
      <c r="IM14" s="254"/>
      <c r="IN14" s="254"/>
      <c r="IO14" s="254"/>
      <c r="IP14" s="254"/>
      <c r="IQ14" s="254"/>
      <c r="IR14" s="254"/>
      <c r="IS14" s="254"/>
      <c r="IT14" s="254"/>
      <c r="IU14" s="362"/>
    </row>
    <row r="15" spans="1:255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055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255" t="s">
        <v>705</v>
      </c>
      <c r="Q15" s="1122">
        <v>35915</v>
      </c>
      <c r="R15" s="1122"/>
      <c r="S15" s="391"/>
      <c r="T15" s="391"/>
      <c r="U15" s="391"/>
      <c r="V15" s="391"/>
      <c r="W15" s="391"/>
      <c r="X15" s="391"/>
      <c r="Y15" s="391"/>
      <c r="Z15" s="391"/>
      <c r="AA15" s="391"/>
      <c r="AB15" s="391"/>
      <c r="AC15" s="1118"/>
      <c r="AD15" s="1119"/>
      <c r="AE15" s="1119"/>
      <c r="AF15" s="1119"/>
      <c r="AG15" s="1118"/>
      <c r="AH15" s="1118"/>
      <c r="AI15" s="1118"/>
      <c r="AJ15" s="1118"/>
      <c r="AK15" s="1118"/>
      <c r="AL15" s="1118"/>
      <c r="AM15" s="1118"/>
      <c r="AN15" s="391"/>
      <c r="AO15" s="391"/>
      <c r="AP15" s="391"/>
      <c r="AQ15" s="391"/>
      <c r="AR15" s="391"/>
      <c r="AS15" s="391"/>
      <c r="AT15" s="391"/>
      <c r="AU15" s="391"/>
      <c r="AV15" s="391"/>
      <c r="AW15" s="391"/>
      <c r="AX15" s="391"/>
      <c r="AY15" s="391"/>
      <c r="AZ15" s="391"/>
      <c r="BA15" s="1120"/>
      <c r="BB15" s="254"/>
      <c r="BC15" s="254"/>
      <c r="BD15" s="254"/>
      <c r="BE15" s="254"/>
      <c r="BF15" s="254"/>
      <c r="BG15" s="254"/>
      <c r="BH15" s="254"/>
      <c r="BI15" s="254"/>
      <c r="BJ15" s="254"/>
      <c r="BK15" s="254"/>
      <c r="BL15" s="254"/>
      <c r="BM15" s="254"/>
      <c r="BN15" s="254"/>
      <c r="BO15" s="254"/>
      <c r="BP15" s="254"/>
      <c r="BQ15" s="254"/>
      <c r="BR15" s="254"/>
      <c r="BS15" s="254"/>
      <c r="BT15" s="254"/>
      <c r="BU15" s="254"/>
      <c r="BV15" s="254"/>
      <c r="BW15" s="254"/>
      <c r="BX15" s="254"/>
      <c r="BY15" s="254"/>
      <c r="BZ15" s="254"/>
      <c r="CA15" s="254"/>
      <c r="CB15" s="254"/>
      <c r="CC15" s="254"/>
      <c r="CD15" s="254"/>
      <c r="CE15" s="254"/>
      <c r="CF15" s="254"/>
      <c r="CG15" s="254"/>
      <c r="CH15" s="254"/>
      <c r="CI15" s="254"/>
      <c r="CJ15" s="254"/>
      <c r="CK15" s="254"/>
      <c r="CL15" s="254"/>
      <c r="CM15" s="254"/>
      <c r="CN15" s="254"/>
      <c r="CO15" s="254"/>
      <c r="CP15" s="254"/>
      <c r="CQ15" s="254"/>
      <c r="CR15" s="254"/>
      <c r="CS15" s="254"/>
      <c r="CT15" s="254"/>
      <c r="CU15" s="254"/>
      <c r="CV15" s="254"/>
      <c r="CW15" s="254"/>
      <c r="CX15" s="254"/>
      <c r="CY15" s="254"/>
      <c r="CZ15" s="254"/>
      <c r="DA15" s="254"/>
      <c r="DB15" s="254"/>
      <c r="DC15" s="254"/>
      <c r="DD15" s="254"/>
      <c r="DE15" s="254"/>
      <c r="DF15" s="254"/>
      <c r="DG15" s="254"/>
      <c r="DH15" s="254"/>
      <c r="DI15" s="254"/>
      <c r="DJ15" s="254"/>
      <c r="DK15" s="254"/>
      <c r="DL15" s="254"/>
      <c r="DM15" s="254"/>
      <c r="DN15" s="254"/>
      <c r="DO15" s="254"/>
      <c r="DP15" s="254"/>
      <c r="DQ15" s="254"/>
      <c r="DR15" s="254"/>
      <c r="DS15" s="254"/>
      <c r="DT15" s="254"/>
      <c r="DU15" s="254"/>
      <c r="DV15" s="254"/>
      <c r="DW15" s="254"/>
      <c r="DX15" s="254"/>
      <c r="DY15" s="254"/>
      <c r="DZ15" s="254"/>
      <c r="EA15" s="254"/>
      <c r="EB15" s="254"/>
      <c r="EC15" s="254"/>
      <c r="ED15" s="254"/>
      <c r="EE15" s="254"/>
      <c r="EF15" s="254"/>
      <c r="EG15" s="254"/>
      <c r="EH15" s="254"/>
      <c r="EI15" s="254"/>
      <c r="EJ15" s="254"/>
      <c r="EK15" s="254"/>
      <c r="EL15" s="254"/>
      <c r="EM15" s="254"/>
      <c r="EN15" s="254"/>
      <c r="EO15" s="254"/>
      <c r="EP15" s="254"/>
      <c r="EQ15" s="254"/>
      <c r="ER15" s="254"/>
      <c r="ES15" s="254"/>
      <c r="ET15" s="254"/>
      <c r="EU15" s="254"/>
      <c r="EV15" s="254"/>
      <c r="EW15" s="254"/>
      <c r="EX15" s="254"/>
      <c r="EY15" s="254"/>
      <c r="EZ15" s="254"/>
      <c r="FA15" s="254"/>
      <c r="FB15" s="254"/>
      <c r="FC15" s="254"/>
      <c r="FD15" s="254"/>
      <c r="FE15" s="254"/>
      <c r="FF15" s="254"/>
      <c r="FG15" s="254"/>
      <c r="FH15" s="254"/>
      <c r="FI15" s="254"/>
      <c r="FJ15" s="254"/>
      <c r="FK15" s="254"/>
      <c r="FL15" s="254"/>
      <c r="FM15" s="254"/>
      <c r="FN15" s="254"/>
      <c r="FO15" s="254"/>
      <c r="FP15" s="254"/>
      <c r="FQ15" s="254"/>
      <c r="FR15" s="254"/>
      <c r="FS15" s="254"/>
      <c r="FT15" s="254"/>
      <c r="FU15" s="254"/>
      <c r="FV15" s="254"/>
      <c r="FW15" s="254"/>
      <c r="FX15" s="254"/>
      <c r="FY15" s="254"/>
      <c r="FZ15" s="254"/>
      <c r="GA15" s="254"/>
      <c r="GB15" s="254"/>
      <c r="GC15" s="254"/>
      <c r="GD15" s="254"/>
      <c r="GE15" s="254"/>
      <c r="GF15" s="254"/>
      <c r="GG15" s="254"/>
      <c r="GH15" s="254"/>
      <c r="GI15" s="254"/>
      <c r="GJ15" s="254"/>
      <c r="GK15" s="254"/>
      <c r="GL15" s="254"/>
      <c r="GM15" s="254"/>
      <c r="GN15" s="254"/>
      <c r="GO15" s="254"/>
      <c r="GP15" s="254"/>
      <c r="GQ15" s="254"/>
      <c r="GR15" s="254"/>
      <c r="GS15" s="254"/>
      <c r="GT15" s="254"/>
      <c r="GU15" s="254"/>
      <c r="GV15" s="254"/>
      <c r="GW15" s="254"/>
      <c r="GX15" s="254"/>
      <c r="GY15" s="254"/>
      <c r="GZ15" s="254"/>
      <c r="HA15" s="254"/>
      <c r="HB15" s="254"/>
      <c r="HC15" s="254"/>
      <c r="HD15" s="254"/>
      <c r="HE15" s="254"/>
      <c r="HF15" s="254"/>
      <c r="HG15" s="254"/>
      <c r="HH15" s="254"/>
      <c r="HI15" s="254"/>
      <c r="HJ15" s="254"/>
      <c r="HK15" s="254"/>
      <c r="HL15" s="254"/>
      <c r="HM15" s="254"/>
      <c r="HN15" s="254"/>
      <c r="HO15" s="254"/>
      <c r="HP15" s="254"/>
      <c r="HQ15" s="254"/>
      <c r="HR15" s="254"/>
      <c r="HS15" s="254"/>
      <c r="HT15" s="254"/>
      <c r="HU15" s="254"/>
      <c r="HV15" s="254"/>
      <c r="HW15" s="254"/>
      <c r="HX15" s="254"/>
      <c r="HY15" s="254"/>
      <c r="HZ15" s="254"/>
      <c r="IA15" s="254"/>
      <c r="IB15" s="254"/>
      <c r="IC15" s="254"/>
      <c r="ID15" s="254"/>
      <c r="IE15" s="254"/>
      <c r="IF15" s="254"/>
      <c r="IG15" s="254"/>
      <c r="IH15" s="254"/>
      <c r="II15" s="254"/>
      <c r="IJ15" s="254"/>
      <c r="IK15" s="254"/>
      <c r="IL15" s="254"/>
      <c r="IM15" s="254"/>
      <c r="IN15" s="254"/>
      <c r="IO15" s="254"/>
      <c r="IP15" s="254"/>
      <c r="IQ15" s="254"/>
      <c r="IR15" s="254"/>
      <c r="IS15" s="254"/>
      <c r="IT15" s="254"/>
      <c r="IU15" s="362"/>
    </row>
    <row r="16" spans="1:255" ht="15" customHeight="1" x14ac:dyDescent="0.15">
      <c r="A16" s="295"/>
      <c r="N16" s="658"/>
      <c r="O16" s="254">
        <f>IF($N$10&lt;$Q$11,SUM($F$27:$F$34),IF($N$10&lt;$Q$12,SUM($F$27:$F$34)+$H$51-$O$20,SUM($F$27:$F$34)+$H$51+$H$60-$O$22))</f>
        <v>0</v>
      </c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1118"/>
      <c r="AD16" s="1119"/>
      <c r="AE16" s="1119"/>
      <c r="AF16" s="1119"/>
      <c r="AG16" s="1118"/>
      <c r="AH16" s="1118"/>
      <c r="AI16" s="1118"/>
      <c r="AJ16" s="1118"/>
      <c r="AK16" s="1118"/>
      <c r="AL16" s="1118"/>
      <c r="AM16" s="1118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1125"/>
      <c r="BB16" s="254"/>
      <c r="BC16" s="254"/>
      <c r="BD16" s="254"/>
      <c r="BE16" s="254"/>
      <c r="BF16" s="254"/>
      <c r="BG16" s="254"/>
      <c r="BH16" s="254"/>
      <c r="BI16" s="254"/>
      <c r="BJ16" s="254"/>
      <c r="BK16" s="254"/>
      <c r="BL16" s="254"/>
      <c r="BM16" s="254"/>
      <c r="BN16" s="254"/>
      <c r="BO16" s="254"/>
      <c r="BP16" s="254"/>
      <c r="BQ16" s="254"/>
      <c r="BR16" s="254"/>
      <c r="BS16" s="254"/>
      <c r="BT16" s="254"/>
      <c r="BU16" s="254"/>
      <c r="BV16" s="254"/>
      <c r="BW16" s="254"/>
      <c r="BX16" s="254"/>
      <c r="BY16" s="254"/>
      <c r="BZ16" s="254"/>
      <c r="CA16" s="254"/>
      <c r="CB16" s="254"/>
      <c r="CC16" s="254"/>
      <c r="CD16" s="254"/>
      <c r="CE16" s="254"/>
      <c r="CF16" s="254"/>
      <c r="CG16" s="254"/>
      <c r="CH16" s="254"/>
      <c r="CI16" s="254"/>
      <c r="CJ16" s="254"/>
      <c r="CK16" s="254"/>
      <c r="CL16" s="254"/>
      <c r="CM16" s="254"/>
      <c r="CN16" s="254"/>
      <c r="CO16" s="254"/>
      <c r="CP16" s="254"/>
      <c r="CQ16" s="254"/>
      <c r="CR16" s="254"/>
      <c r="CS16" s="254"/>
      <c r="CT16" s="254"/>
      <c r="CU16" s="254"/>
      <c r="CV16" s="254"/>
      <c r="CW16" s="254"/>
      <c r="CX16" s="254"/>
      <c r="CY16" s="254"/>
      <c r="CZ16" s="254"/>
      <c r="DA16" s="254"/>
      <c r="DB16" s="254"/>
      <c r="DC16" s="254"/>
      <c r="DD16" s="254"/>
      <c r="DE16" s="254"/>
      <c r="DF16" s="254"/>
      <c r="DG16" s="254"/>
      <c r="DH16" s="254"/>
      <c r="DI16" s="254"/>
      <c r="DJ16" s="254"/>
      <c r="DK16" s="254"/>
      <c r="DL16" s="254"/>
      <c r="DM16" s="254"/>
      <c r="DN16" s="254"/>
      <c r="DO16" s="254"/>
      <c r="DP16" s="254"/>
      <c r="DQ16" s="254"/>
      <c r="DR16" s="254"/>
      <c r="DS16" s="254"/>
      <c r="DT16" s="254"/>
      <c r="DU16" s="254"/>
      <c r="DV16" s="254"/>
      <c r="DW16" s="254"/>
      <c r="DX16" s="254"/>
      <c r="DY16" s="254"/>
      <c r="DZ16" s="254"/>
      <c r="EA16" s="254"/>
      <c r="EB16" s="254"/>
      <c r="EC16" s="254"/>
      <c r="ED16" s="254"/>
      <c r="EE16" s="254"/>
      <c r="EF16" s="254"/>
      <c r="EG16" s="254"/>
      <c r="EH16" s="254"/>
      <c r="EI16" s="254"/>
      <c r="EJ16" s="254"/>
      <c r="EK16" s="254"/>
      <c r="EL16" s="254"/>
      <c r="EM16" s="254"/>
      <c r="EN16" s="254"/>
      <c r="EO16" s="254"/>
      <c r="EP16" s="254"/>
      <c r="EQ16" s="254"/>
      <c r="ER16" s="254"/>
      <c r="ES16" s="254"/>
      <c r="ET16" s="254"/>
      <c r="EU16" s="254"/>
      <c r="EV16" s="254"/>
      <c r="EW16" s="254"/>
      <c r="EX16" s="254"/>
      <c r="EY16" s="254"/>
      <c r="EZ16" s="254"/>
      <c r="FA16" s="254"/>
      <c r="FB16" s="254"/>
      <c r="FC16" s="254"/>
      <c r="FD16" s="254"/>
      <c r="FE16" s="254"/>
      <c r="FF16" s="254"/>
      <c r="FG16" s="254"/>
      <c r="FH16" s="254"/>
      <c r="FI16" s="254"/>
      <c r="FJ16" s="254"/>
      <c r="FK16" s="254"/>
      <c r="FL16" s="254"/>
      <c r="FM16" s="254"/>
      <c r="FN16" s="254"/>
      <c r="FO16" s="254"/>
      <c r="FP16" s="254"/>
      <c r="FQ16" s="254"/>
      <c r="FR16" s="254"/>
      <c r="FS16" s="254"/>
      <c r="FT16" s="254"/>
      <c r="FU16" s="254"/>
      <c r="FV16" s="254"/>
      <c r="FW16" s="254"/>
      <c r="FX16" s="254"/>
      <c r="FY16" s="254"/>
      <c r="FZ16" s="254"/>
      <c r="GA16" s="254"/>
      <c r="GB16" s="254"/>
      <c r="GC16" s="254"/>
      <c r="GD16" s="254"/>
      <c r="GE16" s="254"/>
      <c r="GF16" s="254"/>
      <c r="GG16" s="254"/>
      <c r="GH16" s="254"/>
      <c r="GI16" s="254"/>
      <c r="GJ16" s="254"/>
      <c r="GK16" s="254"/>
      <c r="GL16" s="254"/>
      <c r="GM16" s="254"/>
      <c r="GN16" s="254"/>
      <c r="GO16" s="254"/>
      <c r="GP16" s="254"/>
      <c r="GQ16" s="254"/>
      <c r="GR16" s="254"/>
      <c r="GS16" s="254"/>
      <c r="GT16" s="254"/>
      <c r="GU16" s="254"/>
      <c r="GV16" s="254"/>
      <c r="GW16" s="254"/>
      <c r="GX16" s="254"/>
      <c r="GY16" s="254"/>
      <c r="GZ16" s="254"/>
      <c r="HA16" s="254"/>
      <c r="HB16" s="254"/>
      <c r="HC16" s="254"/>
      <c r="HD16" s="254"/>
      <c r="HE16" s="254"/>
      <c r="HF16" s="254"/>
      <c r="HG16" s="254"/>
      <c r="HH16" s="254"/>
      <c r="HI16" s="254"/>
      <c r="HJ16" s="254"/>
      <c r="HK16" s="254"/>
      <c r="HL16" s="254"/>
      <c r="HM16" s="254"/>
      <c r="HN16" s="254"/>
      <c r="HO16" s="254"/>
      <c r="HP16" s="254"/>
      <c r="HQ16" s="254"/>
      <c r="HR16" s="254"/>
      <c r="HS16" s="254"/>
      <c r="HT16" s="254"/>
      <c r="HU16" s="254"/>
      <c r="HV16" s="254"/>
      <c r="HW16" s="254"/>
      <c r="HX16" s="254"/>
      <c r="HY16" s="254"/>
      <c r="HZ16" s="254"/>
      <c r="IA16" s="254"/>
      <c r="IB16" s="254"/>
      <c r="IC16" s="254"/>
      <c r="ID16" s="254"/>
      <c r="IE16" s="254"/>
      <c r="IF16" s="254"/>
      <c r="IG16" s="254"/>
      <c r="IH16" s="254"/>
      <c r="II16" s="254"/>
      <c r="IJ16" s="254"/>
      <c r="IK16" s="254"/>
      <c r="IL16" s="254"/>
      <c r="IM16" s="254"/>
      <c r="IN16" s="254"/>
      <c r="IO16" s="254"/>
      <c r="IP16" s="254"/>
      <c r="IQ16" s="254"/>
      <c r="IR16" s="254"/>
      <c r="IS16" s="254"/>
      <c r="IT16" s="254"/>
      <c r="IU16" s="362"/>
    </row>
    <row r="17" spans="1:255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16">
        <f>IF($N$10&lt;$Q$11,SUM($F$27:$F$34),IF($N$10&lt;$Q$12,SUM($F$27:$F$34)+$H$51-$O$20,SUM($F$27:$F$34)+$H$51-$O$20+$H$60))</f>
        <v>0</v>
      </c>
      <c r="P17" s="254" t="s">
        <v>696</v>
      </c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1118"/>
      <c r="AD17" s="1119"/>
      <c r="AE17" s="1119"/>
      <c r="AF17" s="1119"/>
      <c r="AG17" s="1118"/>
      <c r="AH17" s="1118"/>
      <c r="AI17" s="1118"/>
      <c r="AJ17" s="1118"/>
      <c r="AK17" s="1118"/>
      <c r="AL17" s="1118"/>
      <c r="AM17" s="1118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  <c r="BA17" s="1125"/>
      <c r="BB17" s="254"/>
      <c r="BC17" s="254"/>
      <c r="BD17" s="254"/>
      <c r="BE17" s="254"/>
      <c r="BF17" s="254"/>
      <c r="BG17" s="254"/>
      <c r="BH17" s="254"/>
      <c r="BI17" s="254"/>
      <c r="BJ17" s="254"/>
      <c r="BK17" s="254"/>
      <c r="BL17" s="254"/>
      <c r="BM17" s="254"/>
      <c r="BN17" s="254"/>
      <c r="BO17" s="254"/>
      <c r="BP17" s="254"/>
      <c r="BQ17" s="254"/>
      <c r="BR17" s="254"/>
      <c r="BS17" s="254"/>
      <c r="BT17" s="254"/>
      <c r="BU17" s="254"/>
      <c r="BV17" s="254"/>
      <c r="BW17" s="254"/>
      <c r="BX17" s="254"/>
      <c r="BY17" s="254"/>
      <c r="BZ17" s="254"/>
      <c r="CA17" s="254"/>
      <c r="CB17" s="254"/>
      <c r="CC17" s="254"/>
      <c r="CD17" s="254"/>
      <c r="CE17" s="254"/>
      <c r="CF17" s="254"/>
      <c r="CG17" s="254"/>
      <c r="CH17" s="254"/>
      <c r="CI17" s="254"/>
      <c r="CJ17" s="254"/>
      <c r="CK17" s="254"/>
      <c r="CL17" s="254"/>
      <c r="CM17" s="254"/>
      <c r="CN17" s="254"/>
      <c r="CO17" s="254"/>
      <c r="CP17" s="254"/>
      <c r="CQ17" s="254"/>
      <c r="CR17" s="254"/>
      <c r="CS17" s="254"/>
      <c r="CT17" s="254"/>
      <c r="CU17" s="254"/>
      <c r="CV17" s="254"/>
      <c r="CW17" s="254"/>
      <c r="CX17" s="254"/>
      <c r="CY17" s="254"/>
      <c r="CZ17" s="254"/>
      <c r="DA17" s="254"/>
      <c r="DB17" s="254"/>
      <c r="DC17" s="254"/>
      <c r="DD17" s="254"/>
      <c r="DE17" s="254"/>
      <c r="DF17" s="254"/>
      <c r="DG17" s="254"/>
      <c r="DH17" s="254"/>
      <c r="DI17" s="254"/>
      <c r="DJ17" s="254"/>
      <c r="DK17" s="254"/>
      <c r="DL17" s="254"/>
      <c r="DM17" s="254"/>
      <c r="DN17" s="254"/>
      <c r="DO17" s="254"/>
      <c r="DP17" s="254"/>
      <c r="DQ17" s="254"/>
      <c r="DR17" s="254"/>
      <c r="DS17" s="254"/>
      <c r="DT17" s="254"/>
      <c r="DU17" s="254"/>
      <c r="DV17" s="254"/>
      <c r="DW17" s="254"/>
      <c r="DX17" s="254"/>
      <c r="DY17" s="254"/>
      <c r="DZ17" s="254"/>
      <c r="EA17" s="254"/>
      <c r="EB17" s="254"/>
      <c r="EC17" s="254"/>
      <c r="ED17" s="254"/>
      <c r="EE17" s="254"/>
      <c r="EF17" s="254"/>
      <c r="EG17" s="254"/>
      <c r="EH17" s="254"/>
      <c r="EI17" s="254"/>
      <c r="EJ17" s="254"/>
      <c r="EK17" s="254"/>
      <c r="EL17" s="254"/>
      <c r="EM17" s="254"/>
      <c r="EN17" s="254"/>
      <c r="EO17" s="254"/>
      <c r="EP17" s="254"/>
      <c r="EQ17" s="254"/>
      <c r="ER17" s="254"/>
      <c r="ES17" s="254"/>
      <c r="ET17" s="254"/>
      <c r="EU17" s="254"/>
      <c r="EV17" s="254"/>
      <c r="EW17" s="254"/>
      <c r="EX17" s="254"/>
      <c r="EY17" s="254"/>
      <c r="EZ17" s="254"/>
      <c r="FA17" s="254"/>
      <c r="FB17" s="254"/>
      <c r="FC17" s="254"/>
      <c r="FD17" s="254"/>
      <c r="FE17" s="254"/>
      <c r="FF17" s="254"/>
      <c r="FG17" s="254"/>
      <c r="FH17" s="254"/>
      <c r="FI17" s="254"/>
      <c r="FJ17" s="254"/>
      <c r="FK17" s="254"/>
      <c r="FL17" s="254"/>
      <c r="FM17" s="254"/>
      <c r="FN17" s="254"/>
      <c r="FO17" s="254"/>
      <c r="FP17" s="254"/>
      <c r="FQ17" s="254"/>
      <c r="FR17" s="254"/>
      <c r="FS17" s="254"/>
      <c r="FT17" s="254"/>
      <c r="FU17" s="254"/>
      <c r="FV17" s="254"/>
      <c r="FW17" s="254"/>
      <c r="FX17" s="254"/>
      <c r="FY17" s="254"/>
      <c r="FZ17" s="254"/>
      <c r="GA17" s="254"/>
      <c r="GB17" s="254"/>
      <c r="GC17" s="254"/>
      <c r="GD17" s="254"/>
      <c r="GE17" s="254"/>
      <c r="GF17" s="254"/>
      <c r="GG17" s="254"/>
      <c r="GH17" s="254"/>
      <c r="GI17" s="254"/>
      <c r="GJ17" s="254"/>
      <c r="GK17" s="254"/>
      <c r="GL17" s="254"/>
      <c r="GM17" s="254"/>
      <c r="GN17" s="254"/>
      <c r="GO17" s="254"/>
      <c r="GP17" s="254"/>
      <c r="GQ17" s="254"/>
      <c r="GR17" s="254"/>
      <c r="GS17" s="254"/>
      <c r="GT17" s="254"/>
      <c r="GU17" s="254"/>
      <c r="GV17" s="254"/>
      <c r="GW17" s="254"/>
      <c r="GX17" s="254"/>
      <c r="GY17" s="254"/>
      <c r="GZ17" s="254"/>
      <c r="HA17" s="254"/>
      <c r="HB17" s="254"/>
      <c r="HC17" s="254"/>
      <c r="HD17" s="254"/>
      <c r="HE17" s="254"/>
      <c r="HF17" s="254"/>
      <c r="HG17" s="254"/>
      <c r="HH17" s="254"/>
      <c r="HI17" s="254"/>
      <c r="HJ17" s="254"/>
      <c r="HK17" s="254"/>
      <c r="HL17" s="254"/>
      <c r="HM17" s="254"/>
      <c r="HN17" s="254"/>
      <c r="HO17" s="254"/>
      <c r="HP17" s="254"/>
      <c r="HQ17" s="254"/>
      <c r="HR17" s="254"/>
      <c r="HS17" s="254"/>
      <c r="HT17" s="254"/>
      <c r="HU17" s="254"/>
      <c r="HV17" s="254"/>
      <c r="HW17" s="254"/>
      <c r="HX17" s="254"/>
      <c r="HY17" s="254"/>
      <c r="HZ17" s="254"/>
      <c r="IA17" s="254"/>
      <c r="IB17" s="254"/>
      <c r="IC17" s="254"/>
      <c r="ID17" s="254"/>
      <c r="IE17" s="254"/>
      <c r="IF17" s="254"/>
      <c r="IG17" s="254"/>
      <c r="IH17" s="254"/>
      <c r="II17" s="254"/>
      <c r="IJ17" s="254"/>
      <c r="IK17" s="254"/>
      <c r="IL17" s="254"/>
      <c r="IM17" s="254"/>
      <c r="IN17" s="254"/>
      <c r="IO17" s="254"/>
      <c r="IP17" s="254"/>
      <c r="IQ17" s="254"/>
      <c r="IR17" s="254"/>
      <c r="IS17" s="254"/>
      <c r="IT17" s="254"/>
      <c r="IU17" s="362"/>
    </row>
    <row r="18" spans="1:255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16">
        <f>IF($N$10&lt;$Q$11,SUM($F$27:$F$34),IF($N$10&lt;$Q$12,SUM($F$27:$F$34)+$H$51,SUM($F$27:$F$34)+$H$51+$H$60-$O$21))</f>
        <v>0</v>
      </c>
      <c r="P18" s="1126" t="s">
        <v>527</v>
      </c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1118"/>
      <c r="AD18" s="1119"/>
      <c r="AE18" s="1119"/>
      <c r="AF18" s="1119"/>
      <c r="AG18" s="1118"/>
      <c r="AH18" s="1118"/>
      <c r="AI18" s="1118"/>
      <c r="AJ18" s="1118"/>
      <c r="AK18" s="1118"/>
      <c r="AL18" s="1118"/>
      <c r="AM18" s="1118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254"/>
      <c r="BA18" s="1125"/>
      <c r="BB18" s="254"/>
      <c r="BC18" s="254"/>
      <c r="BD18" s="254"/>
      <c r="BE18" s="254"/>
      <c r="BF18" s="254"/>
      <c r="BG18" s="254"/>
      <c r="BH18" s="254"/>
      <c r="BI18" s="254"/>
      <c r="BJ18" s="254"/>
      <c r="BK18" s="254"/>
      <c r="BL18" s="254"/>
      <c r="BM18" s="254"/>
      <c r="BN18" s="254"/>
      <c r="BO18" s="254"/>
      <c r="BP18" s="254"/>
      <c r="BQ18" s="254"/>
      <c r="BR18" s="254"/>
      <c r="BS18" s="254"/>
      <c r="BT18" s="254"/>
      <c r="BU18" s="254"/>
      <c r="BV18" s="254"/>
      <c r="BW18" s="254"/>
      <c r="BX18" s="254"/>
      <c r="BY18" s="254"/>
      <c r="BZ18" s="254"/>
      <c r="CA18" s="254"/>
      <c r="CB18" s="254"/>
      <c r="CC18" s="254"/>
      <c r="CD18" s="254"/>
      <c r="CE18" s="254"/>
      <c r="CF18" s="254"/>
      <c r="CG18" s="254"/>
      <c r="CH18" s="254"/>
      <c r="CI18" s="254"/>
      <c r="CJ18" s="254"/>
      <c r="CK18" s="254"/>
      <c r="CL18" s="254"/>
      <c r="CM18" s="254"/>
      <c r="CN18" s="254"/>
      <c r="CO18" s="254"/>
      <c r="CP18" s="254"/>
      <c r="CQ18" s="254"/>
      <c r="CR18" s="254"/>
      <c r="CS18" s="254"/>
      <c r="CT18" s="254"/>
      <c r="CU18" s="254"/>
      <c r="CV18" s="254"/>
      <c r="CW18" s="254"/>
      <c r="CX18" s="254"/>
      <c r="CY18" s="254"/>
      <c r="CZ18" s="254"/>
      <c r="DA18" s="254"/>
      <c r="DB18" s="254"/>
      <c r="DC18" s="254"/>
      <c r="DD18" s="254"/>
      <c r="DE18" s="254"/>
      <c r="DF18" s="254"/>
      <c r="DG18" s="254"/>
      <c r="DH18" s="254"/>
      <c r="DI18" s="254"/>
      <c r="DJ18" s="254"/>
      <c r="DK18" s="254"/>
      <c r="DL18" s="254"/>
      <c r="DM18" s="254"/>
      <c r="DN18" s="254"/>
      <c r="DO18" s="254"/>
      <c r="DP18" s="254"/>
      <c r="DQ18" s="254"/>
      <c r="DR18" s="254"/>
      <c r="DS18" s="254"/>
      <c r="DT18" s="254"/>
      <c r="DU18" s="254"/>
      <c r="DV18" s="254"/>
      <c r="DW18" s="254"/>
      <c r="DX18" s="254"/>
      <c r="DY18" s="254"/>
      <c r="DZ18" s="254"/>
      <c r="EA18" s="254"/>
      <c r="EB18" s="254"/>
      <c r="EC18" s="254"/>
      <c r="ED18" s="254"/>
      <c r="EE18" s="254"/>
      <c r="EF18" s="254"/>
      <c r="EG18" s="254"/>
      <c r="EH18" s="254"/>
      <c r="EI18" s="254"/>
      <c r="EJ18" s="254"/>
      <c r="EK18" s="254"/>
      <c r="EL18" s="254"/>
      <c r="EM18" s="254"/>
      <c r="EN18" s="254"/>
      <c r="EO18" s="254"/>
      <c r="EP18" s="254"/>
      <c r="EQ18" s="254"/>
      <c r="ER18" s="254"/>
      <c r="ES18" s="254"/>
      <c r="ET18" s="254"/>
      <c r="EU18" s="254"/>
      <c r="EV18" s="254"/>
      <c r="EW18" s="254"/>
      <c r="EX18" s="254"/>
      <c r="EY18" s="254"/>
      <c r="EZ18" s="254"/>
      <c r="FA18" s="254"/>
      <c r="FB18" s="254"/>
      <c r="FC18" s="254"/>
      <c r="FD18" s="254"/>
      <c r="FE18" s="254"/>
      <c r="FF18" s="254"/>
      <c r="FG18" s="254"/>
      <c r="FH18" s="254"/>
      <c r="FI18" s="254"/>
      <c r="FJ18" s="254"/>
      <c r="FK18" s="254"/>
      <c r="FL18" s="254"/>
      <c r="FM18" s="254"/>
      <c r="FN18" s="254"/>
      <c r="FO18" s="254"/>
      <c r="FP18" s="254"/>
      <c r="FQ18" s="254"/>
      <c r="FR18" s="254"/>
      <c r="FS18" s="254"/>
      <c r="FT18" s="254"/>
      <c r="FU18" s="254"/>
      <c r="FV18" s="254"/>
      <c r="FW18" s="254"/>
      <c r="FX18" s="254"/>
      <c r="FY18" s="254"/>
      <c r="FZ18" s="254"/>
      <c r="GA18" s="254"/>
      <c r="GB18" s="254"/>
      <c r="GC18" s="254"/>
      <c r="GD18" s="254"/>
      <c r="GE18" s="254"/>
      <c r="GF18" s="254"/>
      <c r="GG18" s="254"/>
      <c r="GH18" s="254"/>
      <c r="GI18" s="254"/>
      <c r="GJ18" s="254"/>
      <c r="GK18" s="254"/>
      <c r="GL18" s="254"/>
      <c r="GM18" s="254"/>
      <c r="GN18" s="254"/>
      <c r="GO18" s="254"/>
      <c r="GP18" s="254"/>
      <c r="GQ18" s="254"/>
      <c r="GR18" s="254"/>
      <c r="GS18" s="254"/>
      <c r="GT18" s="254"/>
      <c r="GU18" s="254"/>
      <c r="GV18" s="254"/>
      <c r="GW18" s="254"/>
      <c r="GX18" s="254"/>
      <c r="GY18" s="254"/>
      <c r="GZ18" s="254"/>
      <c r="HA18" s="254"/>
      <c r="HB18" s="254"/>
      <c r="HC18" s="254"/>
      <c r="HD18" s="254"/>
      <c r="HE18" s="254"/>
      <c r="HF18" s="254"/>
      <c r="HG18" s="254"/>
      <c r="HH18" s="254"/>
      <c r="HI18" s="254"/>
      <c r="HJ18" s="254"/>
      <c r="HK18" s="254"/>
      <c r="HL18" s="254"/>
      <c r="HM18" s="254"/>
      <c r="HN18" s="254"/>
      <c r="HO18" s="254"/>
      <c r="HP18" s="254"/>
      <c r="HQ18" s="254"/>
      <c r="HR18" s="254"/>
      <c r="HS18" s="254"/>
      <c r="HT18" s="254"/>
      <c r="HU18" s="254"/>
      <c r="HV18" s="254"/>
      <c r="HW18" s="254"/>
      <c r="HX18" s="254"/>
      <c r="HY18" s="254"/>
      <c r="HZ18" s="254"/>
      <c r="IA18" s="254"/>
      <c r="IB18" s="254"/>
      <c r="IC18" s="254"/>
      <c r="ID18" s="254"/>
      <c r="IE18" s="254"/>
      <c r="IF18" s="254"/>
      <c r="IG18" s="254"/>
      <c r="IH18" s="254"/>
      <c r="II18" s="254"/>
      <c r="IJ18" s="254"/>
      <c r="IK18" s="254"/>
      <c r="IL18" s="254"/>
      <c r="IM18" s="254"/>
      <c r="IN18" s="254"/>
      <c r="IO18" s="254"/>
      <c r="IP18" s="254"/>
      <c r="IQ18" s="254"/>
      <c r="IR18" s="254"/>
      <c r="IS18" s="254"/>
      <c r="IT18" s="254"/>
      <c r="IU18" s="362"/>
    </row>
    <row r="19" spans="1:255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16">
        <f>IF($N$10&lt;$Q$11,SUM($F$27:$F$34),IF($N$10&lt;$Q$12,SUM($F$27:$F$34)+$H$51,SUM($F$27:$F$34)+$H$51+$H$60))</f>
        <v>0</v>
      </c>
      <c r="P19" s="74" t="s">
        <v>613</v>
      </c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1118"/>
      <c r="AD19" s="1119"/>
      <c r="AE19" s="1119"/>
      <c r="AF19" s="1119"/>
      <c r="AG19" s="1118"/>
      <c r="AH19" s="1118"/>
      <c r="AI19" s="1118"/>
      <c r="AJ19" s="1118"/>
      <c r="AK19" s="1118"/>
      <c r="AL19" s="1118"/>
      <c r="AM19" s="1118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254"/>
      <c r="BA19" s="1125"/>
      <c r="BB19" s="254"/>
      <c r="BC19" s="254"/>
      <c r="BD19" s="254"/>
      <c r="BE19" s="254"/>
      <c r="BF19" s="254"/>
      <c r="BG19" s="254"/>
      <c r="BH19" s="254"/>
      <c r="BI19" s="254"/>
      <c r="BJ19" s="254"/>
      <c r="BK19" s="254"/>
      <c r="BL19" s="254"/>
      <c r="BM19" s="254"/>
      <c r="BN19" s="254"/>
      <c r="BO19" s="254"/>
      <c r="BP19" s="254"/>
      <c r="BQ19" s="254"/>
      <c r="BR19" s="254"/>
      <c r="BS19" s="254"/>
      <c r="BT19" s="254"/>
      <c r="BU19" s="254"/>
      <c r="BV19" s="254"/>
      <c r="BW19" s="254"/>
      <c r="BX19" s="254"/>
      <c r="BY19" s="254"/>
      <c r="BZ19" s="254"/>
      <c r="CA19" s="254"/>
      <c r="CB19" s="254"/>
      <c r="CC19" s="254"/>
      <c r="CD19" s="254"/>
      <c r="CE19" s="254"/>
      <c r="CF19" s="254"/>
      <c r="CG19" s="254"/>
      <c r="CH19" s="254"/>
      <c r="CI19" s="254"/>
      <c r="CJ19" s="254"/>
      <c r="CK19" s="254"/>
      <c r="CL19" s="254"/>
      <c r="CM19" s="254"/>
      <c r="CN19" s="254"/>
      <c r="CO19" s="254"/>
      <c r="CP19" s="254"/>
      <c r="CQ19" s="254"/>
      <c r="CR19" s="254"/>
      <c r="CS19" s="254"/>
      <c r="CT19" s="254"/>
      <c r="CU19" s="254"/>
      <c r="CV19" s="254"/>
      <c r="CW19" s="254"/>
      <c r="CX19" s="254"/>
      <c r="CY19" s="254"/>
      <c r="CZ19" s="254"/>
      <c r="DA19" s="254"/>
      <c r="DB19" s="254"/>
      <c r="DC19" s="254"/>
      <c r="DD19" s="254"/>
      <c r="DE19" s="254"/>
      <c r="DF19" s="254"/>
      <c r="DG19" s="254"/>
      <c r="DH19" s="254"/>
      <c r="DI19" s="254"/>
      <c r="DJ19" s="254"/>
      <c r="DK19" s="254"/>
      <c r="DL19" s="254"/>
      <c r="DM19" s="254"/>
      <c r="DN19" s="254"/>
      <c r="DO19" s="254"/>
      <c r="DP19" s="254"/>
      <c r="DQ19" s="254"/>
      <c r="DR19" s="254"/>
      <c r="DS19" s="254"/>
      <c r="DT19" s="254"/>
      <c r="DU19" s="254"/>
      <c r="DV19" s="254"/>
      <c r="DW19" s="254"/>
      <c r="DX19" s="254"/>
      <c r="DY19" s="254"/>
      <c r="DZ19" s="254"/>
      <c r="EA19" s="254"/>
      <c r="EB19" s="254"/>
      <c r="EC19" s="254"/>
      <c r="ED19" s="254"/>
      <c r="EE19" s="254"/>
      <c r="EF19" s="254"/>
      <c r="EG19" s="254"/>
      <c r="EH19" s="254"/>
      <c r="EI19" s="254"/>
      <c r="EJ19" s="254"/>
      <c r="EK19" s="254"/>
      <c r="EL19" s="254"/>
      <c r="EM19" s="254"/>
      <c r="EN19" s="254"/>
      <c r="EO19" s="254"/>
      <c r="EP19" s="254"/>
      <c r="EQ19" s="254"/>
      <c r="ER19" s="254"/>
      <c r="ES19" s="254"/>
      <c r="ET19" s="254"/>
      <c r="EU19" s="254"/>
      <c r="EV19" s="254"/>
      <c r="EW19" s="254"/>
      <c r="EX19" s="254"/>
      <c r="EY19" s="254"/>
      <c r="EZ19" s="254"/>
      <c r="FA19" s="254"/>
      <c r="FB19" s="254"/>
      <c r="FC19" s="254"/>
      <c r="FD19" s="254"/>
      <c r="FE19" s="254"/>
      <c r="FF19" s="254"/>
      <c r="FG19" s="254"/>
      <c r="FH19" s="254"/>
      <c r="FI19" s="254"/>
      <c r="FJ19" s="254"/>
      <c r="FK19" s="254"/>
      <c r="FL19" s="254"/>
      <c r="FM19" s="254"/>
      <c r="FN19" s="254"/>
      <c r="FO19" s="254"/>
      <c r="FP19" s="254"/>
      <c r="FQ19" s="254"/>
      <c r="FR19" s="254"/>
      <c r="FS19" s="254"/>
      <c r="FT19" s="254"/>
      <c r="FU19" s="254"/>
      <c r="FV19" s="254"/>
      <c r="FW19" s="254"/>
      <c r="FX19" s="254"/>
      <c r="FY19" s="254"/>
      <c r="FZ19" s="254"/>
      <c r="GA19" s="254"/>
      <c r="GB19" s="254"/>
      <c r="GC19" s="254"/>
      <c r="GD19" s="254"/>
      <c r="GE19" s="254"/>
      <c r="GF19" s="254"/>
      <c r="GG19" s="254"/>
      <c r="GH19" s="254"/>
      <c r="GI19" s="254"/>
      <c r="GJ19" s="254"/>
      <c r="GK19" s="254"/>
      <c r="GL19" s="254"/>
      <c r="GM19" s="254"/>
      <c r="GN19" s="254"/>
      <c r="GO19" s="254"/>
      <c r="GP19" s="254"/>
      <c r="GQ19" s="254"/>
      <c r="GR19" s="254"/>
      <c r="GS19" s="254"/>
      <c r="GT19" s="254"/>
      <c r="GU19" s="254"/>
      <c r="GV19" s="254"/>
      <c r="GW19" s="254"/>
      <c r="GX19" s="254"/>
      <c r="GY19" s="254"/>
      <c r="GZ19" s="254"/>
      <c r="HA19" s="254"/>
      <c r="HB19" s="254"/>
      <c r="HC19" s="254"/>
      <c r="HD19" s="254"/>
      <c r="HE19" s="254"/>
      <c r="HF19" s="254"/>
      <c r="HG19" s="254"/>
      <c r="HH19" s="254"/>
      <c r="HI19" s="254"/>
      <c r="HJ19" s="254"/>
      <c r="HK19" s="254"/>
      <c r="HL19" s="254"/>
      <c r="HM19" s="254"/>
      <c r="HN19" s="254"/>
      <c r="HO19" s="254"/>
      <c r="HP19" s="254"/>
      <c r="HQ19" s="254"/>
      <c r="HR19" s="254"/>
      <c r="HS19" s="254"/>
      <c r="HT19" s="254"/>
      <c r="HU19" s="254"/>
      <c r="HV19" s="254"/>
      <c r="HW19" s="254"/>
      <c r="HX19" s="254"/>
      <c r="HY19" s="254"/>
      <c r="HZ19" s="254"/>
      <c r="IA19" s="254"/>
      <c r="IB19" s="254"/>
      <c r="IC19" s="254"/>
      <c r="ID19" s="254"/>
      <c r="IE19" s="254"/>
      <c r="IF19" s="254"/>
      <c r="IG19" s="254"/>
      <c r="IH19" s="254"/>
      <c r="II19" s="254"/>
      <c r="IJ19" s="254"/>
      <c r="IK19" s="254"/>
      <c r="IL19" s="254"/>
      <c r="IM19" s="254"/>
      <c r="IN19" s="254"/>
      <c r="IO19" s="254"/>
      <c r="IP19" s="254"/>
      <c r="IQ19" s="254"/>
      <c r="IR19" s="254"/>
      <c r="IS19" s="254"/>
      <c r="IT19" s="254"/>
      <c r="IU19" s="362"/>
    </row>
    <row r="20" spans="1:255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16">
        <f>'MTS - MAPA DE TEMPO DE SERVIÇO'!H42</f>
        <v>0</v>
      </c>
      <c r="P20" s="74" t="s">
        <v>547</v>
      </c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1118"/>
      <c r="AD20" s="1119"/>
      <c r="AE20" s="1119"/>
      <c r="AF20" s="1119"/>
      <c r="AG20" s="1118"/>
      <c r="AH20" s="1118"/>
      <c r="AI20" s="1118"/>
      <c r="AJ20" s="1118"/>
      <c r="AK20" s="1118"/>
      <c r="AL20" s="1118"/>
      <c r="AM20" s="1118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4"/>
      <c r="BA20" s="1125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54"/>
      <c r="BS20" s="254"/>
      <c r="BT20" s="254"/>
      <c r="BU20" s="254"/>
      <c r="BV20" s="254"/>
      <c r="BW20" s="254"/>
      <c r="BX20" s="254"/>
      <c r="BY20" s="254"/>
      <c r="BZ20" s="254"/>
      <c r="CA20" s="254"/>
      <c r="CB20" s="254"/>
      <c r="CC20" s="254"/>
      <c r="CD20" s="254"/>
      <c r="CE20" s="254"/>
      <c r="CF20" s="254"/>
      <c r="CG20" s="254"/>
      <c r="CH20" s="254"/>
      <c r="CI20" s="254"/>
      <c r="CJ20" s="254"/>
      <c r="CK20" s="254"/>
      <c r="CL20" s="254"/>
      <c r="CM20" s="254"/>
      <c r="CN20" s="254"/>
      <c r="CO20" s="254"/>
      <c r="CP20" s="254"/>
      <c r="CQ20" s="254"/>
      <c r="CR20" s="254"/>
      <c r="CS20" s="254"/>
      <c r="CT20" s="254"/>
      <c r="CU20" s="254"/>
      <c r="CV20" s="254"/>
      <c r="CW20" s="254"/>
      <c r="CX20" s="254"/>
      <c r="CY20" s="254"/>
      <c r="CZ20" s="254"/>
      <c r="DA20" s="254"/>
      <c r="DB20" s="254"/>
      <c r="DC20" s="254"/>
      <c r="DD20" s="254"/>
      <c r="DE20" s="254"/>
      <c r="DF20" s="254"/>
      <c r="DG20" s="254"/>
      <c r="DH20" s="254"/>
      <c r="DI20" s="254"/>
      <c r="DJ20" s="254"/>
      <c r="DK20" s="254"/>
      <c r="DL20" s="254"/>
      <c r="DM20" s="254"/>
      <c r="DN20" s="254"/>
      <c r="DO20" s="254"/>
      <c r="DP20" s="254"/>
      <c r="DQ20" s="254"/>
      <c r="DR20" s="254"/>
      <c r="DS20" s="254"/>
      <c r="DT20" s="254"/>
      <c r="DU20" s="254"/>
      <c r="DV20" s="254"/>
      <c r="DW20" s="254"/>
      <c r="DX20" s="254"/>
      <c r="DY20" s="254"/>
      <c r="DZ20" s="254"/>
      <c r="EA20" s="254"/>
      <c r="EB20" s="254"/>
      <c r="EC20" s="254"/>
      <c r="ED20" s="254"/>
      <c r="EE20" s="254"/>
      <c r="EF20" s="254"/>
      <c r="EG20" s="254"/>
      <c r="EH20" s="254"/>
      <c r="EI20" s="254"/>
      <c r="EJ20" s="254"/>
      <c r="EK20" s="254"/>
      <c r="EL20" s="254"/>
      <c r="EM20" s="254"/>
      <c r="EN20" s="254"/>
      <c r="EO20" s="254"/>
      <c r="EP20" s="254"/>
      <c r="EQ20" s="254"/>
      <c r="ER20" s="254"/>
      <c r="ES20" s="254"/>
      <c r="ET20" s="254"/>
      <c r="EU20" s="254"/>
      <c r="EV20" s="254"/>
      <c r="EW20" s="254"/>
      <c r="EX20" s="254"/>
      <c r="EY20" s="254"/>
      <c r="EZ20" s="254"/>
      <c r="FA20" s="254"/>
      <c r="FB20" s="254"/>
      <c r="FC20" s="254"/>
      <c r="FD20" s="254"/>
      <c r="FE20" s="254"/>
      <c r="FF20" s="254"/>
      <c r="FG20" s="254"/>
      <c r="FH20" s="254"/>
      <c r="FI20" s="254"/>
      <c r="FJ20" s="254"/>
      <c r="FK20" s="254"/>
      <c r="FL20" s="254"/>
      <c r="FM20" s="254"/>
      <c r="FN20" s="254"/>
      <c r="FO20" s="254"/>
      <c r="FP20" s="254"/>
      <c r="FQ20" s="254"/>
      <c r="FR20" s="254"/>
      <c r="FS20" s="254"/>
      <c r="FT20" s="254"/>
      <c r="FU20" s="254"/>
      <c r="FV20" s="254"/>
      <c r="FW20" s="254"/>
      <c r="FX20" s="254"/>
      <c r="FY20" s="254"/>
      <c r="FZ20" s="254"/>
      <c r="GA20" s="254"/>
      <c r="GB20" s="254"/>
      <c r="GC20" s="254"/>
      <c r="GD20" s="254"/>
      <c r="GE20" s="254"/>
      <c r="GF20" s="254"/>
      <c r="GG20" s="254"/>
      <c r="GH20" s="254"/>
      <c r="GI20" s="254"/>
      <c r="GJ20" s="254"/>
      <c r="GK20" s="254"/>
      <c r="GL20" s="254"/>
      <c r="GM20" s="254"/>
      <c r="GN20" s="254"/>
      <c r="GO20" s="254"/>
      <c r="GP20" s="254"/>
      <c r="GQ20" s="254"/>
      <c r="GR20" s="254"/>
      <c r="GS20" s="254"/>
      <c r="GT20" s="254"/>
      <c r="GU20" s="254"/>
      <c r="GV20" s="254"/>
      <c r="GW20" s="254"/>
      <c r="GX20" s="254"/>
      <c r="GY20" s="254"/>
      <c r="GZ20" s="254"/>
      <c r="HA20" s="254"/>
      <c r="HB20" s="254"/>
      <c r="HC20" s="254"/>
      <c r="HD20" s="254"/>
      <c r="HE20" s="254"/>
      <c r="HF20" s="254"/>
      <c r="HG20" s="254"/>
      <c r="HH20" s="254"/>
      <c r="HI20" s="254"/>
      <c r="HJ20" s="254"/>
      <c r="HK20" s="254"/>
      <c r="HL20" s="254"/>
      <c r="HM20" s="254"/>
      <c r="HN20" s="254"/>
      <c r="HO20" s="254"/>
      <c r="HP20" s="254"/>
      <c r="HQ20" s="254"/>
      <c r="HR20" s="254"/>
      <c r="HS20" s="254"/>
      <c r="HT20" s="254"/>
      <c r="HU20" s="254"/>
      <c r="HV20" s="254"/>
      <c r="HW20" s="254"/>
      <c r="HX20" s="254"/>
      <c r="HY20" s="254"/>
      <c r="HZ20" s="254"/>
      <c r="IA20" s="254"/>
      <c r="IB20" s="254"/>
      <c r="IC20" s="254"/>
      <c r="ID20" s="254"/>
      <c r="IE20" s="254"/>
      <c r="IF20" s="254"/>
      <c r="IG20" s="254"/>
      <c r="IH20" s="254"/>
      <c r="II20" s="254"/>
      <c r="IJ20" s="254"/>
      <c r="IK20" s="254"/>
      <c r="IL20" s="254"/>
      <c r="IM20" s="254"/>
      <c r="IN20" s="254"/>
      <c r="IO20" s="254"/>
      <c r="IP20" s="254"/>
      <c r="IQ20" s="254"/>
      <c r="IR20" s="254"/>
      <c r="IS20" s="254"/>
      <c r="IT20" s="254"/>
      <c r="IU20" s="362"/>
    </row>
    <row r="21" spans="1:255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16">
        <f>'MTS - MAPA DE TEMPO DE SERVIÇO'!H58</f>
        <v>0</v>
      </c>
      <c r="P21" s="74" t="s">
        <v>702</v>
      </c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1118"/>
      <c r="AD21" s="1119"/>
      <c r="AE21" s="1119"/>
      <c r="AF21" s="1119"/>
      <c r="AG21" s="1118"/>
      <c r="AH21" s="1118"/>
      <c r="AI21" s="1118"/>
      <c r="AJ21" s="1118"/>
      <c r="AK21" s="1118"/>
      <c r="AL21" s="1118"/>
      <c r="AM21" s="1118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1125"/>
      <c r="BB21" s="254"/>
      <c r="BC21" s="254"/>
      <c r="BD21" s="254"/>
      <c r="BE21" s="254"/>
      <c r="BF21" s="254"/>
      <c r="BG21" s="254"/>
      <c r="BH21" s="254"/>
      <c r="BI21" s="254"/>
      <c r="BJ21" s="254"/>
      <c r="BK21" s="254"/>
      <c r="BL21" s="254"/>
      <c r="BM21" s="254"/>
      <c r="BN21" s="254"/>
      <c r="BO21" s="254"/>
      <c r="BP21" s="254"/>
      <c r="BQ21" s="254"/>
      <c r="BR21" s="254"/>
      <c r="BS21" s="254"/>
      <c r="BT21" s="254"/>
      <c r="BU21" s="254"/>
      <c r="BV21" s="254"/>
      <c r="BW21" s="254"/>
      <c r="BX21" s="254"/>
      <c r="BY21" s="254"/>
      <c r="BZ21" s="254"/>
      <c r="CA21" s="254"/>
      <c r="CB21" s="254"/>
      <c r="CC21" s="254"/>
      <c r="CD21" s="254"/>
      <c r="CE21" s="254"/>
      <c r="CF21" s="254"/>
      <c r="CG21" s="254"/>
      <c r="CH21" s="254"/>
      <c r="CI21" s="254"/>
      <c r="CJ21" s="254"/>
      <c r="CK21" s="254"/>
      <c r="CL21" s="254"/>
      <c r="CM21" s="254"/>
      <c r="CN21" s="254"/>
      <c r="CO21" s="254"/>
      <c r="CP21" s="254"/>
      <c r="CQ21" s="254"/>
      <c r="CR21" s="254"/>
      <c r="CS21" s="254"/>
      <c r="CT21" s="254"/>
      <c r="CU21" s="254"/>
      <c r="CV21" s="254"/>
      <c r="CW21" s="254"/>
      <c r="CX21" s="254"/>
      <c r="CY21" s="254"/>
      <c r="CZ21" s="254"/>
      <c r="DA21" s="254"/>
      <c r="DB21" s="254"/>
      <c r="DC21" s="254"/>
      <c r="DD21" s="254"/>
      <c r="DE21" s="254"/>
      <c r="DF21" s="254"/>
      <c r="DG21" s="254"/>
      <c r="DH21" s="254"/>
      <c r="DI21" s="254"/>
      <c r="DJ21" s="254"/>
      <c r="DK21" s="254"/>
      <c r="DL21" s="254"/>
      <c r="DM21" s="254"/>
      <c r="DN21" s="254"/>
      <c r="DO21" s="254"/>
      <c r="DP21" s="254"/>
      <c r="DQ21" s="254"/>
      <c r="DR21" s="254"/>
      <c r="DS21" s="254"/>
      <c r="DT21" s="254"/>
      <c r="DU21" s="254"/>
      <c r="DV21" s="254"/>
      <c r="DW21" s="254"/>
      <c r="DX21" s="254"/>
      <c r="DY21" s="254"/>
      <c r="DZ21" s="254"/>
      <c r="EA21" s="254"/>
      <c r="EB21" s="254"/>
      <c r="EC21" s="254"/>
      <c r="ED21" s="254"/>
      <c r="EE21" s="254"/>
      <c r="EF21" s="254"/>
      <c r="EG21" s="254"/>
      <c r="EH21" s="254"/>
      <c r="EI21" s="254"/>
      <c r="EJ21" s="254"/>
      <c r="EK21" s="254"/>
      <c r="EL21" s="254"/>
      <c r="EM21" s="254"/>
      <c r="EN21" s="254"/>
      <c r="EO21" s="254"/>
      <c r="EP21" s="254"/>
      <c r="EQ21" s="254"/>
      <c r="ER21" s="254"/>
      <c r="ES21" s="254"/>
      <c r="ET21" s="254"/>
      <c r="EU21" s="254"/>
      <c r="EV21" s="254"/>
      <c r="EW21" s="254"/>
      <c r="EX21" s="254"/>
      <c r="EY21" s="254"/>
      <c r="EZ21" s="254"/>
      <c r="FA21" s="254"/>
      <c r="FB21" s="254"/>
      <c r="FC21" s="254"/>
      <c r="FD21" s="254"/>
      <c r="FE21" s="254"/>
      <c r="FF21" s="254"/>
      <c r="FG21" s="254"/>
      <c r="FH21" s="254"/>
      <c r="FI21" s="254"/>
      <c r="FJ21" s="254"/>
      <c r="FK21" s="254"/>
      <c r="FL21" s="254"/>
      <c r="FM21" s="254"/>
      <c r="FN21" s="254"/>
      <c r="FO21" s="254"/>
      <c r="FP21" s="254"/>
      <c r="FQ21" s="254"/>
      <c r="FR21" s="254"/>
      <c r="FS21" s="254"/>
      <c r="FT21" s="254"/>
      <c r="FU21" s="254"/>
      <c r="FV21" s="254"/>
      <c r="FW21" s="254"/>
      <c r="FX21" s="254"/>
      <c r="FY21" s="254"/>
      <c r="FZ21" s="254"/>
      <c r="GA21" s="254"/>
      <c r="GB21" s="254"/>
      <c r="GC21" s="254"/>
      <c r="GD21" s="254"/>
      <c r="GE21" s="254"/>
      <c r="GF21" s="254"/>
      <c r="GG21" s="254"/>
      <c r="GH21" s="254"/>
      <c r="GI21" s="254"/>
      <c r="GJ21" s="254"/>
      <c r="GK21" s="254"/>
      <c r="GL21" s="254"/>
      <c r="GM21" s="254"/>
      <c r="GN21" s="254"/>
      <c r="GO21" s="254"/>
      <c r="GP21" s="254"/>
      <c r="GQ21" s="254"/>
      <c r="GR21" s="254"/>
      <c r="GS21" s="254"/>
      <c r="GT21" s="254"/>
      <c r="GU21" s="254"/>
      <c r="GV21" s="254"/>
      <c r="GW21" s="254"/>
      <c r="GX21" s="254"/>
      <c r="GY21" s="254"/>
      <c r="GZ21" s="254"/>
      <c r="HA21" s="254"/>
      <c r="HB21" s="254"/>
      <c r="HC21" s="254"/>
      <c r="HD21" s="254"/>
      <c r="HE21" s="254"/>
      <c r="HF21" s="254"/>
      <c r="HG21" s="254"/>
      <c r="HH21" s="254"/>
      <c r="HI21" s="254"/>
      <c r="HJ21" s="254"/>
      <c r="HK21" s="254"/>
      <c r="HL21" s="254"/>
      <c r="HM21" s="254"/>
      <c r="HN21" s="254"/>
      <c r="HO21" s="254"/>
      <c r="HP21" s="254"/>
      <c r="HQ21" s="254"/>
      <c r="HR21" s="254"/>
      <c r="HS21" s="254"/>
      <c r="HT21" s="254"/>
      <c r="HU21" s="254"/>
      <c r="HV21" s="254"/>
      <c r="HW21" s="254"/>
      <c r="HX21" s="254"/>
      <c r="HY21" s="254"/>
      <c r="HZ21" s="254"/>
      <c r="IA21" s="254"/>
      <c r="IB21" s="254"/>
      <c r="IC21" s="254"/>
      <c r="ID21" s="254"/>
      <c r="IE21" s="254"/>
      <c r="IF21" s="254"/>
      <c r="IG21" s="254"/>
      <c r="IH21" s="254"/>
      <c r="II21" s="254"/>
      <c r="IJ21" s="254"/>
      <c r="IK21" s="254"/>
      <c r="IL21" s="254"/>
      <c r="IM21" s="254"/>
      <c r="IN21" s="254"/>
      <c r="IO21" s="254"/>
      <c r="IP21" s="254"/>
      <c r="IQ21" s="254"/>
      <c r="IR21" s="254"/>
      <c r="IS21" s="254"/>
      <c r="IT21" s="254"/>
      <c r="IU21" s="362"/>
    </row>
    <row r="22" spans="1:255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17">
        <f>SUM(O20:O21)</f>
        <v>0</v>
      </c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1118"/>
      <c r="AD22" s="1119"/>
      <c r="AE22" s="1119"/>
      <c r="AF22" s="1119"/>
      <c r="AG22" s="1118"/>
      <c r="AH22" s="1118"/>
      <c r="AI22" s="1118"/>
      <c r="AJ22" s="1118"/>
      <c r="AK22" s="1118"/>
      <c r="AL22" s="1118"/>
      <c r="AM22" s="1118"/>
      <c r="AN22" s="254"/>
      <c r="AO22" s="254"/>
      <c r="AP22" s="254"/>
      <c r="AQ22" s="254"/>
      <c r="AR22" s="254"/>
      <c r="AS22" s="254"/>
      <c r="AT22" s="254"/>
      <c r="AU22" s="254"/>
      <c r="AV22" s="254"/>
      <c r="AW22" s="254"/>
      <c r="AX22" s="254"/>
      <c r="AY22" s="254"/>
      <c r="AZ22" s="254"/>
      <c r="BA22" s="1125"/>
      <c r="BB22" s="254"/>
      <c r="BC22" s="254"/>
      <c r="BD22" s="254"/>
      <c r="BE22" s="254"/>
      <c r="BF22" s="254"/>
      <c r="BG22" s="254"/>
      <c r="BH22" s="254"/>
      <c r="BI22" s="254"/>
      <c r="BJ22" s="254"/>
      <c r="BK22" s="254"/>
      <c r="BL22" s="254"/>
      <c r="BM22" s="254"/>
      <c r="BN22" s="254"/>
      <c r="BO22" s="254"/>
      <c r="BP22" s="254"/>
      <c r="BQ22" s="254"/>
      <c r="BR22" s="254"/>
      <c r="BS22" s="254"/>
      <c r="BT22" s="254"/>
      <c r="BU22" s="254"/>
      <c r="BV22" s="254"/>
      <c r="BW22" s="254"/>
      <c r="BX22" s="254"/>
      <c r="BY22" s="254"/>
      <c r="BZ22" s="254"/>
      <c r="CA22" s="254"/>
      <c r="CB22" s="254"/>
      <c r="CC22" s="254"/>
      <c r="CD22" s="254"/>
      <c r="CE22" s="254"/>
      <c r="CF22" s="254"/>
      <c r="CG22" s="254"/>
      <c r="CH22" s="254"/>
      <c r="CI22" s="254"/>
      <c r="CJ22" s="254"/>
      <c r="CK22" s="254"/>
      <c r="CL22" s="254"/>
      <c r="CM22" s="254"/>
      <c r="CN22" s="254"/>
      <c r="CO22" s="254"/>
      <c r="CP22" s="254"/>
      <c r="CQ22" s="254"/>
      <c r="CR22" s="254"/>
      <c r="CS22" s="254"/>
      <c r="CT22" s="254"/>
      <c r="CU22" s="254"/>
      <c r="CV22" s="254"/>
      <c r="CW22" s="254"/>
      <c r="CX22" s="254"/>
      <c r="CY22" s="254"/>
      <c r="CZ22" s="254"/>
      <c r="DA22" s="254"/>
      <c r="DB22" s="254"/>
      <c r="DC22" s="254"/>
      <c r="DD22" s="254"/>
      <c r="DE22" s="254"/>
      <c r="DF22" s="254"/>
      <c r="DG22" s="254"/>
      <c r="DH22" s="254"/>
      <c r="DI22" s="254"/>
      <c r="DJ22" s="254"/>
      <c r="DK22" s="254"/>
      <c r="DL22" s="254"/>
      <c r="DM22" s="254"/>
      <c r="DN22" s="254"/>
      <c r="DO22" s="254"/>
      <c r="DP22" s="254"/>
      <c r="DQ22" s="254"/>
      <c r="DR22" s="254"/>
      <c r="DS22" s="254"/>
      <c r="DT22" s="254"/>
      <c r="DU22" s="254"/>
      <c r="DV22" s="254"/>
      <c r="DW22" s="254"/>
      <c r="DX22" s="254"/>
      <c r="DY22" s="254"/>
      <c r="DZ22" s="254"/>
      <c r="EA22" s="254"/>
      <c r="EB22" s="254"/>
      <c r="EC22" s="254"/>
      <c r="ED22" s="254"/>
      <c r="EE22" s="254"/>
      <c r="EF22" s="254"/>
      <c r="EG22" s="254"/>
      <c r="EH22" s="254"/>
      <c r="EI22" s="254"/>
      <c r="EJ22" s="254"/>
      <c r="EK22" s="254"/>
      <c r="EL22" s="254"/>
      <c r="EM22" s="254"/>
      <c r="EN22" s="254"/>
      <c r="EO22" s="254"/>
      <c r="EP22" s="254"/>
      <c r="EQ22" s="254"/>
      <c r="ER22" s="254"/>
      <c r="ES22" s="254"/>
      <c r="ET22" s="254"/>
      <c r="EU22" s="254"/>
      <c r="EV22" s="254"/>
      <c r="EW22" s="254"/>
      <c r="EX22" s="254"/>
      <c r="EY22" s="254"/>
      <c r="EZ22" s="254"/>
      <c r="FA22" s="254"/>
      <c r="FB22" s="254"/>
      <c r="FC22" s="254"/>
      <c r="FD22" s="254"/>
      <c r="FE22" s="254"/>
      <c r="FF22" s="254"/>
      <c r="FG22" s="254"/>
      <c r="FH22" s="254"/>
      <c r="FI22" s="254"/>
      <c r="FJ22" s="254"/>
      <c r="FK22" s="254"/>
      <c r="FL22" s="254"/>
      <c r="FM22" s="254"/>
      <c r="FN22" s="254"/>
      <c r="FO22" s="254"/>
      <c r="FP22" s="254"/>
      <c r="FQ22" s="254"/>
      <c r="FR22" s="254"/>
      <c r="FS22" s="254"/>
      <c r="FT22" s="254"/>
      <c r="FU22" s="254"/>
      <c r="FV22" s="254"/>
      <c r="FW22" s="254"/>
      <c r="FX22" s="254"/>
      <c r="FY22" s="254"/>
      <c r="FZ22" s="254"/>
      <c r="GA22" s="254"/>
      <c r="GB22" s="254"/>
      <c r="GC22" s="254"/>
      <c r="GD22" s="254"/>
      <c r="GE22" s="254"/>
      <c r="GF22" s="254"/>
      <c r="GG22" s="254"/>
      <c r="GH22" s="254"/>
      <c r="GI22" s="254"/>
      <c r="GJ22" s="254"/>
      <c r="GK22" s="254"/>
      <c r="GL22" s="254"/>
      <c r="GM22" s="254"/>
      <c r="GN22" s="254"/>
      <c r="GO22" s="254"/>
      <c r="GP22" s="254"/>
      <c r="GQ22" s="254"/>
      <c r="GR22" s="254"/>
      <c r="GS22" s="254"/>
      <c r="GT22" s="254"/>
      <c r="GU22" s="254"/>
      <c r="GV22" s="254"/>
      <c r="GW22" s="254"/>
      <c r="GX22" s="254"/>
      <c r="GY22" s="254"/>
      <c r="GZ22" s="254"/>
      <c r="HA22" s="254"/>
      <c r="HB22" s="254"/>
      <c r="HC22" s="254"/>
      <c r="HD22" s="254"/>
      <c r="HE22" s="254"/>
      <c r="HF22" s="254"/>
      <c r="HG22" s="254"/>
      <c r="HH22" s="254"/>
      <c r="HI22" s="254"/>
      <c r="HJ22" s="254"/>
      <c r="HK22" s="254"/>
      <c r="HL22" s="254"/>
      <c r="HM22" s="254"/>
      <c r="HN22" s="254"/>
      <c r="HO22" s="254"/>
      <c r="HP22" s="254"/>
      <c r="HQ22" s="254"/>
      <c r="HR22" s="254"/>
      <c r="HS22" s="254"/>
      <c r="HT22" s="254"/>
      <c r="HU22" s="254"/>
      <c r="HV22" s="254"/>
      <c r="HW22" s="254"/>
      <c r="HX22" s="254"/>
      <c r="HY22" s="254"/>
      <c r="HZ22" s="254"/>
      <c r="IA22" s="254"/>
      <c r="IB22" s="254"/>
      <c r="IC22" s="254"/>
      <c r="ID22" s="254"/>
      <c r="IE22" s="254"/>
      <c r="IF22" s="254"/>
      <c r="IG22" s="254"/>
      <c r="IH22" s="254"/>
      <c r="II22" s="254"/>
      <c r="IJ22" s="254"/>
      <c r="IK22" s="254"/>
      <c r="IL22" s="254"/>
      <c r="IM22" s="254"/>
      <c r="IN22" s="254"/>
      <c r="IO22" s="254"/>
      <c r="IP22" s="254"/>
      <c r="IQ22" s="254"/>
      <c r="IR22" s="254"/>
      <c r="IS22" s="254"/>
      <c r="IT22" s="254"/>
      <c r="IU22" s="362"/>
    </row>
    <row r="23" spans="1:255" x14ac:dyDescent="0.15">
      <c r="A23" s="295"/>
      <c r="B23" s="667" t="s">
        <v>330</v>
      </c>
      <c r="C23" s="668"/>
      <c r="D23" s="43"/>
      <c r="N23" s="658"/>
      <c r="O23" s="390"/>
      <c r="P23" s="1127" t="s">
        <v>599</v>
      </c>
      <c r="Q23" s="1127">
        <v>1</v>
      </c>
      <c r="R23" s="1127">
        <v>2</v>
      </c>
      <c r="S23" s="1127">
        <v>3</v>
      </c>
      <c r="T23" s="1127">
        <v>4</v>
      </c>
      <c r="U23" s="1127">
        <v>5</v>
      </c>
      <c r="V23" s="1127">
        <v>6</v>
      </c>
      <c r="W23" s="1127">
        <v>7</v>
      </c>
      <c r="X23" s="1127">
        <v>8</v>
      </c>
      <c r="Y23" s="1127">
        <v>9</v>
      </c>
      <c r="Z23" s="1127">
        <v>10</v>
      </c>
      <c r="AA23" s="1127">
        <v>11</v>
      </c>
      <c r="AB23" s="1127">
        <v>12</v>
      </c>
      <c r="AC23" s="1127">
        <v>13</v>
      </c>
      <c r="AD23" s="1127">
        <v>14</v>
      </c>
      <c r="AE23" s="1127">
        <v>15</v>
      </c>
      <c r="AF23" s="1127">
        <v>16</v>
      </c>
      <c r="AG23" s="1127">
        <v>17</v>
      </c>
      <c r="AH23" s="1127">
        <v>18</v>
      </c>
      <c r="AI23" s="1127">
        <v>19</v>
      </c>
      <c r="AJ23" s="1127">
        <v>20</v>
      </c>
      <c r="AK23" s="1127">
        <v>21</v>
      </c>
      <c r="AL23" s="1127">
        <v>22</v>
      </c>
      <c r="AM23" s="1127">
        <v>23</v>
      </c>
      <c r="AN23" s="1127">
        <v>24</v>
      </c>
      <c r="AO23" s="1127">
        <v>25</v>
      </c>
      <c r="AP23" s="1127">
        <v>26</v>
      </c>
      <c r="AQ23" s="1127">
        <v>27</v>
      </c>
      <c r="AR23" s="1127">
        <v>28</v>
      </c>
      <c r="AS23" s="1127">
        <v>29</v>
      </c>
      <c r="AT23" s="1127">
        <v>30</v>
      </c>
      <c r="AU23" s="1127">
        <v>31</v>
      </c>
      <c r="AV23" s="1127">
        <v>32</v>
      </c>
      <c r="AW23" s="1127">
        <v>33</v>
      </c>
      <c r="AX23" s="1127">
        <v>34</v>
      </c>
      <c r="AY23" s="1127">
        <v>35</v>
      </c>
      <c r="AZ23" s="254"/>
      <c r="BA23" s="1125"/>
      <c r="BB23" s="254"/>
      <c r="BC23" s="254"/>
      <c r="BD23" s="254"/>
      <c r="BE23" s="254"/>
      <c r="BF23" s="254"/>
      <c r="BG23" s="254"/>
      <c r="BH23" s="254"/>
      <c r="BI23" s="254"/>
      <c r="BJ23" s="254"/>
      <c r="BK23" s="254"/>
      <c r="BL23" s="254"/>
      <c r="BM23" s="254"/>
      <c r="BN23" s="254"/>
      <c r="BO23" s="254"/>
      <c r="BP23" s="254"/>
      <c r="BQ23" s="254"/>
      <c r="BR23" s="254"/>
      <c r="BS23" s="254"/>
      <c r="BT23" s="254"/>
      <c r="BU23" s="254"/>
      <c r="BV23" s="254"/>
      <c r="BW23" s="254"/>
      <c r="BX23" s="254"/>
      <c r="BY23" s="254"/>
      <c r="BZ23" s="254"/>
      <c r="CA23" s="254"/>
      <c r="CB23" s="254"/>
      <c r="CC23" s="254"/>
      <c r="CD23" s="254"/>
      <c r="CE23" s="254"/>
      <c r="CF23" s="254"/>
      <c r="CG23" s="254"/>
      <c r="CH23" s="254"/>
      <c r="CI23" s="254"/>
      <c r="CJ23" s="254"/>
      <c r="CK23" s="254"/>
      <c r="CL23" s="254"/>
      <c r="CM23" s="254"/>
      <c r="CN23" s="254"/>
      <c r="CO23" s="254"/>
      <c r="CP23" s="254"/>
      <c r="CQ23" s="254"/>
      <c r="CR23" s="254"/>
      <c r="CS23" s="254"/>
      <c r="CT23" s="254"/>
      <c r="CU23" s="254"/>
      <c r="CV23" s="254"/>
      <c r="CW23" s="254"/>
      <c r="CX23" s="254"/>
      <c r="CY23" s="254"/>
      <c r="CZ23" s="254"/>
      <c r="DA23" s="254"/>
      <c r="DB23" s="254"/>
      <c r="DC23" s="254"/>
      <c r="DD23" s="254"/>
      <c r="DE23" s="254"/>
      <c r="DF23" s="254"/>
      <c r="DG23" s="254"/>
      <c r="DH23" s="254"/>
      <c r="DI23" s="254"/>
      <c r="DJ23" s="254"/>
      <c r="DK23" s="254"/>
      <c r="DL23" s="254"/>
      <c r="DM23" s="254"/>
      <c r="DN23" s="254"/>
      <c r="DO23" s="254"/>
      <c r="DP23" s="254"/>
      <c r="DQ23" s="254"/>
      <c r="DR23" s="254"/>
      <c r="DS23" s="254"/>
      <c r="DT23" s="254"/>
      <c r="DU23" s="254"/>
      <c r="DV23" s="254"/>
      <c r="DW23" s="254"/>
      <c r="DX23" s="254"/>
      <c r="DY23" s="254"/>
      <c r="DZ23" s="254"/>
      <c r="EA23" s="254"/>
      <c r="EB23" s="254"/>
      <c r="EC23" s="254"/>
      <c r="ED23" s="254"/>
      <c r="EE23" s="254"/>
      <c r="EF23" s="254"/>
      <c r="EG23" s="254"/>
      <c r="EH23" s="254"/>
      <c r="EI23" s="254"/>
      <c r="EJ23" s="254"/>
      <c r="EK23" s="254"/>
      <c r="EL23" s="254"/>
      <c r="EM23" s="254"/>
      <c r="EN23" s="254"/>
      <c r="EO23" s="254"/>
      <c r="EP23" s="254"/>
      <c r="EQ23" s="254"/>
      <c r="ER23" s="254"/>
      <c r="ES23" s="254"/>
      <c r="ET23" s="254"/>
      <c r="EU23" s="254"/>
      <c r="EV23" s="254"/>
      <c r="EW23" s="254"/>
      <c r="EX23" s="254"/>
      <c r="EY23" s="254"/>
      <c r="EZ23" s="254"/>
      <c r="FA23" s="254"/>
      <c r="FB23" s="254"/>
      <c r="FC23" s="254"/>
      <c r="FD23" s="254"/>
      <c r="FE23" s="254"/>
      <c r="FF23" s="254"/>
      <c r="FG23" s="254"/>
      <c r="FH23" s="254"/>
      <c r="FI23" s="254"/>
      <c r="FJ23" s="254"/>
      <c r="FK23" s="254"/>
      <c r="FL23" s="254"/>
      <c r="FM23" s="254"/>
      <c r="FN23" s="254"/>
      <c r="FO23" s="254"/>
      <c r="FP23" s="254"/>
      <c r="FQ23" s="254"/>
      <c r="FR23" s="254"/>
      <c r="FS23" s="254"/>
      <c r="FT23" s="254"/>
      <c r="FU23" s="254"/>
      <c r="FV23" s="254"/>
      <c r="FW23" s="254"/>
      <c r="FX23" s="254"/>
      <c r="FY23" s="254"/>
      <c r="FZ23" s="254"/>
      <c r="GA23" s="254"/>
      <c r="GB23" s="254"/>
      <c r="GC23" s="254"/>
      <c r="GD23" s="254"/>
      <c r="GE23" s="254"/>
      <c r="GF23" s="254"/>
      <c r="GG23" s="254"/>
      <c r="GH23" s="254"/>
      <c r="GI23" s="254"/>
      <c r="GJ23" s="254"/>
      <c r="GK23" s="254"/>
      <c r="GL23" s="254"/>
      <c r="GM23" s="254"/>
      <c r="GN23" s="254"/>
      <c r="GO23" s="254"/>
      <c r="GP23" s="254"/>
      <c r="GQ23" s="254"/>
      <c r="GR23" s="254"/>
      <c r="GS23" s="254"/>
      <c r="GT23" s="254"/>
      <c r="GU23" s="254"/>
      <c r="GV23" s="254"/>
      <c r="GW23" s="254"/>
      <c r="GX23" s="254"/>
      <c r="GY23" s="254"/>
      <c r="GZ23" s="254"/>
      <c r="HA23" s="254"/>
      <c r="HB23" s="254"/>
      <c r="HC23" s="254"/>
      <c r="HD23" s="254"/>
      <c r="HE23" s="254"/>
      <c r="HF23" s="254"/>
      <c r="HG23" s="254"/>
      <c r="HH23" s="254"/>
      <c r="HI23" s="254"/>
      <c r="HJ23" s="254"/>
      <c r="HK23" s="254"/>
      <c r="HL23" s="254"/>
      <c r="HM23" s="254"/>
      <c r="HN23" s="254"/>
      <c r="HO23" s="254"/>
      <c r="HP23" s="254"/>
      <c r="HQ23" s="254"/>
      <c r="HR23" s="254"/>
      <c r="HS23" s="254"/>
      <c r="HT23" s="254"/>
      <c r="HU23" s="254"/>
      <c r="HV23" s="254"/>
      <c r="HW23" s="254"/>
      <c r="HX23" s="254"/>
      <c r="HY23" s="254"/>
      <c r="HZ23" s="254"/>
      <c r="IA23" s="254"/>
      <c r="IB23" s="254"/>
      <c r="IC23" s="254"/>
      <c r="ID23" s="254"/>
      <c r="IE23" s="254"/>
      <c r="IF23" s="254"/>
      <c r="IG23" s="254"/>
      <c r="IH23" s="254"/>
      <c r="II23" s="254"/>
      <c r="IJ23" s="254"/>
      <c r="IK23" s="254"/>
      <c r="IL23" s="254"/>
      <c r="IM23" s="254"/>
      <c r="IN23" s="254"/>
      <c r="IO23" s="254"/>
      <c r="IP23" s="254"/>
      <c r="IQ23" s="254"/>
      <c r="IR23" s="254"/>
      <c r="IS23" s="254"/>
      <c r="IT23" s="254"/>
      <c r="IU23" s="362"/>
    </row>
    <row r="24" spans="1:255" ht="6" customHeight="1" thickBot="1" x14ac:dyDescent="0.2">
      <c r="A24" s="295"/>
      <c r="B24" s="44"/>
      <c r="C24" s="43"/>
      <c r="D24" s="43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1118"/>
      <c r="AD24" s="1119"/>
      <c r="AE24" s="1119"/>
      <c r="AF24" s="1119"/>
      <c r="AG24" s="1118"/>
      <c r="AH24" s="1118"/>
      <c r="AI24" s="1118"/>
      <c r="AJ24" s="1118"/>
      <c r="AK24" s="1118"/>
      <c r="AL24" s="1118"/>
      <c r="AM24" s="1118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1125"/>
      <c r="BB24" s="254"/>
      <c r="BC24" s="254"/>
      <c r="BD24" s="254"/>
      <c r="BE24" s="254"/>
      <c r="BF24" s="254"/>
      <c r="BG24" s="254"/>
      <c r="BH24" s="254"/>
      <c r="BI24" s="254"/>
      <c r="BJ24" s="254"/>
      <c r="BK24" s="254"/>
      <c r="BL24" s="254"/>
      <c r="BM24" s="254"/>
      <c r="BN24" s="254"/>
      <c r="BO24" s="254"/>
      <c r="BP24" s="254"/>
      <c r="BQ24" s="254"/>
      <c r="BR24" s="254"/>
      <c r="BS24" s="254"/>
      <c r="BT24" s="254"/>
      <c r="BU24" s="254"/>
      <c r="BV24" s="254"/>
      <c r="BW24" s="254"/>
      <c r="BX24" s="254"/>
      <c r="BY24" s="254"/>
      <c r="BZ24" s="254"/>
      <c r="CA24" s="254"/>
      <c r="CB24" s="254"/>
      <c r="CC24" s="254"/>
      <c r="CD24" s="254"/>
      <c r="CE24" s="254"/>
      <c r="CF24" s="254"/>
      <c r="CG24" s="254"/>
      <c r="CH24" s="254"/>
      <c r="CI24" s="254"/>
      <c r="CJ24" s="254"/>
      <c r="CK24" s="254"/>
      <c r="CL24" s="254"/>
      <c r="CM24" s="254"/>
      <c r="CN24" s="254"/>
      <c r="CO24" s="254"/>
      <c r="CP24" s="254"/>
      <c r="CQ24" s="254"/>
      <c r="CR24" s="254"/>
      <c r="CS24" s="254"/>
      <c r="CT24" s="254"/>
      <c r="CU24" s="254"/>
      <c r="CV24" s="254"/>
      <c r="CW24" s="254"/>
      <c r="CX24" s="254"/>
      <c r="CY24" s="254"/>
      <c r="CZ24" s="254"/>
      <c r="DA24" s="254"/>
      <c r="DB24" s="254"/>
      <c r="DC24" s="254"/>
      <c r="DD24" s="254"/>
      <c r="DE24" s="254"/>
      <c r="DF24" s="254"/>
      <c r="DG24" s="254"/>
      <c r="DH24" s="254"/>
      <c r="DI24" s="254"/>
      <c r="DJ24" s="254"/>
      <c r="DK24" s="254"/>
      <c r="DL24" s="254"/>
      <c r="DM24" s="254"/>
      <c r="DN24" s="254"/>
      <c r="DO24" s="254"/>
      <c r="DP24" s="254"/>
      <c r="DQ24" s="254"/>
      <c r="DR24" s="254"/>
      <c r="DS24" s="254"/>
      <c r="DT24" s="254"/>
      <c r="DU24" s="254"/>
      <c r="DV24" s="254"/>
      <c r="DW24" s="254"/>
      <c r="DX24" s="254"/>
      <c r="DY24" s="254"/>
      <c r="DZ24" s="254"/>
      <c r="EA24" s="254"/>
      <c r="EB24" s="254"/>
      <c r="EC24" s="254"/>
      <c r="ED24" s="254"/>
      <c r="EE24" s="254"/>
      <c r="EF24" s="254"/>
      <c r="EG24" s="254"/>
      <c r="EH24" s="254"/>
      <c r="EI24" s="254"/>
      <c r="EJ24" s="254"/>
      <c r="EK24" s="254"/>
      <c r="EL24" s="254"/>
      <c r="EM24" s="254"/>
      <c r="EN24" s="254"/>
      <c r="EO24" s="254"/>
      <c r="EP24" s="254"/>
      <c r="EQ24" s="254"/>
      <c r="ER24" s="254"/>
      <c r="ES24" s="254"/>
      <c r="ET24" s="254"/>
      <c r="EU24" s="254"/>
      <c r="EV24" s="254"/>
      <c r="EW24" s="254"/>
      <c r="EX24" s="254"/>
      <c r="EY24" s="254"/>
      <c r="EZ24" s="254"/>
      <c r="FA24" s="254"/>
      <c r="FB24" s="254"/>
      <c r="FC24" s="254"/>
      <c r="FD24" s="254"/>
      <c r="FE24" s="254"/>
      <c r="FF24" s="254"/>
      <c r="FG24" s="254"/>
      <c r="FH24" s="254"/>
      <c r="FI24" s="254"/>
      <c r="FJ24" s="254"/>
      <c r="FK24" s="254"/>
      <c r="FL24" s="254"/>
      <c r="FM24" s="254"/>
      <c r="FN24" s="254"/>
      <c r="FO24" s="254"/>
      <c r="FP24" s="254"/>
      <c r="FQ24" s="254"/>
      <c r="FR24" s="254"/>
      <c r="FS24" s="254"/>
      <c r="FT24" s="254"/>
      <c r="FU24" s="254"/>
      <c r="FV24" s="254"/>
      <c r="FW24" s="254"/>
      <c r="FX24" s="254"/>
      <c r="FY24" s="254"/>
      <c r="FZ24" s="254"/>
      <c r="GA24" s="254"/>
      <c r="GB24" s="254"/>
      <c r="GC24" s="254"/>
      <c r="GD24" s="254"/>
      <c r="GE24" s="254"/>
      <c r="GF24" s="254"/>
      <c r="GG24" s="254"/>
      <c r="GH24" s="254"/>
      <c r="GI24" s="254"/>
      <c r="GJ24" s="254"/>
      <c r="GK24" s="254"/>
      <c r="GL24" s="254"/>
      <c r="GM24" s="254"/>
      <c r="GN24" s="254"/>
      <c r="GO24" s="254"/>
      <c r="GP24" s="254"/>
      <c r="GQ24" s="254"/>
      <c r="GR24" s="254"/>
      <c r="GS24" s="254"/>
      <c r="GT24" s="254"/>
      <c r="GU24" s="254"/>
      <c r="GV24" s="254"/>
      <c r="GW24" s="254"/>
      <c r="GX24" s="254"/>
      <c r="GY24" s="254"/>
      <c r="GZ24" s="254"/>
      <c r="HA24" s="254"/>
      <c r="HB24" s="254"/>
      <c r="HC24" s="254"/>
      <c r="HD24" s="254"/>
      <c r="HE24" s="254"/>
      <c r="HF24" s="254"/>
      <c r="HG24" s="254"/>
      <c r="HH24" s="254"/>
      <c r="HI24" s="254"/>
      <c r="HJ24" s="254"/>
      <c r="HK24" s="254"/>
      <c r="HL24" s="254"/>
      <c r="HM24" s="254"/>
      <c r="HN24" s="254"/>
      <c r="HO24" s="254"/>
      <c r="HP24" s="254"/>
      <c r="HQ24" s="254"/>
      <c r="HR24" s="254"/>
      <c r="HS24" s="254"/>
      <c r="HT24" s="254"/>
      <c r="HU24" s="254"/>
      <c r="HV24" s="254"/>
      <c r="HW24" s="254"/>
      <c r="HX24" s="254"/>
      <c r="HY24" s="254"/>
      <c r="HZ24" s="254"/>
      <c r="IA24" s="254"/>
      <c r="IB24" s="254"/>
      <c r="IC24" s="254"/>
      <c r="ID24" s="254"/>
      <c r="IE24" s="254"/>
      <c r="IF24" s="254"/>
      <c r="IG24" s="254"/>
      <c r="IH24" s="254"/>
      <c r="II24" s="254"/>
      <c r="IJ24" s="254"/>
      <c r="IK24" s="254"/>
      <c r="IL24" s="254"/>
      <c r="IM24" s="254"/>
      <c r="IN24" s="254"/>
      <c r="IO24" s="254"/>
      <c r="IP24" s="254"/>
      <c r="IQ24" s="254"/>
      <c r="IR24" s="254"/>
      <c r="IS24" s="254"/>
      <c r="IT24" s="254"/>
      <c r="IU24" s="362"/>
    </row>
    <row r="25" spans="1:255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2"/>
      <c r="P25" s="1083" t="s">
        <v>601</v>
      </c>
      <c r="Q25" s="1084"/>
      <c r="R25" s="1084"/>
      <c r="S25" s="1084"/>
      <c r="T25" s="1084"/>
      <c r="U25" s="1084"/>
      <c r="V25" s="1084"/>
      <c r="W25" s="1084"/>
      <c r="X25" s="1084"/>
      <c r="Y25" s="1084"/>
      <c r="Z25" s="1084"/>
      <c r="AA25" s="1084"/>
      <c r="AB25" s="1084"/>
      <c r="AC25" s="1085"/>
      <c r="AD25" s="1086"/>
      <c r="AE25" s="1086"/>
      <c r="AF25" s="1086"/>
      <c r="AG25" s="1085"/>
      <c r="AH25" s="1085"/>
      <c r="AI25" s="1085"/>
      <c r="AJ25" s="1085"/>
      <c r="AK25" s="1085"/>
      <c r="AL25" s="1085"/>
      <c r="AM25" s="1085"/>
      <c r="AN25" s="1084"/>
      <c r="AO25" s="1084"/>
      <c r="AP25" s="1084"/>
      <c r="AQ25" s="1084"/>
      <c r="AR25" s="1084"/>
      <c r="AS25" s="1084"/>
      <c r="AT25" s="1084"/>
      <c r="AU25" s="1084"/>
      <c r="AV25" s="1084"/>
      <c r="AW25" s="1084"/>
      <c r="AX25" s="1085"/>
      <c r="AY25" s="1087"/>
      <c r="AZ25" s="1074"/>
      <c r="BA25" s="1088"/>
      <c r="BB25" s="362"/>
      <c r="BC25" s="362"/>
      <c r="BD25" s="362"/>
      <c r="BE25" s="362"/>
      <c r="BF25" s="362"/>
      <c r="BG25" s="362"/>
      <c r="BH25" s="362"/>
      <c r="BI25" s="362"/>
      <c r="BJ25" s="362"/>
      <c r="BK25" s="362"/>
      <c r="BL25" s="362"/>
      <c r="BM25" s="362"/>
      <c r="BN25" s="362"/>
      <c r="BO25" s="362"/>
      <c r="BP25" s="362"/>
      <c r="BQ25" s="362"/>
      <c r="BR25" s="362"/>
      <c r="BS25" s="362"/>
      <c r="BT25" s="362"/>
      <c r="BU25" s="362"/>
      <c r="BV25" s="362"/>
      <c r="BW25" s="362"/>
      <c r="BX25" s="362"/>
      <c r="BY25" s="362"/>
      <c r="BZ25" s="362"/>
      <c r="CA25" s="362"/>
      <c r="CB25" s="362"/>
      <c r="CC25" s="362"/>
      <c r="CD25" s="362"/>
      <c r="CE25" s="362"/>
      <c r="CF25" s="362"/>
      <c r="CG25" s="362"/>
      <c r="CH25" s="362"/>
      <c r="CI25" s="362"/>
      <c r="CJ25" s="362"/>
      <c r="CK25" s="362"/>
      <c r="CL25" s="362"/>
      <c r="CM25" s="362"/>
      <c r="CN25" s="362"/>
      <c r="CO25" s="362"/>
      <c r="CP25" s="362"/>
      <c r="CQ25" s="362"/>
      <c r="CR25" s="362"/>
      <c r="CS25" s="362"/>
      <c r="CT25" s="362"/>
      <c r="CU25" s="362"/>
      <c r="CV25" s="362"/>
      <c r="CW25" s="362"/>
      <c r="CX25" s="362"/>
      <c r="CY25" s="362"/>
      <c r="CZ25" s="362"/>
      <c r="DA25" s="362"/>
      <c r="DB25" s="362"/>
      <c r="DC25" s="362"/>
      <c r="DD25" s="362"/>
      <c r="DE25" s="362"/>
      <c r="DF25" s="362"/>
      <c r="DG25" s="362"/>
      <c r="DH25" s="362"/>
      <c r="DI25" s="362"/>
      <c r="DJ25" s="362"/>
      <c r="DK25" s="362"/>
      <c r="DL25" s="362"/>
      <c r="DM25" s="362"/>
      <c r="DN25" s="362"/>
      <c r="DO25" s="362"/>
      <c r="DP25" s="362"/>
      <c r="DQ25" s="362"/>
      <c r="DR25" s="362"/>
      <c r="DS25" s="362"/>
      <c r="DT25" s="362"/>
      <c r="DU25" s="362"/>
      <c r="DV25" s="362"/>
      <c r="DW25" s="362"/>
      <c r="DX25" s="362"/>
      <c r="DY25" s="362"/>
      <c r="DZ25" s="362"/>
      <c r="EA25" s="362"/>
      <c r="EB25" s="362"/>
      <c r="EC25" s="362"/>
      <c r="ED25" s="362"/>
      <c r="EE25" s="362"/>
      <c r="EF25" s="362"/>
      <c r="EG25" s="362"/>
      <c r="EH25" s="362"/>
      <c r="EI25" s="362"/>
      <c r="EJ25" s="362"/>
      <c r="EK25" s="362"/>
      <c r="EL25" s="362"/>
      <c r="EM25" s="362"/>
      <c r="EN25" s="362"/>
      <c r="EO25" s="362"/>
      <c r="EP25" s="362"/>
      <c r="EQ25" s="362"/>
      <c r="ER25" s="362"/>
      <c r="ES25" s="362"/>
      <c r="ET25" s="362"/>
      <c r="EU25" s="362"/>
      <c r="EV25" s="362"/>
      <c r="EW25" s="362"/>
      <c r="EX25" s="362"/>
      <c r="EY25" s="362"/>
      <c r="EZ25" s="362"/>
      <c r="FA25" s="362"/>
      <c r="FB25" s="362"/>
      <c r="FC25" s="362"/>
      <c r="FD25" s="362"/>
      <c r="FE25" s="362"/>
      <c r="FF25" s="362"/>
      <c r="FG25" s="362"/>
      <c r="FH25" s="362"/>
      <c r="FI25" s="362"/>
      <c r="FJ25" s="362"/>
      <c r="FK25" s="362"/>
      <c r="FL25" s="362"/>
      <c r="FM25" s="362"/>
      <c r="FN25" s="362"/>
      <c r="FO25" s="362"/>
      <c r="FP25" s="362"/>
      <c r="FQ25" s="362"/>
      <c r="FR25" s="362"/>
      <c r="FS25" s="362"/>
      <c r="FT25" s="362"/>
      <c r="FU25" s="362"/>
      <c r="FV25" s="362"/>
      <c r="FW25" s="362"/>
      <c r="FX25" s="362"/>
      <c r="FY25" s="362"/>
      <c r="FZ25" s="362"/>
      <c r="GA25" s="362"/>
      <c r="GB25" s="362"/>
      <c r="GC25" s="362"/>
      <c r="GD25" s="362"/>
      <c r="GE25" s="362"/>
      <c r="GF25" s="362"/>
      <c r="GG25" s="362"/>
      <c r="GH25" s="362"/>
      <c r="GI25" s="362"/>
      <c r="GJ25" s="362"/>
      <c r="GK25" s="362"/>
      <c r="GL25" s="362"/>
      <c r="GM25" s="362"/>
      <c r="GN25" s="362"/>
      <c r="GO25" s="362"/>
      <c r="GP25" s="362"/>
      <c r="GQ25" s="362"/>
      <c r="GR25" s="362"/>
      <c r="GS25" s="362"/>
      <c r="GT25" s="362"/>
      <c r="GU25" s="362"/>
      <c r="GV25" s="362"/>
      <c r="GW25" s="362"/>
      <c r="GX25" s="362"/>
      <c r="GY25" s="362"/>
      <c r="GZ25" s="362"/>
      <c r="HA25" s="362"/>
      <c r="HB25" s="362"/>
      <c r="HC25" s="362"/>
      <c r="HD25" s="362"/>
      <c r="HE25" s="362"/>
      <c r="HF25" s="362"/>
      <c r="HG25" s="362"/>
      <c r="HH25" s="362"/>
      <c r="HI25" s="362"/>
      <c r="HJ25" s="362"/>
      <c r="HK25" s="362"/>
      <c r="HL25" s="362"/>
      <c r="HM25" s="362"/>
      <c r="HN25" s="362"/>
      <c r="HO25" s="362"/>
      <c r="HP25" s="362"/>
      <c r="HQ25" s="362"/>
      <c r="HR25" s="362"/>
      <c r="HS25" s="362"/>
      <c r="HT25" s="362"/>
      <c r="HU25" s="362"/>
      <c r="HV25" s="362"/>
      <c r="HW25" s="362"/>
      <c r="HX25" s="362"/>
      <c r="HY25" s="362"/>
      <c r="HZ25" s="362"/>
      <c r="IA25" s="362"/>
      <c r="IB25" s="362"/>
      <c r="IC25" s="362"/>
      <c r="ID25" s="362"/>
      <c r="IE25" s="362"/>
      <c r="IF25" s="362"/>
      <c r="IG25" s="362"/>
      <c r="IH25" s="362"/>
      <c r="II25" s="362"/>
      <c r="IJ25" s="362"/>
      <c r="IK25" s="362"/>
      <c r="IL25" s="362"/>
      <c r="IM25" s="362"/>
      <c r="IN25" s="362"/>
      <c r="IO25" s="362"/>
      <c r="IP25" s="362"/>
      <c r="IQ25" s="362"/>
      <c r="IR25" s="362"/>
      <c r="IS25" s="362"/>
      <c r="IT25" s="362"/>
      <c r="IU25" s="362"/>
    </row>
    <row r="26" spans="1:255" x14ac:dyDescent="0.15">
      <c r="A26" s="295"/>
      <c r="B26" s="168" t="s">
        <v>335</v>
      </c>
      <c r="C26" s="738">
        <f>CRÍTICA_IGP1!C26</f>
        <v>0</v>
      </c>
      <c r="D26" s="169" t="s">
        <v>336</v>
      </c>
      <c r="E26" s="738">
        <f>CRÍTICA_IGP1!E26</f>
        <v>0</v>
      </c>
      <c r="F26" s="739">
        <f>CRÍTICA_IGP1!F26</f>
        <v>0</v>
      </c>
      <c r="G26" s="149" t="s">
        <v>337</v>
      </c>
      <c r="H26" s="5"/>
      <c r="I26" s="5"/>
      <c r="J26" s="740">
        <f>CRÍTICA_IGP1!J26</f>
        <v>0</v>
      </c>
      <c r="K26" s="150"/>
      <c r="L26" s="150" t="s">
        <v>524</v>
      </c>
      <c r="M26" s="5"/>
      <c r="N26" s="740">
        <f>CRÍTICA_IGP1!N26</f>
        <v>0</v>
      </c>
      <c r="O26" s="3"/>
      <c r="P26" s="1089" t="s">
        <v>349</v>
      </c>
      <c r="Q26" s="2">
        <v>1</v>
      </c>
      <c r="R26" s="2">
        <v>2</v>
      </c>
      <c r="S26" s="2">
        <v>3</v>
      </c>
      <c r="T26" s="2">
        <v>4</v>
      </c>
      <c r="U26" s="2">
        <v>5</v>
      </c>
      <c r="V26" s="2">
        <v>6</v>
      </c>
      <c r="W26" s="2">
        <v>7</v>
      </c>
      <c r="X26" s="2">
        <v>8</v>
      </c>
      <c r="Y26" s="2">
        <v>9</v>
      </c>
      <c r="Z26" s="2">
        <v>10</v>
      </c>
      <c r="AA26" s="2">
        <v>11</v>
      </c>
      <c r="AB26" s="2">
        <v>12</v>
      </c>
      <c r="AC26" s="1090">
        <v>13</v>
      </c>
      <c r="AD26" s="1091">
        <v>14</v>
      </c>
      <c r="AE26" s="1091">
        <v>15</v>
      </c>
      <c r="AF26" s="1091">
        <v>16</v>
      </c>
      <c r="AG26" s="1091">
        <v>17</v>
      </c>
      <c r="AH26" s="1091">
        <v>18</v>
      </c>
      <c r="AI26" s="1091">
        <v>19</v>
      </c>
      <c r="AJ26" s="1091">
        <v>20</v>
      </c>
      <c r="AK26" s="1091">
        <v>21</v>
      </c>
      <c r="AL26" s="1091">
        <v>22</v>
      </c>
      <c r="AM26" s="1091">
        <v>23</v>
      </c>
      <c r="AN26" s="1091">
        <v>24</v>
      </c>
      <c r="AO26" s="1091">
        <v>25</v>
      </c>
      <c r="AP26" s="1091">
        <v>26</v>
      </c>
      <c r="AQ26" s="1091">
        <v>27</v>
      </c>
      <c r="AR26" s="1091">
        <v>28</v>
      </c>
      <c r="AS26" s="1091">
        <v>29</v>
      </c>
      <c r="AT26" s="1091">
        <v>30</v>
      </c>
      <c r="AU26" s="1091">
        <v>31</v>
      </c>
      <c r="AV26" s="1091">
        <v>32</v>
      </c>
      <c r="AW26" s="1091">
        <v>33</v>
      </c>
      <c r="AX26" s="1091">
        <v>34</v>
      </c>
      <c r="AY26" s="1092">
        <v>35</v>
      </c>
      <c r="AZ26" s="2"/>
      <c r="BA26" s="1076"/>
      <c r="BB26" s="362"/>
      <c r="BC26" s="362"/>
      <c r="BD26" s="362"/>
      <c r="BE26" s="362"/>
      <c r="BF26" s="362"/>
      <c r="BG26" s="362"/>
      <c r="BH26" s="362"/>
      <c r="BI26" s="362"/>
      <c r="BJ26" s="362"/>
      <c r="BK26" s="362"/>
      <c r="BL26" s="362"/>
      <c r="BM26" s="362"/>
      <c r="BN26" s="362"/>
      <c r="BO26" s="362"/>
      <c r="BP26" s="362"/>
      <c r="BQ26" s="362"/>
      <c r="BR26" s="362"/>
      <c r="BS26" s="362"/>
      <c r="BT26" s="362"/>
      <c r="BU26" s="362"/>
      <c r="BV26" s="362"/>
      <c r="BW26" s="362"/>
      <c r="BX26" s="362"/>
      <c r="BY26" s="362"/>
      <c r="BZ26" s="362"/>
      <c r="CA26" s="362"/>
      <c r="CB26" s="362"/>
      <c r="CC26" s="362"/>
      <c r="CD26" s="362"/>
      <c r="CE26" s="362"/>
      <c r="CF26" s="362"/>
      <c r="CG26" s="362"/>
      <c r="CH26" s="362"/>
      <c r="CI26" s="362"/>
      <c r="CJ26" s="362"/>
      <c r="CK26" s="362"/>
      <c r="CL26" s="362"/>
      <c r="CM26" s="362"/>
      <c r="CN26" s="362"/>
      <c r="CO26" s="362"/>
      <c r="CP26" s="362"/>
      <c r="CQ26" s="362"/>
      <c r="CR26" s="362"/>
      <c r="CS26" s="362"/>
      <c r="CT26" s="362"/>
      <c r="CU26" s="362"/>
      <c r="CV26" s="362"/>
      <c r="CW26" s="362"/>
      <c r="CX26" s="362"/>
      <c r="CY26" s="362"/>
      <c r="CZ26" s="362"/>
      <c r="DA26" s="362"/>
      <c r="DB26" s="362"/>
      <c r="DC26" s="362"/>
      <c r="DD26" s="362"/>
      <c r="DE26" s="362"/>
      <c r="DF26" s="362"/>
      <c r="DG26" s="362"/>
      <c r="DH26" s="362"/>
      <c r="DI26" s="362"/>
      <c r="DJ26" s="362"/>
      <c r="DK26" s="362"/>
      <c r="DL26" s="362"/>
      <c r="DM26" s="362"/>
      <c r="DN26" s="362"/>
      <c r="DO26" s="362"/>
      <c r="DP26" s="362"/>
      <c r="DQ26" s="362"/>
      <c r="DR26" s="362"/>
      <c r="DS26" s="362"/>
      <c r="DT26" s="362"/>
      <c r="DU26" s="362"/>
      <c r="DV26" s="362"/>
      <c r="DW26" s="362"/>
      <c r="DX26" s="362"/>
      <c r="DY26" s="362"/>
      <c r="DZ26" s="362"/>
      <c r="EA26" s="362"/>
      <c r="EB26" s="362"/>
      <c r="EC26" s="362"/>
      <c r="ED26" s="362"/>
      <c r="EE26" s="362"/>
      <c r="EF26" s="362"/>
      <c r="EG26" s="362"/>
      <c r="EH26" s="362"/>
      <c r="EI26" s="362"/>
      <c r="EJ26" s="362"/>
      <c r="EK26" s="362"/>
      <c r="EL26" s="362"/>
      <c r="EM26" s="362"/>
      <c r="EN26" s="362"/>
      <c r="EO26" s="362"/>
      <c r="EP26" s="362"/>
      <c r="EQ26" s="362"/>
      <c r="ER26" s="362"/>
      <c r="ES26" s="362"/>
      <c r="ET26" s="362"/>
      <c r="EU26" s="362"/>
      <c r="EV26" s="362"/>
      <c r="EW26" s="362"/>
      <c r="EX26" s="362"/>
      <c r="EY26" s="362"/>
      <c r="EZ26" s="362"/>
      <c r="FA26" s="362"/>
      <c r="FB26" s="362"/>
      <c r="FC26" s="362"/>
      <c r="FD26" s="362"/>
      <c r="FE26" s="362"/>
      <c r="FF26" s="362"/>
      <c r="FG26" s="362"/>
      <c r="FH26" s="362"/>
      <c r="FI26" s="362"/>
      <c r="FJ26" s="362"/>
      <c r="FK26" s="362"/>
      <c r="FL26" s="362"/>
      <c r="FM26" s="362"/>
      <c r="FN26" s="362"/>
      <c r="FO26" s="362"/>
      <c r="FP26" s="362"/>
      <c r="FQ26" s="362"/>
      <c r="FR26" s="362"/>
      <c r="FS26" s="362"/>
      <c r="FT26" s="362"/>
      <c r="FU26" s="362"/>
      <c r="FV26" s="362"/>
      <c r="FW26" s="362"/>
      <c r="FX26" s="362"/>
      <c r="FY26" s="362"/>
      <c r="FZ26" s="362"/>
      <c r="GA26" s="362"/>
      <c r="GB26" s="362"/>
      <c r="GC26" s="362"/>
      <c r="GD26" s="362"/>
      <c r="GE26" s="362"/>
      <c r="GF26" s="362"/>
      <c r="GG26" s="362"/>
      <c r="GH26" s="362"/>
      <c r="GI26" s="362"/>
      <c r="GJ26" s="362"/>
      <c r="GK26" s="362"/>
      <c r="GL26" s="362"/>
      <c r="GM26" s="362"/>
      <c r="GN26" s="362"/>
      <c r="GO26" s="362"/>
      <c r="GP26" s="362"/>
      <c r="GQ26" s="362"/>
      <c r="GR26" s="362"/>
      <c r="GS26" s="362"/>
      <c r="GT26" s="362"/>
      <c r="GU26" s="362"/>
      <c r="GV26" s="362"/>
      <c r="GW26" s="362"/>
      <c r="GX26" s="362"/>
      <c r="GY26" s="362"/>
      <c r="GZ26" s="362"/>
      <c r="HA26" s="362"/>
      <c r="HB26" s="362"/>
      <c r="HC26" s="362"/>
      <c r="HD26" s="362"/>
      <c r="HE26" s="362"/>
      <c r="HF26" s="362"/>
      <c r="HG26" s="362"/>
      <c r="HH26" s="362"/>
      <c r="HI26" s="362"/>
      <c r="HJ26" s="362"/>
      <c r="HK26" s="362"/>
      <c r="HL26" s="362"/>
      <c r="HM26" s="362"/>
      <c r="HN26" s="362"/>
      <c r="HO26" s="362"/>
      <c r="HP26" s="362"/>
      <c r="HQ26" s="362"/>
      <c r="HR26" s="362"/>
      <c r="HS26" s="362"/>
      <c r="HT26" s="362"/>
      <c r="HU26" s="362"/>
      <c r="HV26" s="362"/>
      <c r="HW26" s="362"/>
      <c r="HX26" s="362"/>
      <c r="HY26" s="362"/>
      <c r="HZ26" s="362"/>
      <c r="IA26" s="362"/>
      <c r="IB26" s="362"/>
      <c r="IC26" s="362"/>
      <c r="ID26" s="362"/>
      <c r="IE26" s="362"/>
      <c r="IF26" s="362"/>
      <c r="IG26" s="362"/>
      <c r="IH26" s="362"/>
      <c r="II26" s="362"/>
      <c r="IJ26" s="362"/>
      <c r="IK26" s="362"/>
      <c r="IL26" s="362"/>
      <c r="IM26" s="362"/>
      <c r="IN26" s="362"/>
      <c r="IO26" s="362"/>
      <c r="IP26" s="362"/>
      <c r="IQ26" s="362"/>
      <c r="IR26" s="362"/>
      <c r="IS26" s="362"/>
      <c r="IT26" s="362"/>
      <c r="IU26" s="362"/>
    </row>
    <row r="27" spans="1:255" x14ac:dyDescent="0.15">
      <c r="A27" s="295"/>
      <c r="B27" s="149" t="s">
        <v>338</v>
      </c>
      <c r="C27" s="738">
        <f>CRÍTICA_IGP1!C27</f>
        <v>0</v>
      </c>
      <c r="D27" s="170" t="s">
        <v>336</v>
      </c>
      <c r="E27" s="738">
        <f>CRÍTICA_IGP1!E27</f>
        <v>0</v>
      </c>
      <c r="F27" s="675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0">
        <f>CRÍTICA_IGP1!N27</f>
        <v>0</v>
      </c>
      <c r="O27" s="2"/>
      <c r="P27" s="1093" t="s">
        <v>351</v>
      </c>
      <c r="Q27" s="1094">
        <v>0.01</v>
      </c>
      <c r="R27" s="1094">
        <v>0.02</v>
      </c>
      <c r="S27" s="1094">
        <v>0.03</v>
      </c>
      <c r="T27" s="1094">
        <v>0.04</v>
      </c>
      <c r="U27" s="1094">
        <v>0.05</v>
      </c>
      <c r="V27" s="1094">
        <v>0.06</v>
      </c>
      <c r="W27" s="1094">
        <v>7.0000000000000007E-2</v>
      </c>
      <c r="X27" s="1094">
        <v>0.08</v>
      </c>
      <c r="Y27" s="1094">
        <v>0.09</v>
      </c>
      <c r="Z27" s="1094">
        <v>0.1</v>
      </c>
      <c r="AA27" s="1094">
        <v>0.11</v>
      </c>
      <c r="AB27" s="1094">
        <v>0.12</v>
      </c>
      <c r="AC27" s="1094">
        <v>0.13</v>
      </c>
      <c r="AD27" s="1094">
        <v>0.14000000000000001</v>
      </c>
      <c r="AE27" s="1094">
        <v>0.15</v>
      </c>
      <c r="AF27" s="1094">
        <v>0.16</v>
      </c>
      <c r="AG27" s="1094">
        <v>0.17</v>
      </c>
      <c r="AH27" s="1094">
        <v>0.18</v>
      </c>
      <c r="AI27" s="1094">
        <v>0.19</v>
      </c>
      <c r="AJ27" s="1094">
        <v>0.2</v>
      </c>
      <c r="AK27" s="1094">
        <v>0.21</v>
      </c>
      <c r="AL27" s="1094">
        <v>0.22</v>
      </c>
      <c r="AM27" s="1094">
        <v>0.23</v>
      </c>
      <c r="AN27" s="1094">
        <v>0.24</v>
      </c>
      <c r="AO27" s="1094">
        <v>0.25</v>
      </c>
      <c r="AP27" s="1094">
        <v>0.26</v>
      </c>
      <c r="AQ27" s="1094">
        <v>0.27</v>
      </c>
      <c r="AR27" s="1094">
        <v>0.28000000000000003</v>
      </c>
      <c r="AS27" s="1094">
        <v>0.28999999999999998</v>
      </c>
      <c r="AT27" s="1094">
        <v>0.3</v>
      </c>
      <c r="AU27" s="1094">
        <v>0.31</v>
      </c>
      <c r="AV27" s="1094">
        <v>0.32</v>
      </c>
      <c r="AW27" s="1094">
        <v>0.33</v>
      </c>
      <c r="AX27" s="1094">
        <v>0.34</v>
      </c>
      <c r="AY27" s="1095">
        <v>0.35</v>
      </c>
      <c r="AZ27" s="2"/>
      <c r="BA27" s="1076"/>
      <c r="BB27" s="362"/>
      <c r="BC27" s="362"/>
      <c r="BD27" s="362"/>
      <c r="BE27" s="362"/>
      <c r="BF27" s="362"/>
      <c r="BG27" s="362"/>
      <c r="BH27" s="362"/>
      <c r="BI27" s="362"/>
      <c r="BJ27" s="362"/>
      <c r="BK27" s="362"/>
      <c r="BL27" s="362"/>
      <c r="BM27" s="362"/>
      <c r="BN27" s="362"/>
      <c r="BO27" s="362"/>
      <c r="BP27" s="362"/>
      <c r="BQ27" s="362"/>
      <c r="BR27" s="362"/>
      <c r="BS27" s="362"/>
      <c r="BT27" s="362"/>
      <c r="BU27" s="362"/>
      <c r="BV27" s="362"/>
      <c r="BW27" s="362"/>
      <c r="BX27" s="362"/>
      <c r="BY27" s="362"/>
      <c r="BZ27" s="362"/>
      <c r="CA27" s="362"/>
      <c r="CB27" s="362"/>
      <c r="CC27" s="362"/>
      <c r="CD27" s="362"/>
      <c r="CE27" s="362"/>
      <c r="CF27" s="362"/>
      <c r="CG27" s="362"/>
      <c r="CH27" s="362"/>
      <c r="CI27" s="362"/>
      <c r="CJ27" s="362"/>
      <c r="CK27" s="362"/>
      <c r="CL27" s="362"/>
      <c r="CM27" s="362"/>
      <c r="CN27" s="362"/>
      <c r="CO27" s="362"/>
      <c r="CP27" s="362"/>
      <c r="CQ27" s="362"/>
      <c r="CR27" s="362"/>
      <c r="CS27" s="362"/>
      <c r="CT27" s="362"/>
      <c r="CU27" s="362"/>
      <c r="CV27" s="362"/>
      <c r="CW27" s="362"/>
      <c r="CX27" s="362"/>
      <c r="CY27" s="362"/>
      <c r="CZ27" s="362"/>
      <c r="DA27" s="362"/>
      <c r="DB27" s="362"/>
      <c r="DC27" s="362"/>
      <c r="DD27" s="362"/>
      <c r="DE27" s="362"/>
      <c r="DF27" s="362"/>
      <c r="DG27" s="362"/>
      <c r="DH27" s="362"/>
      <c r="DI27" s="362"/>
      <c r="DJ27" s="362"/>
      <c r="DK27" s="362"/>
      <c r="DL27" s="362"/>
      <c r="DM27" s="362"/>
      <c r="DN27" s="362"/>
      <c r="DO27" s="362"/>
      <c r="DP27" s="362"/>
      <c r="DQ27" s="362"/>
      <c r="DR27" s="362"/>
      <c r="DS27" s="362"/>
      <c r="DT27" s="362"/>
      <c r="DU27" s="362"/>
      <c r="DV27" s="362"/>
      <c r="DW27" s="362"/>
      <c r="DX27" s="362"/>
      <c r="DY27" s="362"/>
      <c r="DZ27" s="362"/>
      <c r="EA27" s="362"/>
      <c r="EB27" s="362"/>
      <c r="EC27" s="362"/>
      <c r="ED27" s="362"/>
      <c r="EE27" s="362"/>
      <c r="EF27" s="362"/>
      <c r="EG27" s="362"/>
      <c r="EH27" s="362"/>
      <c r="EI27" s="362"/>
      <c r="EJ27" s="362"/>
      <c r="EK27" s="362"/>
      <c r="EL27" s="362"/>
      <c r="EM27" s="362"/>
      <c r="EN27" s="362"/>
      <c r="EO27" s="362"/>
      <c r="EP27" s="362"/>
      <c r="EQ27" s="362"/>
      <c r="ER27" s="362"/>
      <c r="ES27" s="362"/>
      <c r="ET27" s="362"/>
      <c r="EU27" s="362"/>
      <c r="EV27" s="362"/>
      <c r="EW27" s="362"/>
      <c r="EX27" s="362"/>
      <c r="EY27" s="362"/>
      <c r="EZ27" s="362"/>
      <c r="FA27" s="362"/>
      <c r="FB27" s="362"/>
      <c r="FC27" s="362"/>
      <c r="FD27" s="362"/>
      <c r="FE27" s="362"/>
      <c r="FF27" s="362"/>
      <c r="FG27" s="362"/>
      <c r="FH27" s="362"/>
      <c r="FI27" s="362"/>
      <c r="FJ27" s="362"/>
      <c r="FK27" s="362"/>
      <c r="FL27" s="362"/>
      <c r="FM27" s="362"/>
      <c r="FN27" s="362"/>
      <c r="FO27" s="362"/>
      <c r="FP27" s="362"/>
      <c r="FQ27" s="362"/>
      <c r="FR27" s="362"/>
      <c r="FS27" s="362"/>
      <c r="FT27" s="362"/>
      <c r="FU27" s="362"/>
      <c r="FV27" s="362"/>
      <c r="FW27" s="362"/>
      <c r="FX27" s="362"/>
      <c r="FY27" s="362"/>
      <c r="FZ27" s="362"/>
      <c r="GA27" s="362"/>
      <c r="GB27" s="362"/>
      <c r="GC27" s="362"/>
      <c r="GD27" s="362"/>
      <c r="GE27" s="362"/>
      <c r="GF27" s="362"/>
      <c r="GG27" s="362"/>
      <c r="GH27" s="362"/>
      <c r="GI27" s="362"/>
      <c r="GJ27" s="362"/>
      <c r="GK27" s="362"/>
      <c r="GL27" s="362"/>
      <c r="GM27" s="362"/>
      <c r="GN27" s="362"/>
      <c r="GO27" s="362"/>
      <c r="GP27" s="362"/>
      <c r="GQ27" s="362"/>
      <c r="GR27" s="362"/>
      <c r="GS27" s="362"/>
      <c r="GT27" s="362"/>
      <c r="GU27" s="362"/>
      <c r="GV27" s="362"/>
      <c r="GW27" s="362"/>
      <c r="GX27" s="362"/>
      <c r="GY27" s="362"/>
      <c r="GZ27" s="362"/>
      <c r="HA27" s="362"/>
      <c r="HB27" s="362"/>
      <c r="HC27" s="362"/>
      <c r="HD27" s="362"/>
      <c r="HE27" s="362"/>
      <c r="HF27" s="362"/>
      <c r="HG27" s="362"/>
      <c r="HH27" s="362"/>
      <c r="HI27" s="362"/>
      <c r="HJ27" s="362"/>
      <c r="HK27" s="362"/>
      <c r="HL27" s="362"/>
      <c r="HM27" s="362"/>
      <c r="HN27" s="362"/>
      <c r="HO27" s="362"/>
      <c r="HP27" s="362"/>
      <c r="HQ27" s="362"/>
      <c r="HR27" s="362"/>
      <c r="HS27" s="362"/>
      <c r="HT27" s="362"/>
      <c r="HU27" s="362"/>
      <c r="HV27" s="362"/>
      <c r="HW27" s="362"/>
      <c r="HX27" s="362"/>
      <c r="HY27" s="362"/>
      <c r="HZ27" s="362"/>
      <c r="IA27" s="362"/>
      <c r="IB27" s="362"/>
      <c r="IC27" s="362"/>
      <c r="ID27" s="362"/>
      <c r="IE27" s="362"/>
      <c r="IF27" s="362"/>
      <c r="IG27" s="362"/>
      <c r="IH27" s="362"/>
      <c r="II27" s="362"/>
      <c r="IJ27" s="362"/>
      <c r="IK27" s="362"/>
      <c r="IL27" s="362"/>
      <c r="IM27" s="362"/>
      <c r="IN27" s="362"/>
      <c r="IO27" s="362"/>
      <c r="IP27" s="362"/>
      <c r="IQ27" s="362"/>
      <c r="IR27" s="362"/>
      <c r="IS27" s="362"/>
      <c r="IT27" s="362"/>
      <c r="IU27" s="362"/>
    </row>
    <row r="28" spans="1:255" x14ac:dyDescent="0.15">
      <c r="A28" s="295"/>
      <c r="B28" s="149" t="s">
        <v>338</v>
      </c>
      <c r="C28" s="738">
        <f>CRÍTICA_IGP1!C28</f>
        <v>0</v>
      </c>
      <c r="D28" s="170" t="s">
        <v>336</v>
      </c>
      <c r="E28" s="738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0">
        <f>CRÍTICA_IGP1!N28</f>
        <v>0</v>
      </c>
      <c r="O28" s="2"/>
      <c r="P28" s="1080"/>
      <c r="Q28" s="1096"/>
      <c r="R28" s="1096"/>
      <c r="S28" s="1096"/>
      <c r="T28" s="1096"/>
      <c r="U28" s="1096"/>
      <c r="V28" s="1096"/>
      <c r="W28" s="1096"/>
      <c r="X28" s="1096"/>
      <c r="Y28" s="1096"/>
      <c r="Z28" s="1096"/>
      <c r="AA28" s="1096"/>
      <c r="AB28" s="1096"/>
      <c r="AC28" s="1096"/>
      <c r="AD28" s="1096"/>
      <c r="AE28" s="1096"/>
      <c r="AF28" s="1096"/>
      <c r="AG28" s="1096"/>
      <c r="AH28" s="1096"/>
      <c r="AI28" s="1096"/>
      <c r="AJ28" s="1096"/>
      <c r="AK28" s="1096"/>
      <c r="AL28" s="1096"/>
      <c r="AM28" s="1096"/>
      <c r="AN28" s="1096"/>
      <c r="AO28" s="1096"/>
      <c r="AP28" s="1096"/>
      <c r="AQ28" s="1096"/>
      <c r="AR28" s="1096"/>
      <c r="AS28" s="1096"/>
      <c r="AT28" s="1096"/>
      <c r="AU28" s="1096"/>
      <c r="AV28" s="1096"/>
      <c r="AW28" s="1096"/>
      <c r="AX28" s="1096"/>
      <c r="AY28" s="1096"/>
      <c r="AZ28" s="2"/>
      <c r="BA28" s="1076"/>
      <c r="BB28" s="362"/>
      <c r="BC28" s="362"/>
      <c r="BD28" s="362"/>
      <c r="BE28" s="362"/>
      <c r="BF28" s="362"/>
      <c r="BG28" s="362"/>
      <c r="BH28" s="362"/>
      <c r="BI28" s="362"/>
      <c r="BJ28" s="362"/>
      <c r="BK28" s="362"/>
      <c r="BL28" s="362"/>
      <c r="BM28" s="362"/>
      <c r="BN28" s="362"/>
      <c r="BO28" s="362"/>
      <c r="BP28" s="362"/>
      <c r="BQ28" s="362"/>
      <c r="BR28" s="362"/>
      <c r="BS28" s="362"/>
      <c r="BT28" s="362"/>
      <c r="BU28" s="362"/>
      <c r="BV28" s="362"/>
      <c r="BW28" s="362"/>
      <c r="BX28" s="362"/>
      <c r="BY28" s="362"/>
      <c r="BZ28" s="362"/>
      <c r="CA28" s="362"/>
      <c r="CB28" s="362"/>
      <c r="CC28" s="362"/>
      <c r="CD28" s="362"/>
      <c r="CE28" s="362"/>
      <c r="CF28" s="362"/>
      <c r="CG28" s="362"/>
      <c r="CH28" s="362"/>
      <c r="CI28" s="362"/>
      <c r="CJ28" s="362"/>
      <c r="CK28" s="362"/>
      <c r="CL28" s="362"/>
      <c r="CM28" s="362"/>
      <c r="CN28" s="362"/>
      <c r="CO28" s="362"/>
      <c r="CP28" s="362"/>
      <c r="CQ28" s="362"/>
      <c r="CR28" s="362"/>
      <c r="CS28" s="362"/>
      <c r="CT28" s="362"/>
      <c r="CU28" s="362"/>
      <c r="CV28" s="362"/>
      <c r="CW28" s="362"/>
      <c r="CX28" s="362"/>
      <c r="CY28" s="362"/>
      <c r="CZ28" s="362"/>
      <c r="DA28" s="362"/>
      <c r="DB28" s="362"/>
      <c r="DC28" s="362"/>
      <c r="DD28" s="362"/>
      <c r="DE28" s="362"/>
      <c r="DF28" s="362"/>
      <c r="DG28" s="362"/>
      <c r="DH28" s="362"/>
      <c r="DI28" s="362"/>
      <c r="DJ28" s="362"/>
      <c r="DK28" s="362"/>
      <c r="DL28" s="362"/>
      <c r="DM28" s="362"/>
      <c r="DN28" s="362"/>
      <c r="DO28" s="362"/>
      <c r="DP28" s="362"/>
      <c r="DQ28" s="362"/>
      <c r="DR28" s="362"/>
      <c r="DS28" s="362"/>
      <c r="DT28" s="362"/>
      <c r="DU28" s="362"/>
      <c r="DV28" s="362"/>
      <c r="DW28" s="362"/>
      <c r="DX28" s="362"/>
      <c r="DY28" s="362"/>
      <c r="DZ28" s="362"/>
      <c r="EA28" s="362"/>
      <c r="EB28" s="362"/>
      <c r="EC28" s="362"/>
      <c r="ED28" s="362"/>
      <c r="EE28" s="362"/>
      <c r="EF28" s="362"/>
      <c r="EG28" s="362"/>
      <c r="EH28" s="362"/>
      <c r="EI28" s="362"/>
      <c r="EJ28" s="362"/>
      <c r="EK28" s="362"/>
      <c r="EL28" s="362"/>
      <c r="EM28" s="362"/>
      <c r="EN28" s="362"/>
      <c r="EO28" s="362"/>
      <c r="EP28" s="362"/>
      <c r="EQ28" s="362"/>
      <c r="ER28" s="362"/>
      <c r="ES28" s="362"/>
      <c r="ET28" s="362"/>
      <c r="EU28" s="362"/>
      <c r="EV28" s="362"/>
      <c r="EW28" s="362"/>
      <c r="EX28" s="362"/>
      <c r="EY28" s="362"/>
      <c r="EZ28" s="362"/>
      <c r="FA28" s="362"/>
      <c r="FB28" s="362"/>
      <c r="FC28" s="362"/>
      <c r="FD28" s="362"/>
      <c r="FE28" s="362"/>
      <c r="FF28" s="362"/>
      <c r="FG28" s="362"/>
      <c r="FH28" s="362"/>
      <c r="FI28" s="362"/>
      <c r="FJ28" s="362"/>
      <c r="FK28" s="362"/>
      <c r="FL28" s="362"/>
      <c r="FM28" s="362"/>
      <c r="FN28" s="362"/>
      <c r="FO28" s="362"/>
      <c r="FP28" s="362"/>
      <c r="FQ28" s="362"/>
      <c r="FR28" s="362"/>
      <c r="FS28" s="362"/>
      <c r="FT28" s="362"/>
      <c r="FU28" s="362"/>
      <c r="FV28" s="362"/>
      <c r="FW28" s="362"/>
      <c r="FX28" s="362"/>
      <c r="FY28" s="362"/>
      <c r="FZ28" s="362"/>
      <c r="GA28" s="362"/>
      <c r="GB28" s="362"/>
      <c r="GC28" s="362"/>
      <c r="GD28" s="362"/>
      <c r="GE28" s="362"/>
      <c r="GF28" s="362"/>
      <c r="GG28" s="362"/>
      <c r="GH28" s="362"/>
      <c r="GI28" s="362"/>
      <c r="GJ28" s="362"/>
      <c r="GK28" s="362"/>
      <c r="GL28" s="362"/>
      <c r="GM28" s="362"/>
      <c r="GN28" s="362"/>
      <c r="GO28" s="362"/>
      <c r="GP28" s="362"/>
      <c r="GQ28" s="362"/>
      <c r="GR28" s="362"/>
      <c r="GS28" s="362"/>
      <c r="GT28" s="362"/>
      <c r="GU28" s="362"/>
      <c r="GV28" s="362"/>
      <c r="GW28" s="362"/>
      <c r="GX28" s="362"/>
      <c r="GY28" s="362"/>
      <c r="GZ28" s="362"/>
      <c r="HA28" s="362"/>
      <c r="HB28" s="362"/>
      <c r="HC28" s="362"/>
      <c r="HD28" s="362"/>
      <c r="HE28" s="362"/>
      <c r="HF28" s="362"/>
      <c r="HG28" s="362"/>
      <c r="HH28" s="362"/>
      <c r="HI28" s="362"/>
      <c r="HJ28" s="362"/>
      <c r="HK28" s="362"/>
      <c r="HL28" s="362"/>
      <c r="HM28" s="362"/>
      <c r="HN28" s="362"/>
      <c r="HO28" s="362"/>
      <c r="HP28" s="362"/>
      <c r="HQ28" s="362"/>
      <c r="HR28" s="362"/>
      <c r="HS28" s="362"/>
      <c r="HT28" s="362"/>
      <c r="HU28" s="362"/>
      <c r="HV28" s="362"/>
      <c r="HW28" s="362"/>
      <c r="HX28" s="362"/>
      <c r="HY28" s="362"/>
      <c r="HZ28" s="362"/>
      <c r="IA28" s="362"/>
      <c r="IB28" s="362"/>
      <c r="IC28" s="362"/>
      <c r="ID28" s="362"/>
      <c r="IE28" s="362"/>
      <c r="IF28" s="362"/>
      <c r="IG28" s="362"/>
      <c r="IH28" s="362"/>
      <c r="II28" s="362"/>
      <c r="IJ28" s="362"/>
      <c r="IK28" s="362"/>
      <c r="IL28" s="362"/>
      <c r="IM28" s="362"/>
      <c r="IN28" s="362"/>
      <c r="IO28" s="362"/>
      <c r="IP28" s="362"/>
      <c r="IQ28" s="362"/>
      <c r="IR28" s="362"/>
      <c r="IS28" s="362"/>
      <c r="IT28" s="362"/>
      <c r="IU28" s="362"/>
    </row>
    <row r="29" spans="1:255" x14ac:dyDescent="0.15">
      <c r="A29" s="295"/>
      <c r="B29" s="149" t="s">
        <v>691</v>
      </c>
      <c r="C29" s="738">
        <f>CRÍTICA_IGP1!C29</f>
        <v>0</v>
      </c>
      <c r="D29" s="170" t="s">
        <v>336</v>
      </c>
      <c r="E29" s="738">
        <f>CRÍTICA_IGP1!E29</f>
        <v>0</v>
      </c>
      <c r="F29" s="675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676"/>
      <c r="O29" s="2"/>
      <c r="P29" s="1083" t="s">
        <v>602</v>
      </c>
      <c r="Q29" s="1084">
        <v>1</v>
      </c>
      <c r="R29" s="1084">
        <v>2</v>
      </c>
      <c r="S29" s="1084">
        <v>3</v>
      </c>
      <c r="T29" s="1084">
        <v>4</v>
      </c>
      <c r="U29" s="1084">
        <v>5</v>
      </c>
      <c r="V29" s="1084">
        <v>6</v>
      </c>
      <c r="W29" s="1084">
        <v>7</v>
      </c>
      <c r="X29" s="1084">
        <v>8</v>
      </c>
      <c r="Y29" s="1084">
        <v>9</v>
      </c>
      <c r="Z29" s="1084">
        <v>10</v>
      </c>
      <c r="AA29" s="1084">
        <v>11</v>
      </c>
      <c r="AB29" s="1084">
        <v>12</v>
      </c>
      <c r="AC29" s="1084">
        <v>13</v>
      </c>
      <c r="AD29" s="1084">
        <v>14</v>
      </c>
      <c r="AE29" s="1084">
        <v>15</v>
      </c>
      <c r="AF29" s="1084">
        <v>16</v>
      </c>
      <c r="AG29" s="1084">
        <v>17</v>
      </c>
      <c r="AH29" s="1084">
        <v>18</v>
      </c>
      <c r="AI29" s="1084">
        <v>19</v>
      </c>
      <c r="AJ29" s="1084">
        <v>20</v>
      </c>
      <c r="AK29" s="1084">
        <v>21</v>
      </c>
      <c r="AL29" s="1084">
        <v>22</v>
      </c>
      <c r="AM29" s="1084">
        <v>23</v>
      </c>
      <c r="AN29" s="1084">
        <v>24</v>
      </c>
      <c r="AO29" s="1084">
        <v>25</v>
      </c>
      <c r="AP29" s="1084">
        <v>26</v>
      </c>
      <c r="AQ29" s="1084">
        <v>27</v>
      </c>
      <c r="AR29" s="1084">
        <v>28</v>
      </c>
      <c r="AS29" s="1084">
        <v>29</v>
      </c>
      <c r="AT29" s="1097">
        <v>30</v>
      </c>
      <c r="AU29" s="2"/>
      <c r="AV29" s="2"/>
      <c r="AW29" s="2"/>
      <c r="AX29" s="2"/>
      <c r="AY29" s="2"/>
      <c r="AZ29" s="2"/>
      <c r="BA29" s="1076"/>
      <c r="BB29" s="362"/>
      <c r="BC29" s="362"/>
      <c r="BD29" s="362"/>
      <c r="BE29" s="362"/>
      <c r="BF29" s="362"/>
      <c r="BG29" s="362"/>
      <c r="BH29" s="362"/>
      <c r="BI29" s="362"/>
      <c r="BJ29" s="362"/>
      <c r="BK29" s="362"/>
      <c r="BL29" s="362"/>
      <c r="BM29" s="362"/>
      <c r="BN29" s="362"/>
      <c r="BO29" s="362"/>
      <c r="BP29" s="362"/>
      <c r="BQ29" s="362"/>
      <c r="BR29" s="362"/>
      <c r="BS29" s="362"/>
      <c r="BT29" s="362"/>
      <c r="BU29" s="362"/>
      <c r="BV29" s="362"/>
      <c r="BW29" s="362"/>
      <c r="BX29" s="362"/>
      <c r="BY29" s="362"/>
      <c r="BZ29" s="362"/>
      <c r="CA29" s="362"/>
      <c r="CB29" s="362"/>
      <c r="CC29" s="362"/>
      <c r="CD29" s="362"/>
      <c r="CE29" s="362"/>
      <c r="CF29" s="362"/>
      <c r="CG29" s="362"/>
      <c r="CH29" s="362"/>
      <c r="CI29" s="362"/>
      <c r="CJ29" s="362"/>
      <c r="CK29" s="362"/>
      <c r="CL29" s="362"/>
      <c r="CM29" s="362"/>
      <c r="CN29" s="362"/>
      <c r="CO29" s="362"/>
      <c r="CP29" s="362"/>
      <c r="CQ29" s="362"/>
      <c r="CR29" s="362"/>
      <c r="CS29" s="362"/>
      <c r="CT29" s="362"/>
      <c r="CU29" s="362"/>
      <c r="CV29" s="362"/>
      <c r="CW29" s="362"/>
      <c r="CX29" s="362"/>
      <c r="CY29" s="362"/>
      <c r="CZ29" s="362"/>
      <c r="DA29" s="362"/>
      <c r="DB29" s="362"/>
      <c r="DC29" s="362"/>
      <c r="DD29" s="362"/>
      <c r="DE29" s="362"/>
      <c r="DF29" s="362"/>
      <c r="DG29" s="362"/>
      <c r="DH29" s="362"/>
      <c r="DI29" s="362"/>
      <c r="DJ29" s="362"/>
      <c r="DK29" s="362"/>
      <c r="DL29" s="362"/>
      <c r="DM29" s="362"/>
      <c r="DN29" s="362"/>
      <c r="DO29" s="362"/>
      <c r="DP29" s="362"/>
      <c r="DQ29" s="362"/>
      <c r="DR29" s="362"/>
      <c r="DS29" s="362"/>
      <c r="DT29" s="362"/>
      <c r="DU29" s="362"/>
      <c r="DV29" s="362"/>
      <c r="DW29" s="362"/>
      <c r="DX29" s="362"/>
      <c r="DY29" s="362"/>
      <c r="DZ29" s="362"/>
      <c r="EA29" s="362"/>
      <c r="EB29" s="362"/>
      <c r="EC29" s="362"/>
      <c r="ED29" s="362"/>
      <c r="EE29" s="362"/>
      <c r="EF29" s="362"/>
      <c r="EG29" s="362"/>
      <c r="EH29" s="362"/>
      <c r="EI29" s="362"/>
      <c r="EJ29" s="362"/>
      <c r="EK29" s="362"/>
      <c r="EL29" s="362"/>
      <c r="EM29" s="362"/>
      <c r="EN29" s="362"/>
      <c r="EO29" s="362"/>
      <c r="EP29" s="362"/>
      <c r="EQ29" s="362"/>
      <c r="ER29" s="362"/>
      <c r="ES29" s="362"/>
      <c r="ET29" s="362"/>
      <c r="EU29" s="362"/>
      <c r="EV29" s="362"/>
      <c r="EW29" s="362"/>
      <c r="EX29" s="362"/>
      <c r="EY29" s="362"/>
      <c r="EZ29" s="362"/>
      <c r="FA29" s="362"/>
      <c r="FB29" s="362"/>
      <c r="FC29" s="362"/>
      <c r="FD29" s="362"/>
      <c r="FE29" s="362"/>
      <c r="FF29" s="362"/>
      <c r="FG29" s="362"/>
      <c r="FH29" s="362"/>
      <c r="FI29" s="362"/>
      <c r="FJ29" s="362"/>
      <c r="FK29" s="362"/>
      <c r="FL29" s="362"/>
      <c r="FM29" s="362"/>
      <c r="FN29" s="362"/>
      <c r="FO29" s="362"/>
      <c r="FP29" s="362"/>
      <c r="FQ29" s="362"/>
      <c r="FR29" s="362"/>
      <c r="FS29" s="362"/>
      <c r="FT29" s="362"/>
      <c r="FU29" s="362"/>
      <c r="FV29" s="362"/>
      <c r="FW29" s="362"/>
      <c r="FX29" s="362"/>
      <c r="FY29" s="362"/>
      <c r="FZ29" s="362"/>
      <c r="GA29" s="362"/>
      <c r="GB29" s="362"/>
      <c r="GC29" s="362"/>
      <c r="GD29" s="362"/>
      <c r="GE29" s="362"/>
      <c r="GF29" s="362"/>
      <c r="GG29" s="362"/>
      <c r="GH29" s="362"/>
      <c r="GI29" s="362"/>
      <c r="GJ29" s="362"/>
      <c r="GK29" s="362"/>
      <c r="GL29" s="362"/>
      <c r="GM29" s="362"/>
      <c r="GN29" s="362"/>
      <c r="GO29" s="362"/>
      <c r="GP29" s="362"/>
      <c r="GQ29" s="362"/>
      <c r="GR29" s="362"/>
      <c r="GS29" s="362"/>
      <c r="GT29" s="362"/>
      <c r="GU29" s="362"/>
      <c r="GV29" s="362"/>
      <c r="GW29" s="362"/>
      <c r="GX29" s="362"/>
      <c r="GY29" s="362"/>
      <c r="GZ29" s="362"/>
      <c r="HA29" s="362"/>
      <c r="HB29" s="362"/>
      <c r="HC29" s="362"/>
      <c r="HD29" s="362"/>
      <c r="HE29" s="362"/>
      <c r="HF29" s="362"/>
      <c r="HG29" s="362"/>
      <c r="HH29" s="362"/>
      <c r="HI29" s="362"/>
      <c r="HJ29" s="362"/>
      <c r="HK29" s="362"/>
      <c r="HL29" s="362"/>
      <c r="HM29" s="362"/>
      <c r="HN29" s="362"/>
      <c r="HO29" s="362"/>
      <c r="HP29" s="362"/>
      <c r="HQ29" s="362"/>
      <c r="HR29" s="362"/>
      <c r="HS29" s="362"/>
      <c r="HT29" s="362"/>
      <c r="HU29" s="362"/>
      <c r="HV29" s="362"/>
      <c r="HW29" s="362"/>
      <c r="HX29" s="362"/>
      <c r="HY29" s="362"/>
      <c r="HZ29" s="362"/>
      <c r="IA29" s="362"/>
      <c r="IB29" s="362"/>
      <c r="IC29" s="362"/>
      <c r="ID29" s="362"/>
      <c r="IE29" s="362"/>
      <c r="IF29" s="362"/>
      <c r="IG29" s="362"/>
      <c r="IH29" s="362"/>
      <c r="II29" s="362"/>
      <c r="IJ29" s="362"/>
      <c r="IK29" s="362"/>
      <c r="IL29" s="362"/>
      <c r="IM29" s="362"/>
      <c r="IN29" s="362"/>
      <c r="IO29" s="362"/>
      <c r="IP29" s="362"/>
      <c r="IQ29" s="362"/>
      <c r="IR29" s="362"/>
      <c r="IS29" s="362"/>
      <c r="IT29" s="362"/>
      <c r="IU29" s="362"/>
    </row>
    <row r="30" spans="1:255" x14ac:dyDescent="0.15">
      <c r="A30" s="295"/>
      <c r="B30" s="149" t="s">
        <v>606</v>
      </c>
      <c r="C30" s="738">
        <f>CRÍTICA_IGP1!C30</f>
        <v>0</v>
      </c>
      <c r="D30" s="170" t="s">
        <v>336</v>
      </c>
      <c r="E30" s="738">
        <f>CRÍTICA_IGP1!E30</f>
        <v>0</v>
      </c>
      <c r="F30" s="675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298"/>
      <c r="O30" s="2"/>
      <c r="P30" s="1093" t="s">
        <v>351</v>
      </c>
      <c r="Q30" s="1098">
        <v>1.4999999999999999E-2</v>
      </c>
      <c r="R30" s="1094">
        <v>0.03</v>
      </c>
      <c r="S30" s="1098">
        <v>4.4999999999999998E-2</v>
      </c>
      <c r="T30" s="1094">
        <v>0.06</v>
      </c>
      <c r="U30" s="1098">
        <v>7.4999999999999997E-2</v>
      </c>
      <c r="V30" s="1094">
        <v>0.09</v>
      </c>
      <c r="W30" s="1098">
        <v>0.105</v>
      </c>
      <c r="X30" s="1094">
        <v>0.12</v>
      </c>
      <c r="Y30" s="1098">
        <v>0.13500000000000001</v>
      </c>
      <c r="Z30" s="1094">
        <v>0.15</v>
      </c>
      <c r="AA30" s="1098">
        <v>0.16500000000000001</v>
      </c>
      <c r="AB30" s="1094">
        <v>0.18</v>
      </c>
      <c r="AC30" s="1098">
        <v>0.19500000000000001</v>
      </c>
      <c r="AD30" s="1094">
        <v>0.21</v>
      </c>
      <c r="AE30" s="1098">
        <v>0.22500000000000001</v>
      </c>
      <c r="AF30" s="1094">
        <v>0.24</v>
      </c>
      <c r="AG30" s="1098">
        <v>0.255</v>
      </c>
      <c r="AH30" s="1094">
        <v>0.27</v>
      </c>
      <c r="AI30" s="1098">
        <v>0.28499999999999998</v>
      </c>
      <c r="AJ30" s="1094">
        <v>0.3</v>
      </c>
      <c r="AK30" s="1098">
        <v>0.315</v>
      </c>
      <c r="AL30" s="1094">
        <v>0.33</v>
      </c>
      <c r="AM30" s="1098">
        <v>0.34499999999999997</v>
      </c>
      <c r="AN30" s="1094">
        <v>0.36</v>
      </c>
      <c r="AO30" s="1098">
        <v>0.375</v>
      </c>
      <c r="AP30" s="1094">
        <v>0.39</v>
      </c>
      <c r="AQ30" s="1098">
        <v>0.40500000000000003</v>
      </c>
      <c r="AR30" s="1094">
        <v>0.42</v>
      </c>
      <c r="AS30" s="1098">
        <v>0.435</v>
      </c>
      <c r="AT30" s="1095">
        <v>0.45</v>
      </c>
      <c r="AU30" s="362"/>
      <c r="AV30" s="362"/>
      <c r="AW30" s="362"/>
      <c r="AX30" s="2"/>
      <c r="AY30" s="2"/>
      <c r="AZ30" s="2"/>
      <c r="BA30" s="1076"/>
      <c r="BB30" s="362"/>
      <c r="BC30" s="362"/>
      <c r="BD30" s="362"/>
      <c r="BE30" s="362"/>
      <c r="BF30" s="362"/>
      <c r="BG30" s="362"/>
      <c r="BH30" s="362"/>
      <c r="BI30" s="362"/>
      <c r="BJ30" s="362"/>
      <c r="BK30" s="362"/>
      <c r="BL30" s="362"/>
      <c r="BM30" s="362"/>
      <c r="BN30" s="362"/>
      <c r="BO30" s="362"/>
      <c r="BP30" s="362"/>
      <c r="BQ30" s="362"/>
      <c r="BR30" s="362"/>
      <c r="BS30" s="362"/>
      <c r="BT30" s="362"/>
      <c r="BU30" s="362"/>
      <c r="BV30" s="362"/>
      <c r="BW30" s="362"/>
      <c r="BX30" s="362"/>
      <c r="BY30" s="362"/>
      <c r="BZ30" s="362"/>
      <c r="CA30" s="362"/>
      <c r="CB30" s="362"/>
      <c r="CC30" s="362"/>
      <c r="CD30" s="362"/>
      <c r="CE30" s="362"/>
      <c r="CF30" s="362"/>
      <c r="CG30" s="362"/>
      <c r="CH30" s="362"/>
      <c r="CI30" s="362"/>
      <c r="CJ30" s="362"/>
      <c r="CK30" s="362"/>
      <c r="CL30" s="362"/>
      <c r="CM30" s="362"/>
      <c r="CN30" s="362"/>
      <c r="CO30" s="362"/>
      <c r="CP30" s="362"/>
      <c r="CQ30" s="362"/>
      <c r="CR30" s="362"/>
      <c r="CS30" s="362"/>
      <c r="CT30" s="362"/>
      <c r="CU30" s="362"/>
      <c r="CV30" s="362"/>
      <c r="CW30" s="362"/>
      <c r="CX30" s="362"/>
      <c r="CY30" s="362"/>
      <c r="CZ30" s="362"/>
      <c r="DA30" s="362"/>
      <c r="DB30" s="362"/>
      <c r="DC30" s="362"/>
      <c r="DD30" s="362"/>
      <c r="DE30" s="362"/>
      <c r="DF30" s="362"/>
      <c r="DG30" s="362"/>
      <c r="DH30" s="362"/>
      <c r="DI30" s="362"/>
      <c r="DJ30" s="362"/>
      <c r="DK30" s="362"/>
      <c r="DL30" s="362"/>
      <c r="DM30" s="362"/>
      <c r="DN30" s="362"/>
      <c r="DO30" s="362"/>
      <c r="DP30" s="362"/>
      <c r="DQ30" s="362"/>
      <c r="DR30" s="362"/>
      <c r="DS30" s="362"/>
      <c r="DT30" s="362"/>
      <c r="DU30" s="362"/>
      <c r="DV30" s="362"/>
      <c r="DW30" s="362"/>
      <c r="DX30" s="362"/>
      <c r="DY30" s="362"/>
      <c r="DZ30" s="362"/>
      <c r="EA30" s="362"/>
      <c r="EB30" s="362"/>
      <c r="EC30" s="362"/>
      <c r="ED30" s="362"/>
      <c r="EE30" s="362"/>
      <c r="EF30" s="362"/>
      <c r="EG30" s="362"/>
      <c r="EH30" s="362"/>
      <c r="EI30" s="362"/>
      <c r="EJ30" s="362"/>
      <c r="EK30" s="362"/>
      <c r="EL30" s="362"/>
      <c r="EM30" s="362"/>
      <c r="EN30" s="362"/>
      <c r="EO30" s="362"/>
      <c r="EP30" s="362"/>
      <c r="EQ30" s="362"/>
      <c r="ER30" s="362"/>
      <c r="ES30" s="362"/>
      <c r="ET30" s="362"/>
      <c r="EU30" s="362"/>
      <c r="EV30" s="362"/>
      <c r="EW30" s="362"/>
      <c r="EX30" s="362"/>
      <c r="EY30" s="362"/>
      <c r="EZ30" s="362"/>
      <c r="FA30" s="362"/>
      <c r="FB30" s="362"/>
      <c r="FC30" s="362"/>
      <c r="FD30" s="362"/>
      <c r="FE30" s="362"/>
      <c r="FF30" s="362"/>
      <c r="FG30" s="362"/>
      <c r="FH30" s="362"/>
      <c r="FI30" s="362"/>
      <c r="FJ30" s="362"/>
      <c r="FK30" s="362"/>
      <c r="FL30" s="362"/>
      <c r="FM30" s="362"/>
      <c r="FN30" s="362"/>
      <c r="FO30" s="362"/>
      <c r="FP30" s="362"/>
      <c r="FQ30" s="362"/>
      <c r="FR30" s="362"/>
      <c r="FS30" s="362"/>
      <c r="FT30" s="362"/>
      <c r="FU30" s="362"/>
      <c r="FV30" s="362"/>
      <c r="FW30" s="362"/>
      <c r="FX30" s="362"/>
      <c r="FY30" s="362"/>
      <c r="FZ30" s="362"/>
      <c r="GA30" s="362"/>
      <c r="GB30" s="362"/>
      <c r="GC30" s="362"/>
      <c r="GD30" s="362"/>
      <c r="GE30" s="362"/>
      <c r="GF30" s="362"/>
      <c r="GG30" s="362"/>
      <c r="GH30" s="362"/>
      <c r="GI30" s="362"/>
      <c r="GJ30" s="362"/>
      <c r="GK30" s="362"/>
      <c r="GL30" s="362"/>
      <c r="GM30" s="362"/>
      <c r="GN30" s="362"/>
      <c r="GO30" s="362"/>
      <c r="GP30" s="362"/>
      <c r="GQ30" s="362"/>
      <c r="GR30" s="362"/>
      <c r="GS30" s="362"/>
      <c r="GT30" s="362"/>
      <c r="GU30" s="362"/>
      <c r="GV30" s="362"/>
      <c r="GW30" s="362"/>
      <c r="GX30" s="362"/>
      <c r="GY30" s="362"/>
      <c r="GZ30" s="362"/>
      <c r="HA30" s="362"/>
      <c r="HB30" s="362"/>
      <c r="HC30" s="362"/>
      <c r="HD30" s="362"/>
      <c r="HE30" s="362"/>
      <c r="HF30" s="362"/>
      <c r="HG30" s="362"/>
      <c r="HH30" s="362"/>
      <c r="HI30" s="362"/>
      <c r="HJ30" s="362"/>
      <c r="HK30" s="362"/>
      <c r="HL30" s="362"/>
      <c r="HM30" s="362"/>
      <c r="HN30" s="362"/>
      <c r="HO30" s="362"/>
      <c r="HP30" s="362"/>
      <c r="HQ30" s="362"/>
      <c r="HR30" s="362"/>
      <c r="HS30" s="362"/>
      <c r="HT30" s="362"/>
      <c r="HU30" s="362"/>
      <c r="HV30" s="362"/>
      <c r="HW30" s="362"/>
      <c r="HX30" s="362"/>
      <c r="HY30" s="362"/>
      <c r="HZ30" s="362"/>
      <c r="IA30" s="362"/>
      <c r="IB30" s="362"/>
      <c r="IC30" s="362"/>
      <c r="ID30" s="362"/>
      <c r="IE30" s="362"/>
      <c r="IF30" s="362"/>
      <c r="IG30" s="362"/>
      <c r="IH30" s="362"/>
      <c r="II30" s="362"/>
      <c r="IJ30" s="362"/>
      <c r="IK30" s="362"/>
      <c r="IL30" s="362"/>
      <c r="IM30" s="362"/>
      <c r="IN30" s="362"/>
      <c r="IO30" s="362"/>
      <c r="IP30" s="362"/>
      <c r="IQ30" s="362"/>
      <c r="IR30" s="362"/>
      <c r="IS30" s="362"/>
      <c r="IT30" s="362"/>
      <c r="IU30" s="362"/>
    </row>
    <row r="31" spans="1:255" x14ac:dyDescent="0.15">
      <c r="A31" s="362"/>
      <c r="B31" s="149" t="s">
        <v>606</v>
      </c>
      <c r="C31" s="738">
        <f>CRÍTICA_IGP1!C31</f>
        <v>0</v>
      </c>
      <c r="D31" s="170" t="s">
        <v>336</v>
      </c>
      <c r="E31" s="738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0">
        <f>CRÍTICA_IGP1!N31</f>
        <v>0</v>
      </c>
      <c r="O31" s="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  <c r="AI31" s="362"/>
      <c r="AJ31" s="362"/>
      <c r="AK31" s="362"/>
      <c r="AL31" s="362"/>
      <c r="AM31" s="362"/>
      <c r="AN31" s="362"/>
      <c r="AO31" s="362"/>
      <c r="AP31" s="362"/>
      <c r="AQ31" s="362"/>
      <c r="AR31" s="362"/>
      <c r="AS31" s="362"/>
      <c r="AT31" s="362"/>
      <c r="AU31" s="2"/>
      <c r="AV31" s="2"/>
      <c r="AW31" s="2"/>
      <c r="AX31" s="1075"/>
      <c r="AY31" s="2"/>
      <c r="AZ31" s="2"/>
      <c r="BA31" s="1076"/>
      <c r="BB31" s="362"/>
      <c r="BC31" s="362"/>
      <c r="BD31" s="362"/>
      <c r="BE31" s="362"/>
      <c r="BF31" s="362"/>
      <c r="BG31" s="362"/>
      <c r="BH31" s="362"/>
      <c r="BI31" s="362"/>
      <c r="BJ31" s="362"/>
      <c r="BK31" s="362"/>
      <c r="BL31" s="362"/>
      <c r="BM31" s="362"/>
      <c r="BN31" s="362"/>
      <c r="BO31" s="362"/>
      <c r="BP31" s="362"/>
      <c r="BQ31" s="362"/>
      <c r="BR31" s="362"/>
      <c r="BS31" s="362"/>
      <c r="BT31" s="362"/>
      <c r="BU31" s="362"/>
      <c r="BV31" s="362"/>
      <c r="BW31" s="362"/>
      <c r="BX31" s="362"/>
      <c r="BY31" s="362"/>
      <c r="BZ31" s="362"/>
      <c r="CA31" s="362"/>
      <c r="CB31" s="362"/>
      <c r="CC31" s="362"/>
      <c r="CD31" s="362"/>
      <c r="CE31" s="362"/>
      <c r="CF31" s="362"/>
      <c r="CG31" s="362"/>
      <c r="CH31" s="362"/>
      <c r="CI31" s="362"/>
      <c r="CJ31" s="362"/>
      <c r="CK31" s="362"/>
      <c r="CL31" s="362"/>
      <c r="CM31" s="362"/>
      <c r="CN31" s="362"/>
      <c r="CO31" s="362"/>
      <c r="CP31" s="362"/>
      <c r="CQ31" s="362"/>
      <c r="CR31" s="362"/>
      <c r="CS31" s="362"/>
      <c r="CT31" s="362"/>
      <c r="CU31" s="362"/>
      <c r="CV31" s="362"/>
      <c r="CW31" s="362"/>
      <c r="CX31" s="362"/>
      <c r="CY31" s="362"/>
      <c r="CZ31" s="362"/>
      <c r="DA31" s="362"/>
      <c r="DB31" s="362"/>
      <c r="DC31" s="362"/>
      <c r="DD31" s="362"/>
      <c r="DE31" s="362"/>
      <c r="DF31" s="362"/>
      <c r="DG31" s="362"/>
      <c r="DH31" s="362"/>
      <c r="DI31" s="362"/>
      <c r="DJ31" s="362"/>
      <c r="DK31" s="362"/>
      <c r="DL31" s="362"/>
      <c r="DM31" s="362"/>
      <c r="DN31" s="362"/>
      <c r="DO31" s="362"/>
      <c r="DP31" s="362"/>
      <c r="DQ31" s="362"/>
      <c r="DR31" s="362"/>
      <c r="DS31" s="362"/>
      <c r="DT31" s="362"/>
      <c r="DU31" s="362"/>
      <c r="DV31" s="362"/>
      <c r="DW31" s="362"/>
      <c r="DX31" s="362"/>
      <c r="DY31" s="362"/>
      <c r="DZ31" s="362"/>
      <c r="EA31" s="362"/>
      <c r="EB31" s="362"/>
      <c r="EC31" s="362"/>
      <c r="ED31" s="362"/>
      <c r="EE31" s="362"/>
      <c r="EF31" s="362"/>
      <c r="EG31" s="362"/>
      <c r="EH31" s="362"/>
      <c r="EI31" s="362"/>
      <c r="EJ31" s="362"/>
      <c r="EK31" s="362"/>
      <c r="EL31" s="362"/>
      <c r="EM31" s="362"/>
      <c r="EN31" s="362"/>
      <c r="EO31" s="362"/>
      <c r="EP31" s="362"/>
      <c r="EQ31" s="362"/>
      <c r="ER31" s="362"/>
      <c r="ES31" s="362"/>
      <c r="ET31" s="362"/>
      <c r="EU31" s="362"/>
      <c r="EV31" s="362"/>
      <c r="EW31" s="362"/>
      <c r="EX31" s="362"/>
      <c r="EY31" s="362"/>
      <c r="EZ31" s="362"/>
      <c r="FA31" s="362"/>
      <c r="FB31" s="362"/>
      <c r="FC31" s="362"/>
      <c r="FD31" s="362"/>
      <c r="FE31" s="362"/>
      <c r="FF31" s="362"/>
      <c r="FG31" s="362"/>
      <c r="FH31" s="362"/>
      <c r="FI31" s="362"/>
      <c r="FJ31" s="362"/>
      <c r="FK31" s="362"/>
      <c r="FL31" s="362"/>
      <c r="FM31" s="362"/>
      <c r="FN31" s="362"/>
      <c r="FO31" s="362"/>
      <c r="FP31" s="362"/>
      <c r="FQ31" s="362"/>
      <c r="FR31" s="362"/>
      <c r="FS31" s="362"/>
      <c r="FT31" s="362"/>
      <c r="FU31" s="362"/>
      <c r="FV31" s="362"/>
      <c r="FW31" s="362"/>
      <c r="FX31" s="362"/>
      <c r="FY31" s="362"/>
      <c r="FZ31" s="362"/>
      <c r="GA31" s="362"/>
      <c r="GB31" s="362"/>
      <c r="GC31" s="362"/>
      <c r="GD31" s="362"/>
      <c r="GE31" s="362"/>
      <c r="GF31" s="362"/>
      <c r="GG31" s="362"/>
      <c r="GH31" s="362"/>
      <c r="GI31" s="362"/>
      <c r="GJ31" s="362"/>
      <c r="GK31" s="362"/>
      <c r="GL31" s="362"/>
      <c r="GM31" s="362"/>
      <c r="GN31" s="362"/>
      <c r="GO31" s="362"/>
      <c r="GP31" s="362"/>
      <c r="GQ31" s="362"/>
      <c r="GR31" s="362"/>
      <c r="GS31" s="362"/>
      <c r="GT31" s="362"/>
      <c r="GU31" s="362"/>
      <c r="GV31" s="362"/>
      <c r="GW31" s="362"/>
      <c r="GX31" s="362"/>
      <c r="GY31" s="362"/>
      <c r="GZ31" s="362"/>
      <c r="HA31" s="362"/>
      <c r="HB31" s="362"/>
      <c r="HC31" s="362"/>
      <c r="HD31" s="362"/>
      <c r="HE31" s="362"/>
      <c r="HF31" s="362"/>
      <c r="HG31" s="362"/>
      <c r="HH31" s="362"/>
      <c r="HI31" s="362"/>
      <c r="HJ31" s="362"/>
      <c r="HK31" s="362"/>
      <c r="HL31" s="362"/>
      <c r="HM31" s="362"/>
      <c r="HN31" s="362"/>
      <c r="HO31" s="362"/>
      <c r="HP31" s="362"/>
      <c r="HQ31" s="362"/>
      <c r="HR31" s="362"/>
      <c r="HS31" s="362"/>
      <c r="HT31" s="362"/>
      <c r="HU31" s="362"/>
      <c r="HV31" s="362"/>
      <c r="HW31" s="362"/>
      <c r="HX31" s="362"/>
      <c r="HY31" s="362"/>
      <c r="HZ31" s="362"/>
      <c r="IA31" s="362"/>
      <c r="IB31" s="362"/>
      <c r="IC31" s="362"/>
      <c r="ID31" s="362"/>
      <c r="IE31" s="362"/>
      <c r="IF31" s="362"/>
      <c r="IG31" s="362"/>
      <c r="IH31" s="362"/>
      <c r="II31" s="362"/>
      <c r="IJ31" s="362"/>
      <c r="IK31" s="362"/>
      <c r="IL31" s="362"/>
      <c r="IM31" s="362"/>
      <c r="IN31" s="362"/>
      <c r="IO31" s="362"/>
      <c r="IP31" s="362"/>
      <c r="IQ31" s="362"/>
      <c r="IR31" s="362"/>
      <c r="IS31" s="362"/>
      <c r="IT31" s="362"/>
      <c r="IU31" s="362"/>
    </row>
    <row r="32" spans="1:255" x14ac:dyDescent="0.15">
      <c r="A32" s="362"/>
      <c r="B32" s="149" t="s">
        <v>606</v>
      </c>
      <c r="C32" s="738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243"/>
      <c r="O32" s="2"/>
      <c r="P32" s="1083" t="s">
        <v>603</v>
      </c>
      <c r="Q32" s="1084">
        <v>1</v>
      </c>
      <c r="R32" s="1084">
        <v>2</v>
      </c>
      <c r="S32" s="1084">
        <v>3</v>
      </c>
      <c r="T32" s="1084">
        <v>4</v>
      </c>
      <c r="U32" s="1084">
        <v>5</v>
      </c>
      <c r="V32" s="1084">
        <v>6</v>
      </c>
      <c r="W32" s="1084">
        <v>7</v>
      </c>
      <c r="X32" s="1084">
        <v>8</v>
      </c>
      <c r="Y32" s="1084">
        <v>9</v>
      </c>
      <c r="Z32" s="1084">
        <v>10</v>
      </c>
      <c r="AA32" s="1084">
        <v>11</v>
      </c>
      <c r="AB32" s="1084">
        <v>12</v>
      </c>
      <c r="AC32" s="1085">
        <v>13</v>
      </c>
      <c r="AD32" s="1086">
        <v>14</v>
      </c>
      <c r="AE32" s="1086">
        <v>15</v>
      </c>
      <c r="AF32" s="1099">
        <v>16</v>
      </c>
      <c r="AG32" s="362"/>
      <c r="AH32" s="362"/>
      <c r="AI32" s="362"/>
      <c r="AJ32" s="362"/>
      <c r="AK32" s="362"/>
      <c r="AL32" s="362"/>
      <c r="AM32" s="362"/>
      <c r="AN32" s="362"/>
      <c r="AO32" s="362"/>
      <c r="AP32" s="362"/>
      <c r="AQ32" s="362"/>
      <c r="AR32" s="362"/>
      <c r="AS32" s="362"/>
      <c r="AT32" s="362"/>
      <c r="AU32" s="1096"/>
      <c r="AV32" s="1096"/>
      <c r="AW32" s="1096"/>
      <c r="AX32" s="1096"/>
      <c r="AY32" s="2"/>
      <c r="AZ32" s="2"/>
      <c r="BA32" s="1076"/>
      <c r="BB32" s="362"/>
      <c r="BC32" s="362"/>
      <c r="BD32" s="362"/>
      <c r="BE32" s="362"/>
      <c r="BF32" s="362"/>
      <c r="BG32" s="362"/>
      <c r="BH32" s="362"/>
      <c r="BI32" s="362"/>
      <c r="BJ32" s="362"/>
      <c r="BK32" s="362"/>
      <c r="BL32" s="362"/>
      <c r="BM32" s="362"/>
      <c r="BN32" s="362"/>
      <c r="BO32" s="362"/>
      <c r="BP32" s="362"/>
      <c r="BQ32" s="362"/>
      <c r="BR32" s="362"/>
      <c r="BS32" s="362"/>
      <c r="BT32" s="362"/>
      <c r="BU32" s="362"/>
      <c r="BV32" s="362"/>
      <c r="BW32" s="362"/>
      <c r="BX32" s="362"/>
      <c r="BY32" s="362"/>
      <c r="BZ32" s="362"/>
      <c r="CA32" s="362"/>
      <c r="CB32" s="362"/>
      <c r="CC32" s="362"/>
      <c r="CD32" s="362"/>
      <c r="CE32" s="362"/>
      <c r="CF32" s="362"/>
      <c r="CG32" s="362"/>
      <c r="CH32" s="362"/>
      <c r="CI32" s="362"/>
      <c r="CJ32" s="362"/>
      <c r="CK32" s="362"/>
      <c r="CL32" s="362"/>
      <c r="CM32" s="362"/>
      <c r="CN32" s="362"/>
      <c r="CO32" s="362"/>
      <c r="CP32" s="362"/>
      <c r="CQ32" s="362"/>
      <c r="CR32" s="362"/>
      <c r="CS32" s="362"/>
      <c r="CT32" s="362"/>
      <c r="CU32" s="362"/>
      <c r="CV32" s="362"/>
      <c r="CW32" s="362"/>
      <c r="CX32" s="362"/>
      <c r="CY32" s="362"/>
      <c r="CZ32" s="362"/>
      <c r="DA32" s="362"/>
      <c r="DB32" s="362"/>
      <c r="DC32" s="362"/>
      <c r="DD32" s="362"/>
      <c r="DE32" s="362"/>
      <c r="DF32" s="362"/>
      <c r="DG32" s="362"/>
      <c r="DH32" s="362"/>
      <c r="DI32" s="362"/>
      <c r="DJ32" s="362"/>
      <c r="DK32" s="362"/>
      <c r="DL32" s="362"/>
      <c r="DM32" s="362"/>
      <c r="DN32" s="362"/>
      <c r="DO32" s="362"/>
      <c r="DP32" s="362"/>
      <c r="DQ32" s="362"/>
      <c r="DR32" s="362"/>
      <c r="DS32" s="362"/>
      <c r="DT32" s="362"/>
      <c r="DU32" s="362"/>
      <c r="DV32" s="362"/>
      <c r="DW32" s="362"/>
      <c r="DX32" s="362"/>
      <c r="DY32" s="362"/>
      <c r="DZ32" s="362"/>
      <c r="EA32" s="362"/>
      <c r="EB32" s="362"/>
      <c r="EC32" s="362"/>
      <c r="ED32" s="362"/>
      <c r="EE32" s="362"/>
      <c r="EF32" s="362"/>
      <c r="EG32" s="362"/>
      <c r="EH32" s="362"/>
      <c r="EI32" s="362"/>
      <c r="EJ32" s="362"/>
      <c r="EK32" s="362"/>
      <c r="EL32" s="362"/>
      <c r="EM32" s="362"/>
      <c r="EN32" s="362"/>
      <c r="EO32" s="362"/>
      <c r="EP32" s="362"/>
      <c r="EQ32" s="362"/>
      <c r="ER32" s="362"/>
      <c r="ES32" s="362"/>
      <c r="ET32" s="362"/>
      <c r="EU32" s="362"/>
      <c r="EV32" s="362"/>
      <c r="EW32" s="362"/>
      <c r="EX32" s="362"/>
      <c r="EY32" s="362"/>
      <c r="EZ32" s="362"/>
      <c r="FA32" s="362"/>
      <c r="FB32" s="362"/>
      <c r="FC32" s="362"/>
      <c r="FD32" s="362"/>
      <c r="FE32" s="362"/>
      <c r="FF32" s="362"/>
      <c r="FG32" s="362"/>
      <c r="FH32" s="362"/>
      <c r="FI32" s="362"/>
      <c r="FJ32" s="362"/>
      <c r="FK32" s="362"/>
      <c r="FL32" s="362"/>
      <c r="FM32" s="362"/>
      <c r="FN32" s="362"/>
      <c r="FO32" s="362"/>
      <c r="FP32" s="362"/>
      <c r="FQ32" s="362"/>
      <c r="FR32" s="362"/>
      <c r="FS32" s="362"/>
      <c r="FT32" s="362"/>
      <c r="FU32" s="362"/>
      <c r="FV32" s="362"/>
      <c r="FW32" s="362"/>
      <c r="FX32" s="362"/>
      <c r="FY32" s="362"/>
      <c r="FZ32" s="362"/>
      <c r="GA32" s="362"/>
      <c r="GB32" s="362"/>
      <c r="GC32" s="362"/>
      <c r="GD32" s="362"/>
      <c r="GE32" s="362"/>
      <c r="GF32" s="362"/>
      <c r="GG32" s="362"/>
      <c r="GH32" s="362"/>
      <c r="GI32" s="362"/>
      <c r="GJ32" s="362"/>
      <c r="GK32" s="362"/>
      <c r="GL32" s="362"/>
      <c r="GM32" s="362"/>
      <c r="GN32" s="362"/>
      <c r="GO32" s="362"/>
      <c r="GP32" s="362"/>
      <c r="GQ32" s="362"/>
      <c r="GR32" s="362"/>
      <c r="GS32" s="362"/>
      <c r="GT32" s="362"/>
      <c r="GU32" s="362"/>
      <c r="GV32" s="362"/>
      <c r="GW32" s="362"/>
      <c r="GX32" s="362"/>
      <c r="GY32" s="362"/>
      <c r="GZ32" s="362"/>
      <c r="HA32" s="362"/>
      <c r="HB32" s="362"/>
      <c r="HC32" s="362"/>
      <c r="HD32" s="362"/>
      <c r="HE32" s="362"/>
      <c r="HF32" s="362"/>
      <c r="HG32" s="362"/>
      <c r="HH32" s="362"/>
      <c r="HI32" s="362"/>
      <c r="HJ32" s="362"/>
      <c r="HK32" s="362"/>
      <c r="HL32" s="362"/>
      <c r="HM32" s="362"/>
      <c r="HN32" s="362"/>
      <c r="HO32" s="362"/>
      <c r="HP32" s="362"/>
      <c r="HQ32" s="362"/>
      <c r="HR32" s="362"/>
      <c r="HS32" s="362"/>
      <c r="HT32" s="362"/>
      <c r="HU32" s="362"/>
      <c r="HV32" s="362"/>
      <c r="HW32" s="362"/>
      <c r="HX32" s="362"/>
      <c r="HY32" s="362"/>
      <c r="HZ32" s="362"/>
      <c r="IA32" s="362"/>
      <c r="IB32" s="362"/>
      <c r="IC32" s="362"/>
      <c r="ID32" s="362"/>
      <c r="IE32" s="362"/>
      <c r="IF32" s="362"/>
      <c r="IG32" s="362"/>
      <c r="IH32" s="362"/>
      <c r="II32" s="362"/>
      <c r="IJ32" s="362"/>
      <c r="IK32" s="362"/>
      <c r="IL32" s="362"/>
      <c r="IM32" s="362"/>
      <c r="IN32" s="362"/>
      <c r="IO32" s="362"/>
      <c r="IP32" s="362"/>
      <c r="IQ32" s="362"/>
      <c r="IR32" s="362"/>
      <c r="IS32" s="362"/>
      <c r="IT32" s="362"/>
      <c r="IU32" s="362"/>
    </row>
    <row r="33" spans="1:255" x14ac:dyDescent="0.15">
      <c r="A33" s="295"/>
      <c r="B33" s="149" t="s">
        <v>340</v>
      </c>
      <c r="C33" s="1859" t="s">
        <v>453</v>
      </c>
      <c r="D33" s="1860"/>
      <c r="E33" s="742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32">
        <f>SUM(F27:F33)</f>
        <v>0</v>
      </c>
      <c r="O33" s="3">
        <f>SUM($F$27:$F$33)+$F$45</f>
        <v>0</v>
      </c>
      <c r="P33" s="1093" t="s">
        <v>351</v>
      </c>
      <c r="Q33" s="1094">
        <v>0.1</v>
      </c>
      <c r="R33" s="1094">
        <v>0.12</v>
      </c>
      <c r="S33" s="1094">
        <v>0.14000000000000001</v>
      </c>
      <c r="T33" s="1094">
        <v>0.16</v>
      </c>
      <c r="U33" s="1094">
        <v>0.18</v>
      </c>
      <c r="V33" s="1094">
        <v>0.2</v>
      </c>
      <c r="W33" s="1094">
        <v>0.22</v>
      </c>
      <c r="X33" s="1094">
        <v>0.24</v>
      </c>
      <c r="Y33" s="1094">
        <v>0.26</v>
      </c>
      <c r="Z33" s="1094">
        <v>0.28000000000000003</v>
      </c>
      <c r="AA33" s="1094">
        <v>0.3</v>
      </c>
      <c r="AB33" s="1094">
        <v>0.32</v>
      </c>
      <c r="AC33" s="1094">
        <v>0.34</v>
      </c>
      <c r="AD33" s="1094">
        <v>0.36</v>
      </c>
      <c r="AE33" s="1094">
        <v>0.38</v>
      </c>
      <c r="AF33" s="1095">
        <v>0.4</v>
      </c>
      <c r="AG33" s="1074"/>
      <c r="AH33" s="362"/>
      <c r="AI33" s="362"/>
      <c r="AJ33" s="362"/>
      <c r="AK33" s="362"/>
      <c r="AL33" s="362"/>
      <c r="AM33" s="362"/>
      <c r="AN33" s="362"/>
      <c r="AO33" s="362"/>
      <c r="AP33" s="362"/>
      <c r="AQ33" s="362"/>
      <c r="AR33" s="362"/>
      <c r="AS33" s="362"/>
      <c r="AT33" s="362"/>
      <c r="AU33" s="362"/>
      <c r="AV33" s="362"/>
      <c r="AW33" s="362"/>
      <c r="AX33" s="2"/>
      <c r="AY33" s="2"/>
      <c r="AZ33" s="2"/>
      <c r="BA33" s="1076"/>
      <c r="BB33" s="362"/>
      <c r="BC33" s="362"/>
      <c r="BD33" s="362"/>
      <c r="BE33" s="362"/>
      <c r="BF33" s="362"/>
      <c r="BG33" s="362"/>
      <c r="BH33" s="362"/>
      <c r="BI33" s="362"/>
      <c r="BJ33" s="362"/>
      <c r="BK33" s="362"/>
      <c r="BL33" s="362"/>
      <c r="BM33" s="362"/>
      <c r="BN33" s="362"/>
      <c r="BO33" s="362"/>
      <c r="BP33" s="362"/>
      <c r="BQ33" s="362"/>
      <c r="BR33" s="362"/>
      <c r="BS33" s="362"/>
      <c r="BT33" s="362"/>
      <c r="BU33" s="362"/>
      <c r="BV33" s="362"/>
      <c r="BW33" s="362"/>
      <c r="BX33" s="362"/>
      <c r="BY33" s="362"/>
      <c r="BZ33" s="362"/>
      <c r="CA33" s="362"/>
      <c r="CB33" s="362"/>
      <c r="CC33" s="362"/>
      <c r="CD33" s="362"/>
      <c r="CE33" s="362"/>
      <c r="CF33" s="362"/>
      <c r="CG33" s="362"/>
      <c r="CH33" s="362"/>
      <c r="CI33" s="362"/>
      <c r="CJ33" s="362"/>
      <c r="CK33" s="362"/>
      <c r="CL33" s="362"/>
      <c r="CM33" s="362"/>
      <c r="CN33" s="362"/>
      <c r="CO33" s="362"/>
      <c r="CP33" s="362"/>
      <c r="CQ33" s="362"/>
      <c r="CR33" s="362"/>
      <c r="CS33" s="362"/>
      <c r="CT33" s="362"/>
      <c r="CU33" s="362"/>
      <c r="CV33" s="362"/>
      <c r="CW33" s="362"/>
      <c r="CX33" s="362"/>
      <c r="CY33" s="362"/>
      <c r="CZ33" s="362"/>
      <c r="DA33" s="362"/>
      <c r="DB33" s="362"/>
      <c r="DC33" s="362"/>
      <c r="DD33" s="362"/>
      <c r="DE33" s="362"/>
      <c r="DF33" s="362"/>
      <c r="DG33" s="362"/>
      <c r="DH33" s="362"/>
      <c r="DI33" s="362"/>
      <c r="DJ33" s="362"/>
      <c r="DK33" s="362"/>
      <c r="DL33" s="362"/>
      <c r="DM33" s="362"/>
      <c r="DN33" s="362"/>
      <c r="DO33" s="362"/>
      <c r="DP33" s="362"/>
      <c r="DQ33" s="362"/>
      <c r="DR33" s="362"/>
      <c r="DS33" s="362"/>
      <c r="DT33" s="362"/>
      <c r="DU33" s="362"/>
      <c r="DV33" s="362"/>
      <c r="DW33" s="362"/>
      <c r="DX33" s="362"/>
      <c r="DY33" s="362"/>
      <c r="DZ33" s="362"/>
      <c r="EA33" s="362"/>
      <c r="EB33" s="362"/>
      <c r="EC33" s="362"/>
      <c r="ED33" s="362"/>
      <c r="EE33" s="362"/>
      <c r="EF33" s="362"/>
      <c r="EG33" s="362"/>
      <c r="EH33" s="362"/>
      <c r="EI33" s="362"/>
      <c r="EJ33" s="362"/>
      <c r="EK33" s="362"/>
      <c r="EL33" s="362"/>
      <c r="EM33" s="362"/>
      <c r="EN33" s="362"/>
      <c r="EO33" s="362"/>
      <c r="EP33" s="362"/>
      <c r="EQ33" s="362"/>
      <c r="ER33" s="362"/>
      <c r="ES33" s="362"/>
      <c r="ET33" s="362"/>
      <c r="EU33" s="362"/>
      <c r="EV33" s="362"/>
      <c r="EW33" s="362"/>
      <c r="EX33" s="362"/>
      <c r="EY33" s="362"/>
      <c r="EZ33" s="362"/>
      <c r="FA33" s="362"/>
      <c r="FB33" s="362"/>
      <c r="FC33" s="362"/>
      <c r="FD33" s="362"/>
      <c r="FE33" s="362"/>
      <c r="FF33" s="362"/>
      <c r="FG33" s="362"/>
      <c r="FH33" s="362"/>
      <c r="FI33" s="362"/>
      <c r="FJ33" s="362"/>
      <c r="FK33" s="362"/>
      <c r="FL33" s="362"/>
      <c r="FM33" s="362"/>
      <c r="FN33" s="362"/>
      <c r="FO33" s="362"/>
      <c r="FP33" s="362"/>
      <c r="FQ33" s="362"/>
      <c r="FR33" s="362"/>
      <c r="FS33" s="362"/>
      <c r="FT33" s="362"/>
      <c r="FU33" s="362"/>
      <c r="FV33" s="362"/>
      <c r="FW33" s="362"/>
      <c r="FX33" s="362"/>
      <c r="FY33" s="362"/>
      <c r="FZ33" s="362"/>
      <c r="GA33" s="362"/>
      <c r="GB33" s="362"/>
      <c r="GC33" s="362"/>
      <c r="GD33" s="362"/>
      <c r="GE33" s="362"/>
      <c r="GF33" s="362"/>
      <c r="GG33" s="362"/>
      <c r="GH33" s="362"/>
      <c r="GI33" s="362"/>
      <c r="GJ33" s="362"/>
      <c r="GK33" s="362"/>
      <c r="GL33" s="362"/>
      <c r="GM33" s="362"/>
      <c r="GN33" s="362"/>
      <c r="GO33" s="362"/>
      <c r="GP33" s="362"/>
      <c r="GQ33" s="362"/>
      <c r="GR33" s="362"/>
      <c r="GS33" s="362"/>
      <c r="GT33" s="362"/>
      <c r="GU33" s="362"/>
      <c r="GV33" s="362"/>
      <c r="GW33" s="362"/>
      <c r="GX33" s="362"/>
      <c r="GY33" s="362"/>
      <c r="GZ33" s="362"/>
      <c r="HA33" s="362"/>
      <c r="HB33" s="362"/>
      <c r="HC33" s="362"/>
      <c r="HD33" s="362"/>
      <c r="HE33" s="362"/>
      <c r="HF33" s="362"/>
      <c r="HG33" s="362"/>
      <c r="HH33" s="362"/>
      <c r="HI33" s="362"/>
      <c r="HJ33" s="362"/>
      <c r="HK33" s="362"/>
      <c r="HL33" s="362"/>
      <c r="HM33" s="362"/>
      <c r="HN33" s="362"/>
      <c r="HO33" s="362"/>
      <c r="HP33" s="362"/>
      <c r="HQ33" s="362"/>
      <c r="HR33" s="362"/>
      <c r="HS33" s="362"/>
      <c r="HT33" s="362"/>
      <c r="HU33" s="362"/>
      <c r="HV33" s="362"/>
      <c r="HW33" s="362"/>
      <c r="HX33" s="362"/>
      <c r="HY33" s="362"/>
      <c r="HZ33" s="362"/>
      <c r="IA33" s="362"/>
      <c r="IB33" s="362"/>
      <c r="IC33" s="362"/>
      <c r="ID33" s="362"/>
      <c r="IE33" s="362"/>
      <c r="IF33" s="362"/>
      <c r="IG33" s="362"/>
      <c r="IH33" s="362"/>
      <c r="II33" s="362"/>
      <c r="IJ33" s="362"/>
      <c r="IK33" s="362"/>
      <c r="IL33" s="362"/>
      <c r="IM33" s="362"/>
      <c r="IN33" s="362"/>
      <c r="IO33" s="362"/>
      <c r="IP33" s="362"/>
      <c r="IQ33" s="362"/>
      <c r="IR33" s="362"/>
      <c r="IS33" s="362"/>
      <c r="IT33" s="362"/>
      <c r="IU33" s="362"/>
    </row>
    <row r="34" spans="1:255" x14ac:dyDescent="0.15">
      <c r="A34" s="374"/>
      <c r="B34" s="149" t="s">
        <v>341</v>
      </c>
      <c r="C34" s="172" t="s">
        <v>349</v>
      </c>
      <c r="D34" s="173"/>
      <c r="E34" s="742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1">
        <f>ROUNDDOWN(N33/365,0)</f>
        <v>0</v>
      </c>
      <c r="O34" s="369">
        <f>ROUNDDOWN($O$33/365,0)</f>
        <v>0</v>
      </c>
      <c r="P34" s="362"/>
      <c r="Q34" s="362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  <c r="AD34" s="362"/>
      <c r="AE34" s="362"/>
      <c r="AF34" s="362"/>
      <c r="AG34" s="1074"/>
      <c r="AH34" s="362"/>
      <c r="AI34" s="362"/>
      <c r="AJ34" s="362"/>
      <c r="AK34" s="362"/>
      <c r="AL34" s="362"/>
      <c r="AM34" s="362"/>
      <c r="AN34" s="362"/>
      <c r="AO34" s="362"/>
      <c r="AP34" s="362"/>
      <c r="AQ34" s="362"/>
      <c r="AR34" s="362"/>
      <c r="AS34" s="362"/>
      <c r="AT34" s="362"/>
      <c r="AU34" s="362"/>
      <c r="AV34" s="362"/>
      <c r="AW34" s="362"/>
      <c r="AX34" s="2"/>
      <c r="AY34" s="2"/>
      <c r="AZ34" s="2"/>
      <c r="BA34" s="1076"/>
      <c r="BB34" s="362"/>
      <c r="BC34" s="362"/>
      <c r="BD34" s="362"/>
      <c r="BE34" s="362"/>
      <c r="BF34" s="362"/>
      <c r="BG34" s="362"/>
      <c r="BH34" s="362"/>
      <c r="BI34" s="362"/>
      <c r="BJ34" s="362"/>
      <c r="BK34" s="362"/>
      <c r="BL34" s="362"/>
      <c r="BM34" s="362"/>
      <c r="BN34" s="362"/>
      <c r="BO34" s="362"/>
      <c r="BP34" s="36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62"/>
      <c r="CB34" s="362"/>
      <c r="CC34" s="362"/>
      <c r="CD34" s="362"/>
      <c r="CE34" s="362"/>
      <c r="CF34" s="362"/>
      <c r="CG34" s="362"/>
      <c r="CH34" s="362"/>
      <c r="CI34" s="362"/>
      <c r="CJ34" s="362"/>
      <c r="CK34" s="362"/>
      <c r="CL34" s="362"/>
      <c r="CM34" s="362"/>
      <c r="CN34" s="362"/>
      <c r="CO34" s="362"/>
      <c r="CP34" s="362"/>
      <c r="CQ34" s="362"/>
      <c r="CR34" s="362"/>
      <c r="CS34" s="362"/>
      <c r="CT34" s="362"/>
      <c r="CU34" s="362"/>
      <c r="CV34" s="362"/>
      <c r="CW34" s="362"/>
      <c r="CX34" s="362"/>
      <c r="CY34" s="362"/>
      <c r="CZ34" s="362"/>
      <c r="DA34" s="362"/>
      <c r="DB34" s="362"/>
      <c r="DC34" s="362"/>
      <c r="DD34" s="362"/>
      <c r="DE34" s="362"/>
      <c r="DF34" s="362"/>
      <c r="DG34" s="362"/>
      <c r="DH34" s="362"/>
      <c r="DI34" s="362"/>
      <c r="DJ34" s="362"/>
      <c r="DK34" s="362"/>
      <c r="DL34" s="362"/>
      <c r="DM34" s="362"/>
      <c r="DN34" s="362"/>
      <c r="DO34" s="362"/>
      <c r="DP34" s="362"/>
      <c r="DQ34" s="362"/>
      <c r="DR34" s="362"/>
      <c r="DS34" s="362"/>
      <c r="DT34" s="362"/>
      <c r="DU34" s="362"/>
      <c r="DV34" s="362"/>
      <c r="DW34" s="362"/>
      <c r="DX34" s="362"/>
      <c r="DY34" s="362"/>
      <c r="DZ34" s="362"/>
      <c r="EA34" s="362"/>
      <c r="EB34" s="362"/>
      <c r="EC34" s="362"/>
      <c r="ED34" s="362"/>
      <c r="EE34" s="362"/>
      <c r="EF34" s="362"/>
      <c r="EG34" s="362"/>
      <c r="EH34" s="362"/>
      <c r="EI34" s="362"/>
      <c r="EJ34" s="362"/>
      <c r="EK34" s="362"/>
      <c r="EL34" s="362"/>
      <c r="EM34" s="362"/>
      <c r="EN34" s="362"/>
      <c r="EO34" s="362"/>
      <c r="EP34" s="362"/>
      <c r="EQ34" s="362"/>
      <c r="ER34" s="362"/>
      <c r="ES34" s="362"/>
      <c r="ET34" s="362"/>
      <c r="EU34" s="362"/>
      <c r="EV34" s="362"/>
      <c r="EW34" s="362"/>
      <c r="EX34" s="362"/>
      <c r="EY34" s="362"/>
      <c r="EZ34" s="362"/>
      <c r="FA34" s="362"/>
      <c r="FB34" s="362"/>
      <c r="FC34" s="362"/>
      <c r="FD34" s="362"/>
      <c r="FE34" s="362"/>
      <c r="FF34" s="362"/>
      <c r="FG34" s="362"/>
      <c r="FH34" s="362"/>
      <c r="FI34" s="362"/>
      <c r="FJ34" s="362"/>
      <c r="FK34" s="362"/>
      <c r="FL34" s="362"/>
      <c r="FM34" s="362"/>
      <c r="FN34" s="362"/>
      <c r="FO34" s="362"/>
      <c r="FP34" s="362"/>
      <c r="FQ34" s="362"/>
      <c r="FR34" s="362"/>
      <c r="FS34" s="362"/>
      <c r="FT34" s="362"/>
      <c r="FU34" s="362"/>
      <c r="FV34" s="362"/>
      <c r="FW34" s="362"/>
      <c r="FX34" s="362"/>
      <c r="FY34" s="362"/>
      <c r="FZ34" s="362"/>
      <c r="GA34" s="362"/>
      <c r="GB34" s="362"/>
      <c r="GC34" s="362"/>
      <c r="GD34" s="362"/>
      <c r="GE34" s="362"/>
      <c r="GF34" s="362"/>
      <c r="GG34" s="362"/>
      <c r="GH34" s="362"/>
      <c r="GI34" s="362"/>
      <c r="GJ34" s="362"/>
      <c r="GK34" s="362"/>
      <c r="GL34" s="362"/>
      <c r="GM34" s="362"/>
      <c r="GN34" s="362"/>
      <c r="GO34" s="362"/>
      <c r="GP34" s="362"/>
      <c r="GQ34" s="362"/>
      <c r="GR34" s="362"/>
      <c r="GS34" s="362"/>
      <c r="GT34" s="362"/>
      <c r="GU34" s="362"/>
      <c r="GV34" s="362"/>
      <c r="GW34" s="362"/>
      <c r="GX34" s="362"/>
      <c r="GY34" s="362"/>
      <c r="GZ34" s="362"/>
      <c r="HA34" s="362"/>
      <c r="HB34" s="362"/>
      <c r="HC34" s="362"/>
      <c r="HD34" s="362"/>
      <c r="HE34" s="362"/>
      <c r="HF34" s="362"/>
      <c r="HG34" s="362"/>
      <c r="HH34" s="362"/>
      <c r="HI34" s="362"/>
      <c r="HJ34" s="362"/>
      <c r="HK34" s="362"/>
      <c r="HL34" s="362"/>
      <c r="HM34" s="362"/>
      <c r="HN34" s="362"/>
      <c r="HO34" s="362"/>
      <c r="HP34" s="362"/>
      <c r="HQ34" s="362"/>
      <c r="HR34" s="362"/>
      <c r="HS34" s="362"/>
      <c r="HT34" s="362"/>
      <c r="HU34" s="362"/>
      <c r="HV34" s="362"/>
      <c r="HW34" s="362"/>
      <c r="HX34" s="362"/>
      <c r="HY34" s="362"/>
      <c r="HZ34" s="362"/>
      <c r="IA34" s="362"/>
      <c r="IB34" s="362"/>
      <c r="IC34" s="362"/>
      <c r="ID34" s="362"/>
      <c r="IE34" s="362"/>
      <c r="IF34" s="362"/>
      <c r="IG34" s="362"/>
      <c r="IH34" s="362"/>
      <c r="II34" s="362"/>
      <c r="IJ34" s="362"/>
      <c r="IK34" s="362"/>
      <c r="IL34" s="362"/>
      <c r="IM34" s="362"/>
      <c r="IN34" s="362"/>
      <c r="IO34" s="362"/>
      <c r="IP34" s="362"/>
      <c r="IQ34" s="362"/>
      <c r="IR34" s="362"/>
      <c r="IS34" s="362"/>
      <c r="IT34" s="362"/>
      <c r="IU34" s="362"/>
    </row>
    <row r="35" spans="1:255" ht="15" thickBot="1" x14ac:dyDescent="0.2">
      <c r="A35" s="374">
        <v>32421</v>
      </c>
      <c r="B35" s="1937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IF(E2=B94,IF(D12="X",IF(G10="X",ROUNDDOWN(SUM(F26:F34)*0.2,0),ROUNDDOWN(SUM(F26:F34)*0.17,0)),0),0)</f>
        <v>0</v>
      </c>
      <c r="N35" s="380">
        <f>IF(E2="VOLUNTÁRIA ESPECIAL",IF(D12="X",IF(G10="X",ROUNDDOWN(SUM(F26:F34)*0.2,0),ROUNDDOWN(SUM(F26:F34)*0.17,0)),0),0)</f>
        <v>0</v>
      </c>
      <c r="O35" s="1058"/>
      <c r="P35" s="1083" t="s">
        <v>693</v>
      </c>
      <c r="Q35" s="1084">
        <v>1</v>
      </c>
      <c r="R35" s="1084">
        <v>2</v>
      </c>
      <c r="S35" s="1084">
        <v>3</v>
      </c>
      <c r="T35" s="1084">
        <v>4</v>
      </c>
      <c r="U35" s="1084">
        <v>5</v>
      </c>
      <c r="V35" s="1084">
        <v>6</v>
      </c>
      <c r="W35" s="1084">
        <v>7</v>
      </c>
      <c r="X35" s="1084">
        <v>8</v>
      </c>
      <c r="Y35" s="1084">
        <v>9</v>
      </c>
      <c r="Z35" s="1084">
        <v>10</v>
      </c>
      <c r="AA35" s="1084">
        <v>11</v>
      </c>
      <c r="AB35" s="1084">
        <v>12</v>
      </c>
      <c r="AC35" s="1084">
        <v>13</v>
      </c>
      <c r="AD35" s="1084">
        <v>14</v>
      </c>
      <c r="AE35" s="1084">
        <v>15</v>
      </c>
      <c r="AF35" s="1084">
        <v>16</v>
      </c>
      <c r="AG35" s="1084">
        <v>17</v>
      </c>
      <c r="AH35" s="1084">
        <v>18</v>
      </c>
      <c r="AI35" s="1084">
        <v>19</v>
      </c>
      <c r="AJ35" s="1084">
        <v>20</v>
      </c>
      <c r="AK35" s="1084">
        <v>21</v>
      </c>
      <c r="AL35" s="1084">
        <v>22</v>
      </c>
      <c r="AM35" s="1084">
        <v>23</v>
      </c>
      <c r="AN35" s="1084">
        <v>24</v>
      </c>
      <c r="AO35" s="1084">
        <v>25</v>
      </c>
      <c r="AP35" s="1084">
        <v>26</v>
      </c>
      <c r="AQ35" s="1084">
        <v>27</v>
      </c>
      <c r="AR35" s="1084">
        <v>28</v>
      </c>
      <c r="AS35" s="1084">
        <v>29</v>
      </c>
      <c r="AT35" s="1084">
        <v>30</v>
      </c>
      <c r="AU35" s="1084">
        <v>31</v>
      </c>
      <c r="AV35" s="1084">
        <v>32</v>
      </c>
      <c r="AW35" s="1084">
        <v>33</v>
      </c>
      <c r="AX35" s="1084">
        <v>34</v>
      </c>
      <c r="AY35" s="1097">
        <v>35</v>
      </c>
      <c r="AZ35" s="2"/>
      <c r="BA35" s="1076"/>
      <c r="BB35" s="362"/>
      <c r="BC35" s="362"/>
      <c r="BD35" s="362"/>
      <c r="BE35" s="362"/>
      <c r="BF35" s="362"/>
      <c r="BG35" s="362"/>
      <c r="BH35" s="362"/>
      <c r="BI35" s="362"/>
      <c r="BJ35" s="362"/>
      <c r="BK35" s="362"/>
      <c r="BL35" s="362"/>
      <c r="BM35" s="362"/>
      <c r="BN35" s="362"/>
      <c r="BO35" s="362"/>
      <c r="BP35" s="362"/>
      <c r="BQ35" s="362"/>
      <c r="BR35" s="362"/>
      <c r="BS35" s="362"/>
      <c r="BT35" s="362"/>
      <c r="BU35" s="362"/>
      <c r="BV35" s="362"/>
      <c r="BW35" s="362"/>
      <c r="BX35" s="362"/>
      <c r="BY35" s="362"/>
      <c r="BZ35" s="362"/>
      <c r="CA35" s="362"/>
      <c r="CB35" s="362"/>
      <c r="CC35" s="362"/>
      <c r="CD35" s="362"/>
      <c r="CE35" s="362"/>
      <c r="CF35" s="362"/>
      <c r="CG35" s="362"/>
      <c r="CH35" s="362"/>
      <c r="CI35" s="362"/>
      <c r="CJ35" s="362"/>
      <c r="CK35" s="362"/>
      <c r="CL35" s="362"/>
      <c r="CM35" s="362"/>
      <c r="CN35" s="362"/>
      <c r="CO35" s="362"/>
      <c r="CP35" s="362"/>
      <c r="CQ35" s="362"/>
      <c r="CR35" s="362"/>
      <c r="CS35" s="362"/>
      <c r="CT35" s="362"/>
      <c r="CU35" s="362"/>
      <c r="CV35" s="362"/>
      <c r="CW35" s="362"/>
      <c r="CX35" s="362"/>
      <c r="CY35" s="362"/>
      <c r="CZ35" s="362"/>
      <c r="DA35" s="362"/>
      <c r="DB35" s="362"/>
      <c r="DC35" s="362"/>
      <c r="DD35" s="362"/>
      <c r="DE35" s="362"/>
      <c r="DF35" s="362"/>
      <c r="DG35" s="362"/>
      <c r="DH35" s="362"/>
      <c r="DI35" s="362"/>
      <c r="DJ35" s="362"/>
      <c r="DK35" s="362"/>
      <c r="DL35" s="362"/>
      <c r="DM35" s="362"/>
      <c r="DN35" s="362"/>
      <c r="DO35" s="362"/>
      <c r="DP35" s="362"/>
      <c r="DQ35" s="362"/>
      <c r="DR35" s="362"/>
      <c r="DS35" s="362"/>
      <c r="DT35" s="362"/>
      <c r="DU35" s="362"/>
      <c r="DV35" s="362"/>
      <c r="DW35" s="362"/>
      <c r="DX35" s="362"/>
      <c r="DY35" s="362"/>
      <c r="DZ35" s="362"/>
      <c r="EA35" s="362"/>
      <c r="EB35" s="362"/>
      <c r="EC35" s="362"/>
      <c r="ED35" s="362"/>
      <c r="EE35" s="362"/>
      <c r="EF35" s="362"/>
      <c r="EG35" s="362"/>
      <c r="EH35" s="362"/>
      <c r="EI35" s="362"/>
      <c r="EJ35" s="362"/>
      <c r="EK35" s="362"/>
      <c r="EL35" s="362"/>
      <c r="EM35" s="362"/>
      <c r="EN35" s="362"/>
      <c r="EO35" s="362"/>
      <c r="EP35" s="362"/>
      <c r="EQ35" s="362"/>
      <c r="ER35" s="362"/>
      <c r="ES35" s="362"/>
      <c r="ET35" s="362"/>
      <c r="EU35" s="362"/>
      <c r="EV35" s="362"/>
      <c r="EW35" s="362"/>
      <c r="EX35" s="362"/>
      <c r="EY35" s="362"/>
      <c r="EZ35" s="362"/>
      <c r="FA35" s="362"/>
      <c r="FB35" s="362"/>
      <c r="FC35" s="362"/>
      <c r="FD35" s="362"/>
      <c r="FE35" s="362"/>
      <c r="FF35" s="362"/>
      <c r="FG35" s="362"/>
      <c r="FH35" s="362"/>
      <c r="FI35" s="362"/>
      <c r="FJ35" s="362"/>
      <c r="FK35" s="362"/>
      <c r="FL35" s="362"/>
      <c r="FM35" s="362"/>
      <c r="FN35" s="362"/>
      <c r="FO35" s="362"/>
      <c r="FP35" s="362"/>
      <c r="FQ35" s="362"/>
      <c r="FR35" s="362"/>
      <c r="FS35" s="362"/>
      <c r="FT35" s="362"/>
      <c r="FU35" s="362"/>
      <c r="FV35" s="362"/>
      <c r="FW35" s="362"/>
      <c r="FX35" s="362"/>
      <c r="FY35" s="362"/>
      <c r="FZ35" s="362"/>
      <c r="GA35" s="362"/>
      <c r="GB35" s="362"/>
      <c r="GC35" s="362"/>
      <c r="GD35" s="362"/>
      <c r="GE35" s="362"/>
      <c r="GF35" s="362"/>
      <c r="GG35" s="362"/>
      <c r="GH35" s="362"/>
      <c r="GI35" s="362"/>
      <c r="GJ35" s="362"/>
      <c r="GK35" s="362"/>
      <c r="GL35" s="362"/>
      <c r="GM35" s="362"/>
      <c r="GN35" s="362"/>
      <c r="GO35" s="362"/>
      <c r="GP35" s="362"/>
      <c r="GQ35" s="362"/>
      <c r="GR35" s="362"/>
      <c r="GS35" s="362"/>
      <c r="GT35" s="362"/>
      <c r="GU35" s="362"/>
      <c r="GV35" s="362"/>
      <c r="GW35" s="362"/>
      <c r="GX35" s="362"/>
      <c r="GY35" s="362"/>
      <c r="GZ35" s="362"/>
      <c r="HA35" s="362"/>
      <c r="HB35" s="362"/>
      <c r="HC35" s="362"/>
      <c r="HD35" s="362"/>
      <c r="HE35" s="362"/>
      <c r="HF35" s="362"/>
      <c r="HG35" s="362"/>
      <c r="HH35" s="362"/>
      <c r="HI35" s="362"/>
      <c r="HJ35" s="362"/>
      <c r="HK35" s="362"/>
      <c r="HL35" s="362"/>
      <c r="HM35" s="362"/>
      <c r="HN35" s="362"/>
      <c r="HO35" s="362"/>
      <c r="HP35" s="362"/>
      <c r="HQ35" s="362"/>
      <c r="HR35" s="362"/>
      <c r="HS35" s="362"/>
      <c r="HT35" s="362"/>
      <c r="HU35" s="362"/>
      <c r="HV35" s="362"/>
      <c r="HW35" s="362"/>
      <c r="HX35" s="362"/>
      <c r="HY35" s="362"/>
      <c r="HZ35" s="362"/>
      <c r="IA35" s="362"/>
      <c r="IB35" s="362"/>
      <c r="IC35" s="362"/>
      <c r="ID35" s="362"/>
      <c r="IE35" s="362"/>
      <c r="IF35" s="362"/>
      <c r="IG35" s="362"/>
      <c r="IH35" s="362"/>
      <c r="II35" s="362"/>
      <c r="IJ35" s="362"/>
      <c r="IK35" s="362"/>
      <c r="IL35" s="362"/>
      <c r="IM35" s="362"/>
      <c r="IN35" s="362"/>
      <c r="IO35" s="362"/>
      <c r="IP35" s="362"/>
      <c r="IQ35" s="362"/>
      <c r="IR35" s="362"/>
      <c r="IS35" s="362"/>
      <c r="IT35" s="362"/>
      <c r="IU35" s="362"/>
    </row>
    <row r="36" spans="1:255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093" t="s">
        <v>351</v>
      </c>
      <c r="Q36" s="1094">
        <v>0</v>
      </c>
      <c r="R36" s="1094">
        <v>0</v>
      </c>
      <c r="S36" s="1094">
        <v>0.02</v>
      </c>
      <c r="T36" s="1094">
        <v>0.04</v>
      </c>
      <c r="U36" s="1094">
        <v>0.06</v>
      </c>
      <c r="V36" s="1094">
        <v>0.08</v>
      </c>
      <c r="W36" s="1094">
        <v>0.1</v>
      </c>
      <c r="X36" s="1094">
        <v>0.12</v>
      </c>
      <c r="Y36" s="1094">
        <v>0.14000000000000001</v>
      </c>
      <c r="Z36" s="1094">
        <v>0.16</v>
      </c>
      <c r="AA36" s="1094">
        <v>0.18</v>
      </c>
      <c r="AB36" s="1094">
        <v>0.2</v>
      </c>
      <c r="AC36" s="1094">
        <v>0.22</v>
      </c>
      <c r="AD36" s="1094">
        <v>0.24</v>
      </c>
      <c r="AE36" s="1094">
        <v>0.26</v>
      </c>
      <c r="AF36" s="1094">
        <v>0.28000000000000003</v>
      </c>
      <c r="AG36" s="1094">
        <v>0.3</v>
      </c>
      <c r="AH36" s="1094">
        <v>0.32</v>
      </c>
      <c r="AI36" s="1094">
        <v>0.34</v>
      </c>
      <c r="AJ36" s="1094">
        <v>0.36</v>
      </c>
      <c r="AK36" s="1094">
        <v>0.38</v>
      </c>
      <c r="AL36" s="1094">
        <v>0.4</v>
      </c>
      <c r="AM36" s="1094">
        <v>0.42</v>
      </c>
      <c r="AN36" s="1094">
        <v>0.44</v>
      </c>
      <c r="AO36" s="1094">
        <v>0.46</v>
      </c>
      <c r="AP36" s="1094">
        <v>0.48</v>
      </c>
      <c r="AQ36" s="1094">
        <v>0.5</v>
      </c>
      <c r="AR36" s="1094">
        <v>0.52</v>
      </c>
      <c r="AS36" s="1094">
        <v>0.54</v>
      </c>
      <c r="AT36" s="1094">
        <v>0.56000000000000005</v>
      </c>
      <c r="AU36" s="1094">
        <v>0.57999999999999996</v>
      </c>
      <c r="AV36" s="1094">
        <v>0.6</v>
      </c>
      <c r="AW36" s="1094">
        <v>0.62</v>
      </c>
      <c r="AX36" s="1094">
        <v>0.64</v>
      </c>
      <c r="AY36" s="1095">
        <v>0.66</v>
      </c>
      <c r="AZ36" s="2"/>
      <c r="BA36" s="1076"/>
      <c r="BB36" s="362"/>
      <c r="BC36" s="362"/>
      <c r="BD36" s="362"/>
      <c r="BE36" s="362"/>
      <c r="BF36" s="362"/>
      <c r="BG36" s="362"/>
      <c r="BH36" s="362"/>
      <c r="BI36" s="362"/>
      <c r="BJ36" s="362"/>
      <c r="BK36" s="362"/>
      <c r="BL36" s="362"/>
      <c r="BM36" s="362"/>
      <c r="BN36" s="362"/>
      <c r="BO36" s="362"/>
      <c r="BP36" s="36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362"/>
      <c r="CB36" s="362"/>
      <c r="CC36" s="362"/>
      <c r="CD36" s="362"/>
      <c r="CE36" s="362"/>
      <c r="CF36" s="362"/>
      <c r="CG36" s="362"/>
      <c r="CH36" s="362"/>
      <c r="CI36" s="362"/>
      <c r="CJ36" s="362"/>
      <c r="CK36" s="362"/>
      <c r="CL36" s="362"/>
      <c r="CM36" s="362"/>
      <c r="CN36" s="362"/>
      <c r="CO36" s="362"/>
      <c r="CP36" s="362"/>
      <c r="CQ36" s="362"/>
      <c r="CR36" s="362"/>
      <c r="CS36" s="362"/>
      <c r="CT36" s="362"/>
      <c r="CU36" s="362"/>
      <c r="CV36" s="362"/>
      <c r="CW36" s="362"/>
      <c r="CX36" s="362"/>
      <c r="CY36" s="362"/>
      <c r="CZ36" s="362"/>
      <c r="DA36" s="362"/>
      <c r="DB36" s="362"/>
      <c r="DC36" s="362"/>
      <c r="DD36" s="362"/>
      <c r="DE36" s="362"/>
      <c r="DF36" s="362"/>
      <c r="DG36" s="362"/>
      <c r="DH36" s="362"/>
      <c r="DI36" s="362"/>
      <c r="DJ36" s="362"/>
      <c r="DK36" s="362"/>
      <c r="DL36" s="362"/>
      <c r="DM36" s="362"/>
      <c r="DN36" s="362"/>
      <c r="DO36" s="362"/>
      <c r="DP36" s="362"/>
      <c r="DQ36" s="362"/>
      <c r="DR36" s="362"/>
      <c r="DS36" s="362"/>
      <c r="DT36" s="362"/>
      <c r="DU36" s="362"/>
      <c r="DV36" s="362"/>
      <c r="DW36" s="362"/>
      <c r="DX36" s="362"/>
      <c r="DY36" s="362"/>
      <c r="DZ36" s="362"/>
      <c r="EA36" s="362"/>
      <c r="EB36" s="362"/>
      <c r="EC36" s="362"/>
      <c r="ED36" s="362"/>
      <c r="EE36" s="362"/>
      <c r="EF36" s="362"/>
      <c r="EG36" s="362"/>
      <c r="EH36" s="362"/>
      <c r="EI36" s="362"/>
      <c r="EJ36" s="362"/>
      <c r="EK36" s="362"/>
      <c r="EL36" s="362"/>
      <c r="EM36" s="362"/>
      <c r="EN36" s="362"/>
      <c r="EO36" s="362"/>
      <c r="EP36" s="362"/>
      <c r="EQ36" s="362"/>
      <c r="ER36" s="362"/>
      <c r="ES36" s="362"/>
      <c r="ET36" s="362"/>
      <c r="EU36" s="362"/>
      <c r="EV36" s="362"/>
      <c r="EW36" s="362"/>
      <c r="EX36" s="362"/>
      <c r="EY36" s="362"/>
      <c r="EZ36" s="362"/>
      <c r="FA36" s="362"/>
      <c r="FB36" s="362"/>
      <c r="FC36" s="362"/>
      <c r="FD36" s="362"/>
      <c r="FE36" s="362"/>
      <c r="FF36" s="362"/>
      <c r="FG36" s="362"/>
      <c r="FH36" s="362"/>
      <c r="FI36" s="362"/>
      <c r="FJ36" s="362"/>
      <c r="FK36" s="362"/>
      <c r="FL36" s="362"/>
      <c r="FM36" s="362"/>
      <c r="FN36" s="362"/>
      <c r="FO36" s="362"/>
      <c r="FP36" s="362"/>
      <c r="FQ36" s="362"/>
      <c r="FR36" s="362"/>
      <c r="FS36" s="362"/>
      <c r="FT36" s="362"/>
      <c r="FU36" s="362"/>
      <c r="FV36" s="362"/>
      <c r="FW36" s="362"/>
      <c r="FX36" s="362"/>
      <c r="FY36" s="362"/>
      <c r="FZ36" s="362"/>
      <c r="GA36" s="362"/>
      <c r="GB36" s="362"/>
      <c r="GC36" s="362"/>
      <c r="GD36" s="362"/>
      <c r="GE36" s="362"/>
      <c r="GF36" s="362"/>
      <c r="GG36" s="362"/>
      <c r="GH36" s="362"/>
      <c r="GI36" s="362"/>
      <c r="GJ36" s="362"/>
      <c r="GK36" s="362"/>
      <c r="GL36" s="362"/>
      <c r="GM36" s="362"/>
      <c r="GN36" s="362"/>
      <c r="GO36" s="362"/>
      <c r="GP36" s="362"/>
      <c r="GQ36" s="362"/>
      <c r="GR36" s="362"/>
      <c r="GS36" s="362"/>
      <c r="GT36" s="362"/>
      <c r="GU36" s="362"/>
      <c r="GV36" s="362"/>
      <c r="GW36" s="362"/>
      <c r="GX36" s="362"/>
      <c r="GY36" s="362"/>
      <c r="GZ36" s="362"/>
      <c r="HA36" s="362"/>
      <c r="HB36" s="362"/>
      <c r="HC36" s="362"/>
      <c r="HD36" s="362"/>
      <c r="HE36" s="362"/>
      <c r="HF36" s="362"/>
      <c r="HG36" s="362"/>
      <c r="HH36" s="362"/>
      <c r="HI36" s="362"/>
      <c r="HJ36" s="362"/>
      <c r="HK36" s="362"/>
      <c r="HL36" s="362"/>
      <c r="HM36" s="362"/>
      <c r="HN36" s="362"/>
      <c r="HO36" s="362"/>
      <c r="HP36" s="362"/>
      <c r="HQ36" s="362"/>
      <c r="HR36" s="362"/>
      <c r="HS36" s="362"/>
      <c r="HT36" s="362"/>
      <c r="HU36" s="362"/>
      <c r="HV36" s="362"/>
      <c r="HW36" s="362"/>
      <c r="HX36" s="362"/>
      <c r="HY36" s="362"/>
      <c r="HZ36" s="362"/>
      <c r="IA36" s="362"/>
      <c r="IB36" s="362"/>
      <c r="IC36" s="362"/>
      <c r="ID36" s="362"/>
      <c r="IE36" s="362"/>
      <c r="IF36" s="362"/>
      <c r="IG36" s="362"/>
      <c r="IH36" s="362"/>
      <c r="II36" s="362"/>
      <c r="IJ36" s="362"/>
      <c r="IK36" s="362"/>
      <c r="IL36" s="362"/>
      <c r="IM36" s="362"/>
      <c r="IN36" s="362"/>
      <c r="IO36" s="362"/>
      <c r="IP36" s="362"/>
      <c r="IQ36" s="362"/>
      <c r="IR36" s="362"/>
      <c r="IS36" s="362"/>
      <c r="IT36" s="362"/>
      <c r="IU36" s="362"/>
    </row>
    <row r="37" spans="1:255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IF($E$37&lt;=$A$37,IF($F$38&lt;&gt;0,SUM($F$26:$F$35),0),0)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P37" s="362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  <c r="AD37" s="362"/>
      <c r="AE37" s="362"/>
      <c r="AF37" s="362"/>
      <c r="AG37" s="362"/>
      <c r="AH37" s="362"/>
      <c r="AI37" s="362"/>
      <c r="AJ37" s="362"/>
      <c r="AK37" s="362"/>
      <c r="AL37" s="362"/>
      <c r="AM37" s="362"/>
      <c r="AN37" s="362"/>
      <c r="AO37" s="362"/>
      <c r="AP37" s="362"/>
      <c r="AQ37" s="362"/>
      <c r="AR37" s="362"/>
      <c r="AS37" s="362"/>
      <c r="AT37" s="362"/>
      <c r="AU37" s="362"/>
      <c r="AV37" s="362"/>
      <c r="AW37" s="362"/>
      <c r="AX37" s="362"/>
      <c r="AY37" s="362"/>
      <c r="AZ37" s="2"/>
      <c r="BA37" s="1076"/>
      <c r="BB37" s="362"/>
      <c r="BC37" s="362"/>
      <c r="BD37" s="362"/>
      <c r="BE37" s="362"/>
      <c r="BF37" s="362"/>
      <c r="BG37" s="362"/>
      <c r="BH37" s="362"/>
      <c r="BI37" s="362"/>
      <c r="BJ37" s="362"/>
      <c r="BK37" s="362"/>
      <c r="BL37" s="362"/>
      <c r="BM37" s="362"/>
      <c r="BN37" s="362"/>
      <c r="BO37" s="362"/>
      <c r="BP37" s="362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62"/>
      <c r="CB37" s="362"/>
      <c r="CC37" s="362"/>
      <c r="CD37" s="362"/>
      <c r="CE37" s="362"/>
      <c r="CF37" s="362"/>
      <c r="CG37" s="362"/>
      <c r="CH37" s="362"/>
      <c r="CI37" s="362"/>
      <c r="CJ37" s="362"/>
      <c r="CK37" s="362"/>
      <c r="CL37" s="362"/>
      <c r="CM37" s="362"/>
      <c r="CN37" s="362"/>
      <c r="CO37" s="362"/>
      <c r="CP37" s="362"/>
      <c r="CQ37" s="362"/>
      <c r="CR37" s="362"/>
      <c r="CS37" s="362"/>
      <c r="CT37" s="362"/>
      <c r="CU37" s="362"/>
      <c r="CV37" s="362"/>
      <c r="CW37" s="362"/>
      <c r="CX37" s="362"/>
      <c r="CY37" s="362"/>
      <c r="CZ37" s="362"/>
      <c r="DA37" s="362"/>
      <c r="DB37" s="362"/>
      <c r="DC37" s="362"/>
      <c r="DD37" s="362"/>
      <c r="DE37" s="362"/>
      <c r="DF37" s="362"/>
      <c r="DG37" s="362"/>
      <c r="DH37" s="362"/>
      <c r="DI37" s="362"/>
      <c r="DJ37" s="362"/>
      <c r="DK37" s="362"/>
      <c r="DL37" s="362"/>
      <c r="DM37" s="362"/>
      <c r="DN37" s="362"/>
      <c r="DO37" s="362"/>
      <c r="DP37" s="362"/>
      <c r="DQ37" s="362"/>
      <c r="DR37" s="362"/>
      <c r="DS37" s="362"/>
      <c r="DT37" s="362"/>
      <c r="DU37" s="362"/>
      <c r="DV37" s="362"/>
      <c r="DW37" s="362"/>
      <c r="DX37" s="362"/>
      <c r="DY37" s="362"/>
      <c r="DZ37" s="362"/>
      <c r="EA37" s="362"/>
      <c r="EB37" s="362"/>
      <c r="EC37" s="362"/>
      <c r="ED37" s="362"/>
      <c r="EE37" s="362"/>
      <c r="EF37" s="362"/>
      <c r="EG37" s="362"/>
      <c r="EH37" s="362"/>
      <c r="EI37" s="362"/>
      <c r="EJ37" s="362"/>
      <c r="EK37" s="362"/>
      <c r="EL37" s="362"/>
      <c r="EM37" s="362"/>
      <c r="EN37" s="362"/>
      <c r="EO37" s="362"/>
      <c r="EP37" s="362"/>
      <c r="EQ37" s="362"/>
      <c r="ER37" s="362"/>
      <c r="ES37" s="362"/>
      <c r="ET37" s="362"/>
      <c r="EU37" s="362"/>
      <c r="EV37" s="362"/>
      <c r="EW37" s="362"/>
      <c r="EX37" s="362"/>
      <c r="EY37" s="362"/>
      <c r="EZ37" s="362"/>
      <c r="FA37" s="362"/>
      <c r="FB37" s="362"/>
      <c r="FC37" s="362"/>
      <c r="FD37" s="362"/>
      <c r="FE37" s="362"/>
      <c r="FF37" s="362"/>
      <c r="FG37" s="362"/>
      <c r="FH37" s="362"/>
      <c r="FI37" s="362"/>
      <c r="FJ37" s="362"/>
      <c r="FK37" s="362"/>
      <c r="FL37" s="362"/>
      <c r="FM37" s="362"/>
      <c r="FN37" s="362"/>
      <c r="FO37" s="362"/>
      <c r="FP37" s="362"/>
      <c r="FQ37" s="362"/>
      <c r="FR37" s="362"/>
      <c r="FS37" s="362"/>
      <c r="FT37" s="362"/>
      <c r="FU37" s="362"/>
      <c r="FV37" s="362"/>
      <c r="FW37" s="362"/>
      <c r="FX37" s="362"/>
      <c r="FY37" s="362"/>
      <c r="FZ37" s="362"/>
      <c r="GA37" s="362"/>
      <c r="GB37" s="362"/>
      <c r="GC37" s="362"/>
      <c r="GD37" s="362"/>
      <c r="GE37" s="362"/>
      <c r="GF37" s="362"/>
      <c r="GG37" s="362"/>
      <c r="GH37" s="362"/>
      <c r="GI37" s="362"/>
      <c r="GJ37" s="362"/>
      <c r="GK37" s="362"/>
      <c r="GL37" s="362"/>
      <c r="GM37" s="362"/>
      <c r="GN37" s="362"/>
      <c r="GO37" s="362"/>
      <c r="GP37" s="362"/>
      <c r="GQ37" s="362"/>
      <c r="GR37" s="362"/>
      <c r="GS37" s="362"/>
      <c r="GT37" s="362"/>
      <c r="GU37" s="362"/>
      <c r="GV37" s="362"/>
      <c r="GW37" s="362"/>
      <c r="GX37" s="362"/>
      <c r="GY37" s="362"/>
      <c r="GZ37" s="362"/>
      <c r="HA37" s="362"/>
      <c r="HB37" s="362"/>
      <c r="HC37" s="362"/>
      <c r="HD37" s="362"/>
      <c r="HE37" s="362"/>
      <c r="HF37" s="362"/>
      <c r="HG37" s="362"/>
      <c r="HH37" s="362"/>
      <c r="HI37" s="362"/>
      <c r="HJ37" s="362"/>
      <c r="HK37" s="362"/>
      <c r="HL37" s="362"/>
      <c r="HM37" s="362"/>
      <c r="HN37" s="362"/>
      <c r="HO37" s="362"/>
      <c r="HP37" s="362"/>
      <c r="HQ37" s="362"/>
      <c r="HR37" s="362"/>
      <c r="HS37" s="362"/>
      <c r="HT37" s="362"/>
      <c r="HU37" s="362"/>
      <c r="HV37" s="362"/>
      <c r="HW37" s="362"/>
      <c r="HX37" s="362"/>
      <c r="HY37" s="362"/>
      <c r="HZ37" s="362"/>
      <c r="IA37" s="362"/>
      <c r="IB37" s="362"/>
      <c r="IC37" s="362"/>
      <c r="ID37" s="362"/>
      <c r="IE37" s="362"/>
      <c r="IF37" s="362"/>
      <c r="IG37" s="362"/>
      <c r="IH37" s="362"/>
      <c r="II37" s="362"/>
      <c r="IJ37" s="362"/>
      <c r="IK37" s="362"/>
      <c r="IL37" s="362"/>
      <c r="IM37" s="362"/>
      <c r="IN37" s="362"/>
      <c r="IO37" s="362"/>
      <c r="IP37" s="362"/>
      <c r="IQ37" s="362"/>
      <c r="IR37" s="362"/>
      <c r="IS37" s="362"/>
      <c r="IT37" s="362"/>
      <c r="IU37" s="362"/>
    </row>
    <row r="38" spans="1:255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083" t="s">
        <v>344</v>
      </c>
      <c r="Q38" s="1100" t="s">
        <v>596</v>
      </c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101"/>
      <c r="AC38" s="362"/>
      <c r="AD38" s="362"/>
      <c r="AE38" s="362"/>
      <c r="AF38" s="362"/>
      <c r="AG38" s="362"/>
      <c r="AH38" s="362"/>
      <c r="AI38" s="362"/>
      <c r="AJ38" s="362"/>
      <c r="AK38" s="362"/>
      <c r="AL38" s="362"/>
      <c r="AM38" s="362"/>
      <c r="AN38" s="362"/>
      <c r="AO38" s="362"/>
      <c r="AP38" s="362"/>
      <c r="AQ38" s="362"/>
      <c r="AR38" s="362"/>
      <c r="AS38" s="362"/>
      <c r="AT38" s="362"/>
      <c r="AU38" s="362"/>
      <c r="AV38" s="362"/>
      <c r="AW38" s="362"/>
      <c r="AX38" s="362"/>
      <c r="AY38" s="362"/>
      <c r="AZ38" s="2"/>
      <c r="BA38" s="1076"/>
      <c r="BB38" s="362"/>
      <c r="BC38" s="362"/>
      <c r="BD38" s="362"/>
      <c r="BE38" s="362"/>
      <c r="BF38" s="362"/>
      <c r="BG38" s="362"/>
      <c r="BH38" s="362"/>
      <c r="BI38" s="362"/>
      <c r="BJ38" s="362"/>
      <c r="BK38" s="362"/>
      <c r="BL38" s="362"/>
      <c r="BM38" s="362"/>
      <c r="BN38" s="362"/>
      <c r="BO38" s="362"/>
      <c r="BP38" s="36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362"/>
      <c r="CB38" s="362"/>
      <c r="CC38" s="362"/>
      <c r="CD38" s="362"/>
      <c r="CE38" s="362"/>
      <c r="CF38" s="362"/>
      <c r="CG38" s="362"/>
      <c r="CH38" s="362"/>
      <c r="CI38" s="362"/>
      <c r="CJ38" s="362"/>
      <c r="CK38" s="362"/>
      <c r="CL38" s="362"/>
      <c r="CM38" s="362"/>
      <c r="CN38" s="362"/>
      <c r="CO38" s="362"/>
      <c r="CP38" s="362"/>
      <c r="CQ38" s="362"/>
      <c r="CR38" s="362"/>
      <c r="CS38" s="362"/>
      <c r="CT38" s="362"/>
      <c r="CU38" s="362"/>
      <c r="CV38" s="362"/>
      <c r="CW38" s="362"/>
      <c r="CX38" s="362"/>
      <c r="CY38" s="362"/>
      <c r="CZ38" s="362"/>
      <c r="DA38" s="362"/>
      <c r="DB38" s="362"/>
      <c r="DC38" s="362"/>
      <c r="DD38" s="362"/>
      <c r="DE38" s="362"/>
      <c r="DF38" s="362"/>
      <c r="DG38" s="362"/>
      <c r="DH38" s="362"/>
      <c r="DI38" s="362"/>
      <c r="DJ38" s="362"/>
      <c r="DK38" s="362"/>
      <c r="DL38" s="362"/>
      <c r="DM38" s="362"/>
      <c r="DN38" s="362"/>
      <c r="DO38" s="362"/>
      <c r="DP38" s="362"/>
      <c r="DQ38" s="362"/>
      <c r="DR38" s="362"/>
      <c r="DS38" s="362"/>
      <c r="DT38" s="362"/>
      <c r="DU38" s="362"/>
      <c r="DV38" s="362"/>
      <c r="DW38" s="362"/>
      <c r="DX38" s="362"/>
      <c r="DY38" s="362"/>
      <c r="DZ38" s="362"/>
      <c r="EA38" s="362"/>
      <c r="EB38" s="362"/>
      <c r="EC38" s="362"/>
      <c r="ED38" s="362"/>
      <c r="EE38" s="362"/>
      <c r="EF38" s="362"/>
      <c r="EG38" s="362"/>
      <c r="EH38" s="362"/>
      <c r="EI38" s="362"/>
      <c r="EJ38" s="362"/>
      <c r="EK38" s="362"/>
      <c r="EL38" s="362"/>
      <c r="EM38" s="362"/>
      <c r="EN38" s="362"/>
      <c r="EO38" s="362"/>
      <c r="EP38" s="362"/>
      <c r="EQ38" s="362"/>
      <c r="ER38" s="362"/>
      <c r="ES38" s="362"/>
      <c r="ET38" s="362"/>
      <c r="EU38" s="362"/>
      <c r="EV38" s="362"/>
      <c r="EW38" s="362"/>
      <c r="EX38" s="362"/>
      <c r="EY38" s="362"/>
      <c r="EZ38" s="362"/>
      <c r="FA38" s="362"/>
      <c r="FB38" s="362"/>
      <c r="FC38" s="362"/>
      <c r="FD38" s="362"/>
      <c r="FE38" s="362"/>
      <c r="FF38" s="362"/>
      <c r="FG38" s="362"/>
      <c r="FH38" s="362"/>
      <c r="FI38" s="362"/>
      <c r="FJ38" s="362"/>
      <c r="FK38" s="362"/>
      <c r="FL38" s="362"/>
      <c r="FM38" s="362"/>
      <c r="FN38" s="362"/>
      <c r="FO38" s="362"/>
      <c r="FP38" s="362"/>
      <c r="FQ38" s="362"/>
      <c r="FR38" s="362"/>
      <c r="FS38" s="362"/>
      <c r="FT38" s="362"/>
      <c r="FU38" s="362"/>
      <c r="FV38" s="362"/>
      <c r="FW38" s="362"/>
      <c r="FX38" s="362"/>
      <c r="FY38" s="362"/>
      <c r="FZ38" s="362"/>
      <c r="GA38" s="362"/>
      <c r="GB38" s="362"/>
      <c r="GC38" s="362"/>
      <c r="GD38" s="362"/>
      <c r="GE38" s="362"/>
      <c r="GF38" s="362"/>
      <c r="GG38" s="362"/>
      <c r="GH38" s="362"/>
      <c r="GI38" s="362"/>
      <c r="GJ38" s="362"/>
      <c r="GK38" s="362"/>
      <c r="GL38" s="362"/>
      <c r="GM38" s="362"/>
      <c r="GN38" s="362"/>
      <c r="GO38" s="362"/>
      <c r="GP38" s="362"/>
      <c r="GQ38" s="362"/>
      <c r="GR38" s="362"/>
      <c r="GS38" s="362"/>
      <c r="GT38" s="362"/>
      <c r="GU38" s="362"/>
      <c r="GV38" s="362"/>
      <c r="GW38" s="362"/>
      <c r="GX38" s="362"/>
      <c r="GY38" s="362"/>
      <c r="GZ38" s="362"/>
      <c r="HA38" s="362"/>
      <c r="HB38" s="362"/>
      <c r="HC38" s="362"/>
      <c r="HD38" s="362"/>
      <c r="HE38" s="362"/>
      <c r="HF38" s="362"/>
      <c r="HG38" s="362"/>
      <c r="HH38" s="362"/>
      <c r="HI38" s="362"/>
      <c r="HJ38" s="362"/>
      <c r="HK38" s="362"/>
      <c r="HL38" s="362"/>
      <c r="HM38" s="362"/>
      <c r="HN38" s="362"/>
      <c r="HO38" s="362"/>
      <c r="HP38" s="362"/>
      <c r="HQ38" s="362"/>
      <c r="HR38" s="362"/>
      <c r="HS38" s="362"/>
      <c r="HT38" s="362"/>
      <c r="HU38" s="362"/>
      <c r="HV38" s="362"/>
      <c r="HW38" s="362"/>
      <c r="HX38" s="362"/>
      <c r="HY38" s="362"/>
      <c r="HZ38" s="362"/>
      <c r="IA38" s="362"/>
      <c r="IB38" s="362"/>
      <c r="IC38" s="362"/>
      <c r="ID38" s="362"/>
      <c r="IE38" s="362"/>
      <c r="IF38" s="362"/>
      <c r="IG38" s="362"/>
      <c r="IH38" s="362"/>
      <c r="II38" s="362"/>
      <c r="IJ38" s="362"/>
      <c r="IK38" s="362"/>
      <c r="IL38" s="362"/>
      <c r="IM38" s="362"/>
      <c r="IN38" s="362"/>
      <c r="IO38" s="362"/>
      <c r="IP38" s="362"/>
      <c r="IQ38" s="362"/>
      <c r="IR38" s="362"/>
      <c r="IS38" s="362"/>
      <c r="IT38" s="362"/>
      <c r="IU38" s="362"/>
    </row>
    <row r="39" spans="1:255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>
        <f>IF(E46&lt;=38036,E46,"REVER")</f>
        <v>0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089" t="s">
        <v>694</v>
      </c>
      <c r="Q39" s="2">
        <v>3</v>
      </c>
      <c r="R39" s="2">
        <v>6</v>
      </c>
      <c r="S39" s="2">
        <v>9</v>
      </c>
      <c r="T39" s="2">
        <v>12</v>
      </c>
      <c r="U39" s="2">
        <v>15</v>
      </c>
      <c r="V39" s="2">
        <v>18</v>
      </c>
      <c r="W39" s="2">
        <v>21</v>
      </c>
      <c r="X39" s="2">
        <v>24</v>
      </c>
      <c r="Y39" s="2">
        <v>27</v>
      </c>
      <c r="Z39" s="2">
        <v>30</v>
      </c>
      <c r="AA39" s="2">
        <v>33</v>
      </c>
      <c r="AB39" s="1102">
        <v>36</v>
      </c>
      <c r="AC39" s="362"/>
      <c r="AD39" s="362"/>
      <c r="AE39" s="362"/>
      <c r="AF39" s="362"/>
      <c r="AG39" s="1096"/>
      <c r="AH39" s="362"/>
      <c r="AI39" s="362"/>
      <c r="AJ39" s="362"/>
      <c r="AK39" s="362"/>
      <c r="AL39" s="362"/>
      <c r="AM39" s="362"/>
      <c r="AN39" s="362"/>
      <c r="AO39" s="362"/>
      <c r="AP39" s="362"/>
      <c r="AQ39" s="362"/>
      <c r="AR39" s="362"/>
      <c r="AS39" s="362"/>
      <c r="AT39" s="362"/>
      <c r="AU39" s="362"/>
      <c r="AV39" s="362"/>
      <c r="AW39" s="362"/>
      <c r="AX39" s="2"/>
      <c r="AY39" s="2"/>
      <c r="AZ39" s="2"/>
      <c r="BA39" s="1076"/>
      <c r="BB39" s="362"/>
      <c r="BC39" s="362"/>
      <c r="BD39" s="362"/>
      <c r="BE39" s="362"/>
      <c r="BF39" s="362"/>
      <c r="BG39" s="362"/>
      <c r="BH39" s="362"/>
      <c r="BI39" s="362"/>
      <c r="BJ39" s="362"/>
      <c r="BK39" s="362"/>
      <c r="BL39" s="362"/>
      <c r="BM39" s="362"/>
      <c r="BN39" s="362"/>
      <c r="BO39" s="362"/>
      <c r="BP39" s="362"/>
      <c r="BQ39" s="362"/>
      <c r="BR39" s="362"/>
      <c r="BS39" s="362"/>
      <c r="BT39" s="362"/>
      <c r="BU39" s="362"/>
      <c r="BV39" s="362"/>
      <c r="BW39" s="362"/>
      <c r="BX39" s="362"/>
      <c r="BY39" s="362"/>
      <c r="BZ39" s="362"/>
      <c r="CA39" s="362"/>
      <c r="CB39" s="362"/>
      <c r="CC39" s="362"/>
      <c r="CD39" s="362"/>
      <c r="CE39" s="362"/>
      <c r="CF39" s="362"/>
      <c r="CG39" s="362"/>
      <c r="CH39" s="362"/>
      <c r="CI39" s="362"/>
      <c r="CJ39" s="362"/>
      <c r="CK39" s="362"/>
      <c r="CL39" s="362"/>
      <c r="CM39" s="362"/>
      <c r="CN39" s="362"/>
      <c r="CO39" s="362"/>
      <c r="CP39" s="362"/>
      <c r="CQ39" s="362"/>
      <c r="CR39" s="362"/>
      <c r="CS39" s="362"/>
      <c r="CT39" s="362"/>
      <c r="CU39" s="362"/>
      <c r="CV39" s="362"/>
      <c r="CW39" s="362"/>
      <c r="CX39" s="362"/>
      <c r="CY39" s="362"/>
      <c r="CZ39" s="362"/>
      <c r="DA39" s="362"/>
      <c r="DB39" s="362"/>
      <c r="DC39" s="362"/>
      <c r="DD39" s="362"/>
      <c r="DE39" s="362"/>
      <c r="DF39" s="362"/>
      <c r="DG39" s="362"/>
      <c r="DH39" s="362"/>
      <c r="DI39" s="362"/>
      <c r="DJ39" s="362"/>
      <c r="DK39" s="362"/>
      <c r="DL39" s="362"/>
      <c r="DM39" s="362"/>
      <c r="DN39" s="362"/>
      <c r="DO39" s="362"/>
      <c r="DP39" s="362"/>
      <c r="DQ39" s="362"/>
      <c r="DR39" s="362"/>
      <c r="DS39" s="362"/>
      <c r="DT39" s="362"/>
      <c r="DU39" s="362"/>
      <c r="DV39" s="362"/>
      <c r="DW39" s="362"/>
      <c r="DX39" s="362"/>
      <c r="DY39" s="362"/>
      <c r="DZ39" s="362"/>
      <c r="EA39" s="362"/>
      <c r="EB39" s="362"/>
      <c r="EC39" s="362"/>
      <c r="ED39" s="362"/>
      <c r="EE39" s="362"/>
      <c r="EF39" s="362"/>
      <c r="EG39" s="362"/>
      <c r="EH39" s="362"/>
      <c r="EI39" s="362"/>
      <c r="EJ39" s="362"/>
      <c r="EK39" s="362"/>
      <c r="EL39" s="362"/>
      <c r="EM39" s="362"/>
      <c r="EN39" s="362"/>
      <c r="EO39" s="362"/>
      <c r="EP39" s="362"/>
      <c r="EQ39" s="362"/>
      <c r="ER39" s="362"/>
      <c r="ES39" s="362"/>
      <c r="ET39" s="362"/>
      <c r="EU39" s="362"/>
      <c r="EV39" s="362"/>
      <c r="EW39" s="362"/>
      <c r="EX39" s="362"/>
      <c r="EY39" s="362"/>
      <c r="EZ39" s="362"/>
      <c r="FA39" s="362"/>
      <c r="FB39" s="362"/>
      <c r="FC39" s="362"/>
      <c r="FD39" s="362"/>
      <c r="FE39" s="362"/>
      <c r="FF39" s="362"/>
      <c r="FG39" s="362"/>
      <c r="FH39" s="362"/>
      <c r="FI39" s="362"/>
      <c r="FJ39" s="362"/>
      <c r="FK39" s="362"/>
      <c r="FL39" s="362"/>
      <c r="FM39" s="362"/>
      <c r="FN39" s="362"/>
      <c r="FO39" s="362"/>
      <c r="FP39" s="362"/>
      <c r="FQ39" s="362"/>
      <c r="FR39" s="362"/>
      <c r="FS39" s="362"/>
      <c r="FT39" s="362"/>
      <c r="FU39" s="362"/>
      <c r="FV39" s="362"/>
      <c r="FW39" s="362"/>
      <c r="FX39" s="362"/>
      <c r="FY39" s="362"/>
      <c r="FZ39" s="362"/>
      <c r="GA39" s="362"/>
      <c r="GB39" s="362"/>
      <c r="GC39" s="362"/>
      <c r="GD39" s="362"/>
      <c r="GE39" s="362"/>
      <c r="GF39" s="362"/>
      <c r="GG39" s="362"/>
      <c r="GH39" s="362"/>
      <c r="GI39" s="362"/>
      <c r="GJ39" s="362"/>
      <c r="GK39" s="362"/>
      <c r="GL39" s="362"/>
      <c r="GM39" s="362"/>
      <c r="GN39" s="362"/>
      <c r="GO39" s="362"/>
      <c r="GP39" s="362"/>
      <c r="GQ39" s="362"/>
      <c r="GR39" s="362"/>
      <c r="GS39" s="362"/>
      <c r="GT39" s="362"/>
      <c r="GU39" s="362"/>
      <c r="GV39" s="362"/>
      <c r="GW39" s="362"/>
      <c r="GX39" s="362"/>
      <c r="GY39" s="362"/>
      <c r="GZ39" s="362"/>
      <c r="HA39" s="362"/>
      <c r="HB39" s="362"/>
      <c r="HC39" s="362"/>
      <c r="HD39" s="362"/>
      <c r="HE39" s="362"/>
      <c r="HF39" s="362"/>
      <c r="HG39" s="362"/>
      <c r="HH39" s="362"/>
      <c r="HI39" s="362"/>
      <c r="HJ39" s="362"/>
      <c r="HK39" s="362"/>
      <c r="HL39" s="362"/>
      <c r="HM39" s="362"/>
      <c r="HN39" s="362"/>
      <c r="HO39" s="362"/>
      <c r="HP39" s="362"/>
      <c r="HQ39" s="362"/>
      <c r="HR39" s="362"/>
      <c r="HS39" s="362"/>
      <c r="HT39" s="362"/>
      <c r="HU39" s="362"/>
      <c r="HV39" s="362"/>
      <c r="HW39" s="362"/>
      <c r="HX39" s="362"/>
      <c r="HY39" s="362"/>
      <c r="HZ39" s="362"/>
      <c r="IA39" s="362"/>
      <c r="IB39" s="362"/>
      <c r="IC39" s="362"/>
      <c r="ID39" s="362"/>
      <c r="IE39" s="362"/>
      <c r="IF39" s="362"/>
      <c r="IG39" s="362"/>
      <c r="IH39" s="362"/>
      <c r="II39" s="362"/>
      <c r="IJ39" s="362"/>
      <c r="IK39" s="362"/>
      <c r="IL39" s="362"/>
      <c r="IM39" s="362"/>
      <c r="IN39" s="362"/>
      <c r="IO39" s="362"/>
      <c r="IP39" s="362"/>
      <c r="IQ39" s="362"/>
      <c r="IR39" s="362"/>
      <c r="IS39" s="362"/>
      <c r="IT39" s="362"/>
      <c r="IU39" s="362"/>
    </row>
    <row r="40" spans="1:255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093" t="s">
        <v>351</v>
      </c>
      <c r="Q40" s="1094">
        <v>0.1</v>
      </c>
      <c r="R40" s="1094">
        <v>0.15</v>
      </c>
      <c r="S40" s="1094">
        <v>0.2</v>
      </c>
      <c r="T40" s="1094">
        <v>0.25</v>
      </c>
      <c r="U40" s="1094">
        <v>0.3</v>
      </c>
      <c r="V40" s="1094">
        <v>0.35</v>
      </c>
      <c r="W40" s="1094">
        <v>0.4</v>
      </c>
      <c r="X40" s="1094">
        <v>0.45</v>
      </c>
      <c r="Y40" s="1094">
        <v>0.5</v>
      </c>
      <c r="Z40" s="1094">
        <v>0.55000000000000004</v>
      </c>
      <c r="AA40" s="1094">
        <v>0.6</v>
      </c>
      <c r="AB40" s="1103">
        <v>0.65</v>
      </c>
      <c r="AC40" s="1090"/>
      <c r="AD40" s="1075"/>
      <c r="AE40" s="1075"/>
      <c r="AF40" s="362"/>
      <c r="AG40" s="362"/>
      <c r="AH40" s="362"/>
      <c r="AI40" s="362"/>
      <c r="AJ40" s="362"/>
      <c r="AK40" s="362"/>
      <c r="AL40" s="362"/>
      <c r="AM40" s="362"/>
      <c r="AN40" s="362"/>
      <c r="AO40" s="362"/>
      <c r="AP40" s="362"/>
      <c r="AQ40" s="362"/>
      <c r="AR40" s="362"/>
      <c r="AS40" s="362"/>
      <c r="AT40" s="362"/>
      <c r="AU40" s="362"/>
      <c r="AV40" s="362"/>
      <c r="AW40" s="362"/>
      <c r="AX40" s="2"/>
      <c r="AY40" s="2"/>
      <c r="AZ40" s="2"/>
      <c r="BA40" s="1076"/>
      <c r="BB40" s="362"/>
      <c r="BC40" s="362"/>
      <c r="BD40" s="362"/>
      <c r="BE40" s="362"/>
      <c r="BF40" s="362"/>
      <c r="BG40" s="362"/>
      <c r="BH40" s="362"/>
      <c r="BI40" s="362"/>
      <c r="BJ40" s="362"/>
      <c r="BK40" s="362"/>
      <c r="BL40" s="362"/>
      <c r="BM40" s="362"/>
      <c r="BN40" s="362"/>
      <c r="BO40" s="362"/>
      <c r="BP40" s="36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362"/>
      <c r="CB40" s="362"/>
      <c r="CC40" s="362"/>
      <c r="CD40" s="362"/>
      <c r="CE40" s="362"/>
      <c r="CF40" s="362"/>
      <c r="CG40" s="362"/>
      <c r="CH40" s="362"/>
      <c r="CI40" s="362"/>
      <c r="CJ40" s="362"/>
      <c r="CK40" s="362"/>
      <c r="CL40" s="362"/>
      <c r="CM40" s="362"/>
      <c r="CN40" s="362"/>
      <c r="CO40" s="362"/>
      <c r="CP40" s="362"/>
      <c r="CQ40" s="362"/>
      <c r="CR40" s="362"/>
      <c r="CS40" s="362"/>
      <c r="CT40" s="362"/>
      <c r="CU40" s="362"/>
      <c r="CV40" s="362"/>
      <c r="CW40" s="362"/>
      <c r="CX40" s="362"/>
      <c r="CY40" s="362"/>
      <c r="CZ40" s="362"/>
      <c r="DA40" s="362"/>
      <c r="DB40" s="362"/>
      <c r="DC40" s="362"/>
      <c r="DD40" s="362"/>
      <c r="DE40" s="362"/>
      <c r="DF40" s="362"/>
      <c r="DG40" s="362"/>
      <c r="DH40" s="362"/>
      <c r="DI40" s="362"/>
      <c r="DJ40" s="362"/>
      <c r="DK40" s="362"/>
      <c r="DL40" s="362"/>
      <c r="DM40" s="362"/>
      <c r="DN40" s="362"/>
      <c r="DO40" s="362"/>
      <c r="DP40" s="362"/>
      <c r="DQ40" s="362"/>
      <c r="DR40" s="362"/>
      <c r="DS40" s="362"/>
      <c r="DT40" s="362"/>
      <c r="DU40" s="362"/>
      <c r="DV40" s="362"/>
      <c r="DW40" s="362"/>
      <c r="DX40" s="362"/>
      <c r="DY40" s="362"/>
      <c r="DZ40" s="362"/>
      <c r="EA40" s="362"/>
      <c r="EB40" s="362"/>
      <c r="EC40" s="362"/>
      <c r="ED40" s="362"/>
      <c r="EE40" s="362"/>
      <c r="EF40" s="362"/>
      <c r="EG40" s="362"/>
      <c r="EH40" s="362"/>
      <c r="EI40" s="362"/>
      <c r="EJ40" s="362"/>
      <c r="EK40" s="362"/>
      <c r="EL40" s="362"/>
      <c r="EM40" s="362"/>
      <c r="EN40" s="362"/>
      <c r="EO40" s="362"/>
      <c r="EP40" s="362"/>
      <c r="EQ40" s="362"/>
      <c r="ER40" s="362"/>
      <c r="ES40" s="362"/>
      <c r="ET40" s="362"/>
      <c r="EU40" s="362"/>
      <c r="EV40" s="362"/>
      <c r="EW40" s="362"/>
      <c r="EX40" s="362"/>
      <c r="EY40" s="362"/>
      <c r="EZ40" s="362"/>
      <c r="FA40" s="362"/>
      <c r="FB40" s="362"/>
      <c r="FC40" s="362"/>
      <c r="FD40" s="362"/>
      <c r="FE40" s="362"/>
      <c r="FF40" s="362"/>
      <c r="FG40" s="362"/>
      <c r="FH40" s="362"/>
      <c r="FI40" s="362"/>
      <c r="FJ40" s="362"/>
      <c r="FK40" s="362"/>
      <c r="FL40" s="362"/>
      <c r="FM40" s="362"/>
      <c r="FN40" s="362"/>
      <c r="FO40" s="362"/>
      <c r="FP40" s="362"/>
      <c r="FQ40" s="362"/>
      <c r="FR40" s="362"/>
      <c r="FS40" s="362"/>
      <c r="FT40" s="362"/>
      <c r="FU40" s="362"/>
      <c r="FV40" s="362"/>
      <c r="FW40" s="362"/>
      <c r="FX40" s="362"/>
      <c r="FY40" s="362"/>
      <c r="FZ40" s="362"/>
      <c r="GA40" s="362"/>
      <c r="GB40" s="362"/>
      <c r="GC40" s="362"/>
      <c r="GD40" s="362"/>
      <c r="GE40" s="362"/>
      <c r="GF40" s="362"/>
      <c r="GG40" s="362"/>
      <c r="GH40" s="362"/>
      <c r="GI40" s="362"/>
      <c r="GJ40" s="362"/>
      <c r="GK40" s="362"/>
      <c r="GL40" s="362"/>
      <c r="GM40" s="362"/>
      <c r="GN40" s="362"/>
      <c r="GO40" s="362"/>
      <c r="GP40" s="362"/>
      <c r="GQ40" s="362"/>
      <c r="GR40" s="362"/>
      <c r="GS40" s="362"/>
      <c r="GT40" s="362"/>
      <c r="GU40" s="362"/>
      <c r="GV40" s="362"/>
      <c r="GW40" s="362"/>
      <c r="GX40" s="362"/>
      <c r="GY40" s="362"/>
      <c r="GZ40" s="362"/>
      <c r="HA40" s="362"/>
      <c r="HB40" s="362"/>
      <c r="HC40" s="362"/>
      <c r="HD40" s="362"/>
      <c r="HE40" s="362"/>
      <c r="HF40" s="362"/>
      <c r="HG40" s="362"/>
      <c r="HH40" s="362"/>
      <c r="HI40" s="362"/>
      <c r="HJ40" s="362"/>
      <c r="HK40" s="362"/>
      <c r="HL40" s="362"/>
      <c r="HM40" s="362"/>
      <c r="HN40" s="362"/>
      <c r="HO40" s="362"/>
      <c r="HP40" s="362"/>
      <c r="HQ40" s="362"/>
      <c r="HR40" s="362"/>
      <c r="HS40" s="362"/>
      <c r="HT40" s="362"/>
      <c r="HU40" s="362"/>
      <c r="HV40" s="362"/>
      <c r="HW40" s="362"/>
      <c r="HX40" s="362"/>
      <c r="HY40" s="362"/>
      <c r="HZ40" s="362"/>
      <c r="IA40" s="362"/>
      <c r="IB40" s="362"/>
      <c r="IC40" s="362"/>
      <c r="ID40" s="362"/>
      <c r="IE40" s="362"/>
      <c r="IF40" s="362"/>
      <c r="IG40" s="362"/>
      <c r="IH40" s="362"/>
      <c r="II40" s="362"/>
      <c r="IJ40" s="362"/>
      <c r="IK40" s="362"/>
      <c r="IL40" s="362"/>
      <c r="IM40" s="362"/>
      <c r="IN40" s="362"/>
      <c r="IO40" s="362"/>
      <c r="IP40" s="362"/>
      <c r="IQ40" s="362"/>
      <c r="IR40" s="362"/>
      <c r="IS40" s="362"/>
      <c r="IT40" s="362"/>
      <c r="IU40" s="362"/>
    </row>
    <row r="41" spans="1:255" x14ac:dyDescent="0.15">
      <c r="A41" s="295"/>
      <c r="B41" s="177" t="s">
        <v>493</v>
      </c>
      <c r="C41" s="178">
        <f>IF(E41&gt;0,IF(E2=B86,E41,IF(E2=B87,E41,IF(E2=B93,E41,))),0)</f>
        <v>12775</v>
      </c>
      <c r="D41" s="178" t="b">
        <f>IF(E41&gt;0,IF(K2=O5,IF(E2=B94,E41,0)),0)</f>
        <v>0</v>
      </c>
      <c r="E41" s="179">
        <f>IF($E$2=B93,IF($G$10="X",(25*365)-$F$37,(30*365)-$F$37),IF($G$10="X",(30*365)-$F$37,(35*365)-$F$37))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P41" s="362"/>
      <c r="Q41" s="362"/>
      <c r="R41" s="362"/>
      <c r="S41" s="362"/>
      <c r="T41" s="362"/>
      <c r="U41" s="362"/>
      <c r="V41" s="362"/>
      <c r="W41" s="362"/>
      <c r="X41" s="362"/>
      <c r="Y41" s="362"/>
      <c r="Z41" s="362"/>
      <c r="AA41" s="362"/>
      <c r="AB41" s="362"/>
      <c r="AC41" s="362"/>
      <c r="AD41" s="362"/>
      <c r="AE41" s="362"/>
      <c r="AF41" s="362"/>
      <c r="AG41" s="362"/>
      <c r="AH41" s="362"/>
      <c r="AI41" s="362"/>
      <c r="AJ41" s="362"/>
      <c r="AK41" s="362"/>
      <c r="AL41" s="362"/>
      <c r="AM41" s="362"/>
      <c r="AN41" s="362"/>
      <c r="AO41" s="362"/>
      <c r="AP41" s="362"/>
      <c r="AQ41" s="362"/>
      <c r="AR41" s="362"/>
      <c r="AS41" s="362"/>
      <c r="AT41" s="362"/>
      <c r="AU41" s="362"/>
      <c r="AV41" s="362"/>
      <c r="AW41" s="362"/>
      <c r="AX41" s="2"/>
      <c r="AY41" s="2"/>
      <c r="AZ41" s="2"/>
      <c r="BA41" s="1076"/>
      <c r="BB41" s="362"/>
      <c r="BC41" s="362"/>
      <c r="BD41" s="362"/>
      <c r="BE41" s="362"/>
      <c r="BF41" s="362"/>
      <c r="BG41" s="362"/>
      <c r="BH41" s="362"/>
      <c r="BI41" s="362"/>
      <c r="BJ41" s="362"/>
      <c r="BK41" s="362"/>
      <c r="BL41" s="362"/>
      <c r="BM41" s="362"/>
      <c r="BN41" s="362"/>
      <c r="BO41" s="362"/>
      <c r="BP41" s="362"/>
      <c r="BQ41" s="362"/>
      <c r="BR41" s="362"/>
      <c r="BS41" s="362"/>
      <c r="BT41" s="362"/>
      <c r="BU41" s="362"/>
      <c r="BV41" s="362"/>
      <c r="BW41" s="362"/>
      <c r="BX41" s="362"/>
      <c r="BY41" s="362"/>
      <c r="BZ41" s="362"/>
      <c r="CA41" s="362"/>
      <c r="CB41" s="362"/>
      <c r="CC41" s="362"/>
      <c r="CD41" s="362"/>
      <c r="CE41" s="362"/>
      <c r="CF41" s="362"/>
      <c r="CG41" s="362"/>
      <c r="CH41" s="362"/>
      <c r="CI41" s="362"/>
      <c r="CJ41" s="362"/>
      <c r="CK41" s="362"/>
      <c r="CL41" s="362"/>
      <c r="CM41" s="362"/>
      <c r="CN41" s="362"/>
      <c r="CO41" s="362"/>
      <c r="CP41" s="362"/>
      <c r="CQ41" s="362"/>
      <c r="CR41" s="362"/>
      <c r="CS41" s="362"/>
      <c r="CT41" s="362"/>
      <c r="CU41" s="362"/>
      <c r="CV41" s="362"/>
      <c r="CW41" s="362"/>
      <c r="CX41" s="362"/>
      <c r="CY41" s="362"/>
      <c r="CZ41" s="362"/>
      <c r="DA41" s="362"/>
      <c r="DB41" s="362"/>
      <c r="DC41" s="362"/>
      <c r="DD41" s="362"/>
      <c r="DE41" s="362"/>
      <c r="DF41" s="362"/>
      <c r="DG41" s="362"/>
      <c r="DH41" s="362"/>
      <c r="DI41" s="362"/>
      <c r="DJ41" s="362"/>
      <c r="DK41" s="362"/>
      <c r="DL41" s="362"/>
      <c r="DM41" s="362"/>
      <c r="DN41" s="362"/>
      <c r="DO41" s="362"/>
      <c r="DP41" s="362"/>
      <c r="DQ41" s="362"/>
      <c r="DR41" s="362"/>
      <c r="DS41" s="362"/>
      <c r="DT41" s="362"/>
      <c r="DU41" s="362"/>
      <c r="DV41" s="362"/>
      <c r="DW41" s="362"/>
      <c r="DX41" s="362"/>
      <c r="DY41" s="362"/>
      <c r="DZ41" s="362"/>
      <c r="EA41" s="362"/>
      <c r="EB41" s="362"/>
      <c r="EC41" s="362"/>
      <c r="ED41" s="362"/>
      <c r="EE41" s="362"/>
      <c r="EF41" s="362"/>
      <c r="EG41" s="362"/>
      <c r="EH41" s="362"/>
      <c r="EI41" s="362"/>
      <c r="EJ41" s="362"/>
      <c r="EK41" s="362"/>
      <c r="EL41" s="362"/>
      <c r="EM41" s="362"/>
      <c r="EN41" s="362"/>
      <c r="EO41" s="362"/>
      <c r="EP41" s="362"/>
      <c r="EQ41" s="362"/>
      <c r="ER41" s="362"/>
      <c r="ES41" s="362"/>
      <c r="ET41" s="362"/>
      <c r="EU41" s="362"/>
      <c r="EV41" s="362"/>
      <c r="EW41" s="362"/>
      <c r="EX41" s="362"/>
      <c r="EY41" s="362"/>
      <c r="EZ41" s="362"/>
      <c r="FA41" s="362"/>
      <c r="FB41" s="362"/>
      <c r="FC41" s="362"/>
      <c r="FD41" s="362"/>
      <c r="FE41" s="362"/>
      <c r="FF41" s="362"/>
      <c r="FG41" s="362"/>
      <c r="FH41" s="362"/>
      <c r="FI41" s="362"/>
      <c r="FJ41" s="362"/>
      <c r="FK41" s="362"/>
      <c r="FL41" s="362"/>
      <c r="FM41" s="362"/>
      <c r="FN41" s="362"/>
      <c r="FO41" s="362"/>
      <c r="FP41" s="362"/>
      <c r="FQ41" s="362"/>
      <c r="FR41" s="362"/>
      <c r="FS41" s="362"/>
      <c r="FT41" s="362"/>
      <c r="FU41" s="362"/>
      <c r="FV41" s="362"/>
      <c r="FW41" s="362"/>
      <c r="FX41" s="362"/>
      <c r="FY41" s="362"/>
      <c r="FZ41" s="362"/>
      <c r="GA41" s="362"/>
      <c r="GB41" s="362"/>
      <c r="GC41" s="362"/>
      <c r="GD41" s="362"/>
      <c r="GE41" s="362"/>
      <c r="GF41" s="362"/>
      <c r="GG41" s="362"/>
      <c r="GH41" s="362"/>
      <c r="GI41" s="362"/>
      <c r="GJ41" s="362"/>
      <c r="GK41" s="362"/>
      <c r="GL41" s="362"/>
      <c r="GM41" s="362"/>
      <c r="GN41" s="362"/>
      <c r="GO41" s="362"/>
      <c r="GP41" s="362"/>
      <c r="GQ41" s="362"/>
      <c r="GR41" s="362"/>
      <c r="GS41" s="362"/>
      <c r="GT41" s="362"/>
      <c r="GU41" s="362"/>
      <c r="GV41" s="362"/>
      <c r="GW41" s="362"/>
      <c r="GX41" s="362"/>
      <c r="GY41" s="362"/>
      <c r="GZ41" s="362"/>
      <c r="HA41" s="362"/>
      <c r="HB41" s="362"/>
      <c r="HC41" s="362"/>
      <c r="HD41" s="362"/>
      <c r="HE41" s="362"/>
      <c r="HF41" s="362"/>
      <c r="HG41" s="362"/>
      <c r="HH41" s="362"/>
      <c r="HI41" s="362"/>
      <c r="HJ41" s="362"/>
      <c r="HK41" s="362"/>
      <c r="HL41" s="362"/>
      <c r="HM41" s="362"/>
      <c r="HN41" s="362"/>
      <c r="HO41" s="362"/>
      <c r="HP41" s="362"/>
      <c r="HQ41" s="362"/>
      <c r="HR41" s="362"/>
      <c r="HS41" s="362"/>
      <c r="HT41" s="362"/>
      <c r="HU41" s="362"/>
      <c r="HV41" s="362"/>
      <c r="HW41" s="362"/>
      <c r="HX41" s="362"/>
      <c r="HY41" s="362"/>
      <c r="HZ41" s="362"/>
      <c r="IA41" s="362"/>
      <c r="IB41" s="362"/>
      <c r="IC41" s="362"/>
      <c r="ID41" s="362"/>
      <c r="IE41" s="362"/>
      <c r="IF41" s="362"/>
      <c r="IG41" s="362"/>
      <c r="IH41" s="362"/>
      <c r="II41" s="362"/>
      <c r="IJ41" s="362"/>
      <c r="IK41" s="362"/>
      <c r="IL41" s="362"/>
      <c r="IM41" s="362"/>
      <c r="IN41" s="362"/>
      <c r="IO41" s="362"/>
      <c r="IP41" s="362"/>
      <c r="IQ41" s="362"/>
      <c r="IR41" s="362"/>
      <c r="IS41" s="362"/>
      <c r="IT41" s="362"/>
      <c r="IU41" s="362"/>
    </row>
    <row r="42" spans="1:255" x14ac:dyDescent="0.15">
      <c r="A42" s="376">
        <f>IF($K$2=$O$2,0,IF($K$2=$O$3,IF($E$46&lt;$Q$12,IF($D$14="x",$A$44,IF($G$14="x",$A$44,0)),0),$A$44))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CUMPRIR",IF(K2=O5,IF(E2=B94,"HÁ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083" t="s">
        <v>597</v>
      </c>
      <c r="Q42" s="1084">
        <v>3</v>
      </c>
      <c r="R42" s="1084">
        <v>6</v>
      </c>
      <c r="S42" s="1084">
        <v>9</v>
      </c>
      <c r="T42" s="1084">
        <v>12</v>
      </c>
      <c r="U42" s="1084">
        <v>15</v>
      </c>
      <c r="V42" s="1084">
        <v>18</v>
      </c>
      <c r="W42" s="1084">
        <v>21</v>
      </c>
      <c r="X42" s="1084">
        <v>24</v>
      </c>
      <c r="Y42" s="1084">
        <v>27</v>
      </c>
      <c r="Z42" s="1084">
        <v>30</v>
      </c>
      <c r="AA42" s="1084">
        <v>33</v>
      </c>
      <c r="AB42" s="1084">
        <v>36</v>
      </c>
      <c r="AC42" s="1084">
        <v>39</v>
      </c>
      <c r="AD42" s="1084">
        <v>42</v>
      </c>
      <c r="AE42" s="1084">
        <v>45</v>
      </c>
      <c r="AF42" s="1084">
        <v>48</v>
      </c>
      <c r="AG42" s="1097">
        <v>51</v>
      </c>
      <c r="AH42" s="362"/>
      <c r="AI42" s="362"/>
      <c r="AJ42" s="362"/>
      <c r="AK42" s="362"/>
      <c r="AL42" s="362"/>
      <c r="AM42" s="362"/>
      <c r="AN42" s="362"/>
      <c r="AO42" s="362"/>
      <c r="AP42" s="362"/>
      <c r="AQ42" s="362"/>
      <c r="AR42" s="362"/>
      <c r="AS42" s="362"/>
      <c r="AT42" s="362"/>
      <c r="AU42" s="362"/>
      <c r="AV42" s="362"/>
      <c r="AW42" s="362"/>
      <c r="AX42" s="2"/>
      <c r="AY42" s="2"/>
      <c r="AZ42" s="2"/>
      <c r="BA42" s="1076"/>
      <c r="BB42" s="362"/>
      <c r="BC42" s="362"/>
      <c r="BD42" s="362"/>
      <c r="BE42" s="362"/>
      <c r="BF42" s="362"/>
      <c r="BG42" s="362"/>
      <c r="BH42" s="362"/>
      <c r="BI42" s="362"/>
      <c r="BJ42" s="362"/>
      <c r="BK42" s="362"/>
      <c r="BL42" s="362"/>
      <c r="BM42" s="362"/>
      <c r="BN42" s="362"/>
      <c r="BO42" s="362"/>
      <c r="BP42" s="36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362"/>
      <c r="CB42" s="362"/>
      <c r="CC42" s="362"/>
      <c r="CD42" s="362"/>
      <c r="CE42" s="362"/>
      <c r="CF42" s="362"/>
      <c r="CG42" s="362"/>
      <c r="CH42" s="362"/>
      <c r="CI42" s="362"/>
      <c r="CJ42" s="362"/>
      <c r="CK42" s="362"/>
      <c r="CL42" s="362"/>
      <c r="CM42" s="362"/>
      <c r="CN42" s="362"/>
      <c r="CO42" s="362"/>
      <c r="CP42" s="362"/>
      <c r="CQ42" s="362"/>
      <c r="CR42" s="362"/>
      <c r="CS42" s="362"/>
      <c r="CT42" s="362"/>
      <c r="CU42" s="362"/>
      <c r="CV42" s="362"/>
      <c r="CW42" s="362"/>
      <c r="CX42" s="362"/>
      <c r="CY42" s="362"/>
      <c r="CZ42" s="362"/>
      <c r="DA42" s="362"/>
      <c r="DB42" s="362"/>
      <c r="DC42" s="362"/>
      <c r="DD42" s="362"/>
      <c r="DE42" s="362"/>
      <c r="DF42" s="362"/>
      <c r="DG42" s="362"/>
      <c r="DH42" s="362"/>
      <c r="DI42" s="362"/>
      <c r="DJ42" s="362"/>
      <c r="DK42" s="362"/>
      <c r="DL42" s="362"/>
      <c r="DM42" s="362"/>
      <c r="DN42" s="362"/>
      <c r="DO42" s="362"/>
      <c r="DP42" s="362"/>
      <c r="DQ42" s="362"/>
      <c r="DR42" s="362"/>
      <c r="DS42" s="362"/>
      <c r="DT42" s="362"/>
      <c r="DU42" s="362"/>
      <c r="DV42" s="362"/>
      <c r="DW42" s="362"/>
      <c r="DX42" s="362"/>
      <c r="DY42" s="362"/>
      <c r="DZ42" s="362"/>
      <c r="EA42" s="362"/>
      <c r="EB42" s="362"/>
      <c r="EC42" s="362"/>
      <c r="ED42" s="362"/>
      <c r="EE42" s="362"/>
      <c r="EF42" s="362"/>
      <c r="EG42" s="362"/>
      <c r="EH42" s="362"/>
      <c r="EI42" s="362"/>
      <c r="EJ42" s="362"/>
      <c r="EK42" s="362"/>
      <c r="EL42" s="362"/>
      <c r="EM42" s="362"/>
      <c r="EN42" s="362"/>
      <c r="EO42" s="362"/>
      <c r="EP42" s="362"/>
      <c r="EQ42" s="362"/>
      <c r="ER42" s="362"/>
      <c r="ES42" s="362"/>
      <c r="ET42" s="362"/>
      <c r="EU42" s="362"/>
      <c r="EV42" s="362"/>
      <c r="EW42" s="362"/>
      <c r="EX42" s="362"/>
      <c r="EY42" s="362"/>
      <c r="EZ42" s="362"/>
      <c r="FA42" s="362"/>
      <c r="FB42" s="362"/>
      <c r="FC42" s="362"/>
      <c r="FD42" s="362"/>
      <c r="FE42" s="362"/>
      <c r="FF42" s="362"/>
      <c r="FG42" s="362"/>
      <c r="FH42" s="362"/>
      <c r="FI42" s="362"/>
      <c r="FJ42" s="362"/>
      <c r="FK42" s="362"/>
      <c r="FL42" s="362"/>
      <c r="FM42" s="362"/>
      <c r="FN42" s="362"/>
      <c r="FO42" s="362"/>
      <c r="FP42" s="362"/>
      <c r="FQ42" s="362"/>
      <c r="FR42" s="362"/>
      <c r="FS42" s="362"/>
      <c r="FT42" s="362"/>
      <c r="FU42" s="362"/>
      <c r="FV42" s="362"/>
      <c r="FW42" s="362"/>
      <c r="FX42" s="362"/>
      <c r="FY42" s="362"/>
      <c r="FZ42" s="362"/>
      <c r="GA42" s="362"/>
      <c r="GB42" s="362"/>
      <c r="GC42" s="362"/>
      <c r="GD42" s="362"/>
      <c r="GE42" s="362"/>
      <c r="GF42" s="362"/>
      <c r="GG42" s="362"/>
      <c r="GH42" s="362"/>
      <c r="GI42" s="362"/>
      <c r="GJ42" s="362"/>
      <c r="GK42" s="362"/>
      <c r="GL42" s="362"/>
      <c r="GM42" s="362"/>
      <c r="GN42" s="362"/>
      <c r="GO42" s="362"/>
      <c r="GP42" s="362"/>
      <c r="GQ42" s="362"/>
      <c r="GR42" s="362"/>
      <c r="GS42" s="362"/>
      <c r="GT42" s="362"/>
      <c r="GU42" s="362"/>
      <c r="GV42" s="362"/>
      <c r="GW42" s="362"/>
      <c r="GX42" s="362"/>
      <c r="GY42" s="362"/>
      <c r="GZ42" s="362"/>
      <c r="HA42" s="362"/>
      <c r="HB42" s="362"/>
      <c r="HC42" s="362"/>
      <c r="HD42" s="362"/>
      <c r="HE42" s="362"/>
      <c r="HF42" s="362"/>
      <c r="HG42" s="362"/>
      <c r="HH42" s="362"/>
      <c r="HI42" s="362"/>
      <c r="HJ42" s="362"/>
      <c r="HK42" s="362"/>
      <c r="HL42" s="362"/>
      <c r="HM42" s="362"/>
      <c r="HN42" s="362"/>
      <c r="HO42" s="362"/>
      <c r="HP42" s="362"/>
      <c r="HQ42" s="362"/>
      <c r="HR42" s="362"/>
      <c r="HS42" s="362"/>
      <c r="HT42" s="362"/>
      <c r="HU42" s="362"/>
      <c r="HV42" s="362"/>
      <c r="HW42" s="362"/>
      <c r="HX42" s="362"/>
      <c r="HY42" s="362"/>
      <c r="HZ42" s="362"/>
      <c r="IA42" s="362"/>
      <c r="IB42" s="362"/>
      <c r="IC42" s="362"/>
      <c r="ID42" s="362"/>
      <c r="IE42" s="362"/>
      <c r="IF42" s="362"/>
      <c r="IG42" s="362"/>
      <c r="IH42" s="362"/>
      <c r="II42" s="362"/>
      <c r="IJ42" s="362"/>
      <c r="IK42" s="362"/>
      <c r="IL42" s="362"/>
      <c r="IM42" s="362"/>
      <c r="IN42" s="362"/>
      <c r="IO42" s="362"/>
      <c r="IP42" s="362"/>
      <c r="IQ42" s="362"/>
      <c r="IR42" s="362"/>
      <c r="IS42" s="362"/>
      <c r="IT42" s="362"/>
      <c r="IU42" s="362"/>
    </row>
    <row r="43" spans="1:255" x14ac:dyDescent="0.15">
      <c r="A43" s="376">
        <f>IF($K$2=$O$2,0,IF($K$2=$O$4,IF($E$46&lt;$Q$13,$A$44,0),$A$44))</f>
        <v>0</v>
      </c>
      <c r="B43" s="181" t="s">
        <v>496</v>
      </c>
      <c r="C43" s="45"/>
      <c r="D43" s="182"/>
      <c r="E43" s="189">
        <f>IF(E42&gt;0,IF(E2=B93,ROUNDUP(E42*0.4,0),ROUNDUP(E42*0.2,0)),0)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093" t="s">
        <v>351</v>
      </c>
      <c r="Q43" s="1094">
        <v>0.03</v>
      </c>
      <c r="R43" s="1094">
        <v>0.06</v>
      </c>
      <c r="S43" s="1094">
        <v>0.09</v>
      </c>
      <c r="T43" s="1094">
        <v>0.12</v>
      </c>
      <c r="U43" s="1094">
        <v>0.15</v>
      </c>
      <c r="V43" s="1094">
        <v>0.18</v>
      </c>
      <c r="W43" s="1094">
        <v>0.21</v>
      </c>
      <c r="X43" s="1094">
        <v>0.24</v>
      </c>
      <c r="Y43" s="1094">
        <v>0.27</v>
      </c>
      <c r="Z43" s="1094">
        <v>0.3</v>
      </c>
      <c r="AA43" s="1094">
        <v>0.33</v>
      </c>
      <c r="AB43" s="1094">
        <v>0.36</v>
      </c>
      <c r="AC43" s="1094">
        <v>0.39</v>
      </c>
      <c r="AD43" s="1094">
        <v>0.42</v>
      </c>
      <c r="AE43" s="1094">
        <v>0.45</v>
      </c>
      <c r="AF43" s="1094">
        <v>0.48</v>
      </c>
      <c r="AG43" s="1095">
        <v>0.51</v>
      </c>
      <c r="AH43" s="362"/>
      <c r="AI43" s="362"/>
      <c r="AJ43" s="362"/>
      <c r="AK43" s="362"/>
      <c r="AL43" s="362"/>
      <c r="AM43" s="362"/>
      <c r="AN43" s="362"/>
      <c r="AO43" s="362"/>
      <c r="AP43" s="362"/>
      <c r="AQ43" s="362"/>
      <c r="AR43" s="362"/>
      <c r="AS43" s="362"/>
      <c r="AT43" s="362"/>
      <c r="AU43" s="362"/>
      <c r="AV43" s="362"/>
      <c r="AW43" s="362"/>
      <c r="AX43" s="2"/>
      <c r="AY43" s="2"/>
      <c r="AZ43" s="2"/>
      <c r="BA43" s="1076"/>
      <c r="BB43" s="362"/>
      <c r="BC43" s="362"/>
      <c r="BD43" s="362"/>
      <c r="BE43" s="362"/>
      <c r="BF43" s="362"/>
      <c r="BG43" s="362"/>
      <c r="BH43" s="362"/>
      <c r="BI43" s="362"/>
      <c r="BJ43" s="362"/>
      <c r="BK43" s="362"/>
      <c r="BL43" s="362"/>
      <c r="BM43" s="362"/>
      <c r="BN43" s="362"/>
      <c r="BO43" s="362"/>
      <c r="BP43" s="362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362"/>
      <c r="CB43" s="362"/>
      <c r="CC43" s="362"/>
      <c r="CD43" s="362"/>
      <c r="CE43" s="362"/>
      <c r="CF43" s="362"/>
      <c r="CG43" s="362"/>
      <c r="CH43" s="362"/>
      <c r="CI43" s="362"/>
      <c r="CJ43" s="362"/>
      <c r="CK43" s="362"/>
      <c r="CL43" s="362"/>
      <c r="CM43" s="362"/>
      <c r="CN43" s="362"/>
      <c r="CO43" s="362"/>
      <c r="CP43" s="362"/>
      <c r="CQ43" s="362"/>
      <c r="CR43" s="362"/>
      <c r="CS43" s="362"/>
      <c r="CT43" s="362"/>
      <c r="CU43" s="362"/>
      <c r="CV43" s="362"/>
      <c r="CW43" s="362"/>
      <c r="CX43" s="362"/>
      <c r="CY43" s="362"/>
      <c r="CZ43" s="362"/>
      <c r="DA43" s="362"/>
      <c r="DB43" s="362"/>
      <c r="DC43" s="362"/>
      <c r="DD43" s="362"/>
      <c r="DE43" s="362"/>
      <c r="DF43" s="362"/>
      <c r="DG43" s="362"/>
      <c r="DH43" s="362"/>
      <c r="DI43" s="362"/>
      <c r="DJ43" s="362"/>
      <c r="DK43" s="362"/>
      <c r="DL43" s="362"/>
      <c r="DM43" s="362"/>
      <c r="DN43" s="362"/>
      <c r="DO43" s="362"/>
      <c r="DP43" s="362"/>
      <c r="DQ43" s="362"/>
      <c r="DR43" s="362"/>
      <c r="DS43" s="362"/>
      <c r="DT43" s="362"/>
      <c r="DU43" s="362"/>
      <c r="DV43" s="362"/>
      <c r="DW43" s="362"/>
      <c r="DX43" s="362"/>
      <c r="DY43" s="362"/>
      <c r="DZ43" s="362"/>
      <c r="EA43" s="362"/>
      <c r="EB43" s="362"/>
      <c r="EC43" s="362"/>
      <c r="ED43" s="362"/>
      <c r="EE43" s="362"/>
      <c r="EF43" s="362"/>
      <c r="EG43" s="362"/>
      <c r="EH43" s="362"/>
      <c r="EI43" s="362"/>
      <c r="EJ43" s="362"/>
      <c r="EK43" s="362"/>
      <c r="EL43" s="362"/>
      <c r="EM43" s="362"/>
      <c r="EN43" s="362"/>
      <c r="EO43" s="362"/>
      <c r="EP43" s="362"/>
      <c r="EQ43" s="362"/>
      <c r="ER43" s="362"/>
      <c r="ES43" s="362"/>
      <c r="ET43" s="362"/>
      <c r="EU43" s="362"/>
      <c r="EV43" s="362"/>
      <c r="EW43" s="362"/>
      <c r="EX43" s="362"/>
      <c r="EY43" s="362"/>
      <c r="EZ43" s="362"/>
      <c r="FA43" s="362"/>
      <c r="FB43" s="362"/>
      <c r="FC43" s="362"/>
      <c r="FD43" s="362"/>
      <c r="FE43" s="362"/>
      <c r="FF43" s="362"/>
      <c r="FG43" s="362"/>
      <c r="FH43" s="362"/>
      <c r="FI43" s="362"/>
      <c r="FJ43" s="362"/>
      <c r="FK43" s="362"/>
      <c r="FL43" s="362"/>
      <c r="FM43" s="362"/>
      <c r="FN43" s="362"/>
      <c r="FO43" s="362"/>
      <c r="FP43" s="362"/>
      <c r="FQ43" s="362"/>
      <c r="FR43" s="362"/>
      <c r="FS43" s="362"/>
      <c r="FT43" s="362"/>
      <c r="FU43" s="362"/>
      <c r="FV43" s="362"/>
      <c r="FW43" s="362"/>
      <c r="FX43" s="362"/>
      <c r="FY43" s="362"/>
      <c r="FZ43" s="362"/>
      <c r="GA43" s="362"/>
      <c r="GB43" s="362"/>
      <c r="GC43" s="362"/>
      <c r="GD43" s="362"/>
      <c r="GE43" s="362"/>
      <c r="GF43" s="362"/>
      <c r="GG43" s="362"/>
      <c r="GH43" s="362"/>
      <c r="GI43" s="362"/>
      <c r="GJ43" s="362"/>
      <c r="GK43" s="362"/>
      <c r="GL43" s="362"/>
      <c r="GM43" s="362"/>
      <c r="GN43" s="362"/>
      <c r="GO43" s="362"/>
      <c r="GP43" s="362"/>
      <c r="GQ43" s="362"/>
      <c r="GR43" s="362"/>
      <c r="GS43" s="362"/>
      <c r="GT43" s="362"/>
      <c r="GU43" s="362"/>
      <c r="GV43" s="362"/>
      <c r="GW43" s="362"/>
      <c r="GX43" s="362"/>
      <c r="GY43" s="362"/>
      <c r="GZ43" s="362"/>
      <c r="HA43" s="362"/>
      <c r="HB43" s="362"/>
      <c r="HC43" s="362"/>
      <c r="HD43" s="362"/>
      <c r="HE43" s="362"/>
      <c r="HF43" s="362"/>
      <c r="HG43" s="362"/>
      <c r="HH43" s="362"/>
      <c r="HI43" s="362"/>
      <c r="HJ43" s="362"/>
      <c r="HK43" s="362"/>
      <c r="HL43" s="362"/>
      <c r="HM43" s="362"/>
      <c r="HN43" s="362"/>
      <c r="HO43" s="362"/>
      <c r="HP43" s="362"/>
      <c r="HQ43" s="362"/>
      <c r="HR43" s="362"/>
      <c r="HS43" s="362"/>
      <c r="HT43" s="362"/>
      <c r="HU43" s="362"/>
      <c r="HV43" s="362"/>
      <c r="HW43" s="362"/>
      <c r="HX43" s="362"/>
      <c r="HY43" s="362"/>
      <c r="HZ43" s="362"/>
      <c r="IA43" s="362"/>
      <c r="IB43" s="362"/>
      <c r="IC43" s="362"/>
      <c r="ID43" s="362"/>
      <c r="IE43" s="362"/>
      <c r="IF43" s="362"/>
      <c r="IG43" s="362"/>
      <c r="IH43" s="362"/>
      <c r="II43" s="362"/>
      <c r="IJ43" s="362"/>
      <c r="IK43" s="362"/>
      <c r="IL43" s="362"/>
      <c r="IM43" s="362"/>
      <c r="IN43" s="362"/>
      <c r="IO43" s="362"/>
      <c r="IP43" s="362"/>
      <c r="IQ43" s="362"/>
      <c r="IR43" s="362"/>
      <c r="IS43" s="362"/>
      <c r="IT43" s="362"/>
      <c r="IU43" s="362"/>
    </row>
    <row r="44" spans="1:255" ht="15" thickBot="1" x14ac:dyDescent="0.2">
      <c r="A44" s="376">
        <f>IF(AND(C45&gt;=Q11,E46&lt;Q12),A45,0)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P44" s="362"/>
      <c r="Q44" s="362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  <c r="AC44" s="362"/>
      <c r="AD44" s="362"/>
      <c r="AE44" s="362"/>
      <c r="AF44" s="362"/>
      <c r="AG44" s="362"/>
      <c r="AH44" s="362"/>
      <c r="AI44" s="362"/>
      <c r="AJ44" s="362"/>
      <c r="AK44" s="362"/>
      <c r="AL44" s="362"/>
      <c r="AM44" s="362"/>
      <c r="AN44" s="362"/>
      <c r="AO44" s="362"/>
      <c r="AP44" s="362"/>
      <c r="AQ44" s="362"/>
      <c r="AR44" s="362"/>
      <c r="AS44" s="362"/>
      <c r="AT44" s="362"/>
      <c r="AU44" s="362"/>
      <c r="AV44" s="362"/>
      <c r="AW44" s="362"/>
      <c r="AX44" s="2"/>
      <c r="AY44" s="2"/>
      <c r="AZ44" s="2"/>
      <c r="BA44" s="1076"/>
      <c r="BB44" s="362"/>
      <c r="BC44" s="362"/>
      <c r="BD44" s="362"/>
      <c r="BE44" s="362"/>
      <c r="BF44" s="362"/>
      <c r="BG44" s="362"/>
      <c r="BH44" s="362"/>
      <c r="BI44" s="362"/>
      <c r="BJ44" s="362"/>
      <c r="BK44" s="362"/>
      <c r="BL44" s="362"/>
      <c r="BM44" s="362"/>
      <c r="BN44" s="362"/>
      <c r="BO44" s="362"/>
      <c r="BP44" s="36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362"/>
      <c r="CB44" s="362"/>
      <c r="CC44" s="362"/>
      <c r="CD44" s="362"/>
      <c r="CE44" s="362"/>
      <c r="CF44" s="362"/>
      <c r="CG44" s="362"/>
      <c r="CH44" s="362"/>
      <c r="CI44" s="362"/>
      <c r="CJ44" s="362"/>
      <c r="CK44" s="362"/>
      <c r="CL44" s="362"/>
      <c r="CM44" s="362"/>
      <c r="CN44" s="362"/>
      <c r="CO44" s="362"/>
      <c r="CP44" s="362"/>
      <c r="CQ44" s="362"/>
      <c r="CR44" s="362"/>
      <c r="CS44" s="362"/>
      <c r="CT44" s="362"/>
      <c r="CU44" s="362"/>
      <c r="CV44" s="362"/>
      <c r="CW44" s="362"/>
      <c r="CX44" s="362"/>
      <c r="CY44" s="362"/>
      <c r="CZ44" s="362"/>
      <c r="DA44" s="362"/>
      <c r="DB44" s="362"/>
      <c r="DC44" s="362"/>
      <c r="DD44" s="362"/>
      <c r="DE44" s="362"/>
      <c r="DF44" s="362"/>
      <c r="DG44" s="362"/>
      <c r="DH44" s="362"/>
      <c r="DI44" s="362"/>
      <c r="DJ44" s="362"/>
      <c r="DK44" s="362"/>
      <c r="DL44" s="362"/>
      <c r="DM44" s="362"/>
      <c r="DN44" s="362"/>
      <c r="DO44" s="362"/>
      <c r="DP44" s="362"/>
      <c r="DQ44" s="362"/>
      <c r="DR44" s="362"/>
      <c r="DS44" s="362"/>
      <c r="DT44" s="362"/>
      <c r="DU44" s="362"/>
      <c r="DV44" s="362"/>
      <c r="DW44" s="362"/>
      <c r="DX44" s="362"/>
      <c r="DY44" s="362"/>
      <c r="DZ44" s="362"/>
      <c r="EA44" s="362"/>
      <c r="EB44" s="362"/>
      <c r="EC44" s="362"/>
      <c r="ED44" s="362"/>
      <c r="EE44" s="362"/>
      <c r="EF44" s="362"/>
      <c r="EG44" s="362"/>
      <c r="EH44" s="362"/>
      <c r="EI44" s="362"/>
      <c r="EJ44" s="362"/>
      <c r="EK44" s="362"/>
      <c r="EL44" s="362"/>
      <c r="EM44" s="362"/>
      <c r="EN44" s="362"/>
      <c r="EO44" s="362"/>
      <c r="EP44" s="362"/>
      <c r="EQ44" s="362"/>
      <c r="ER44" s="362"/>
      <c r="ES44" s="362"/>
      <c r="ET44" s="362"/>
      <c r="EU44" s="362"/>
      <c r="EV44" s="362"/>
      <c r="EW44" s="362"/>
      <c r="EX44" s="362"/>
      <c r="EY44" s="362"/>
      <c r="EZ44" s="362"/>
      <c r="FA44" s="362"/>
      <c r="FB44" s="362"/>
      <c r="FC44" s="362"/>
      <c r="FD44" s="362"/>
      <c r="FE44" s="362"/>
      <c r="FF44" s="362"/>
      <c r="FG44" s="362"/>
      <c r="FH44" s="362"/>
      <c r="FI44" s="362"/>
      <c r="FJ44" s="362"/>
      <c r="FK44" s="362"/>
      <c r="FL44" s="362"/>
      <c r="FM44" s="362"/>
      <c r="FN44" s="362"/>
      <c r="FO44" s="362"/>
      <c r="FP44" s="362"/>
      <c r="FQ44" s="362"/>
      <c r="FR44" s="362"/>
      <c r="FS44" s="362"/>
      <c r="FT44" s="362"/>
      <c r="FU44" s="362"/>
      <c r="FV44" s="362"/>
      <c r="FW44" s="362"/>
      <c r="FX44" s="362"/>
      <c r="FY44" s="362"/>
      <c r="FZ44" s="362"/>
      <c r="GA44" s="362"/>
      <c r="GB44" s="362"/>
      <c r="GC44" s="362"/>
      <c r="GD44" s="362"/>
      <c r="GE44" s="362"/>
      <c r="GF44" s="362"/>
      <c r="GG44" s="362"/>
      <c r="GH44" s="362"/>
      <c r="GI44" s="362"/>
      <c r="GJ44" s="362"/>
      <c r="GK44" s="362"/>
      <c r="GL44" s="362"/>
      <c r="GM44" s="362"/>
      <c r="GN44" s="362"/>
      <c r="GO44" s="362"/>
      <c r="GP44" s="362"/>
      <c r="GQ44" s="362"/>
      <c r="GR44" s="362"/>
      <c r="GS44" s="362"/>
      <c r="GT44" s="362"/>
      <c r="GU44" s="362"/>
      <c r="GV44" s="362"/>
      <c r="GW44" s="362"/>
      <c r="GX44" s="362"/>
      <c r="GY44" s="362"/>
      <c r="GZ44" s="362"/>
      <c r="HA44" s="362"/>
      <c r="HB44" s="362"/>
      <c r="HC44" s="362"/>
      <c r="HD44" s="362"/>
      <c r="HE44" s="362"/>
      <c r="HF44" s="362"/>
      <c r="HG44" s="362"/>
      <c r="HH44" s="362"/>
      <c r="HI44" s="362"/>
      <c r="HJ44" s="362"/>
      <c r="HK44" s="362"/>
      <c r="HL44" s="362"/>
      <c r="HM44" s="362"/>
      <c r="HN44" s="362"/>
      <c r="HO44" s="362"/>
      <c r="HP44" s="362"/>
      <c r="HQ44" s="362"/>
      <c r="HR44" s="362"/>
      <c r="HS44" s="362"/>
      <c r="HT44" s="362"/>
      <c r="HU44" s="362"/>
      <c r="HV44" s="362"/>
      <c r="HW44" s="362"/>
      <c r="HX44" s="362"/>
      <c r="HY44" s="362"/>
      <c r="HZ44" s="362"/>
      <c r="IA44" s="362"/>
      <c r="IB44" s="362"/>
      <c r="IC44" s="362"/>
      <c r="ID44" s="362"/>
      <c r="IE44" s="362"/>
      <c r="IF44" s="362"/>
      <c r="IG44" s="362"/>
      <c r="IH44" s="362"/>
      <c r="II44" s="362"/>
      <c r="IJ44" s="362"/>
      <c r="IK44" s="362"/>
      <c r="IL44" s="362"/>
      <c r="IM44" s="362"/>
      <c r="IN44" s="362"/>
      <c r="IO44" s="362"/>
      <c r="IP44" s="362"/>
      <c r="IQ44" s="362"/>
      <c r="IR44" s="362"/>
      <c r="IS44" s="362"/>
      <c r="IT44" s="362"/>
      <c r="IU44" s="362"/>
    </row>
    <row r="45" spans="1:255" ht="15" thickBot="1" x14ac:dyDescent="0.2">
      <c r="A45" s="376">
        <f>IF($C$45="REVER",0,IF($E$46="REVER",0,$F$46))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IF(AND(N8&gt;=36145,F47&lt;&gt;0),F46,IF(K2=O2,0,IF(K2=O3,A42,IF(K2=O4,A43,A44))))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083" t="s">
        <v>598</v>
      </c>
      <c r="Q45" s="1084">
        <v>3</v>
      </c>
      <c r="R45" s="1084">
        <v>6</v>
      </c>
      <c r="S45" s="1084">
        <v>9</v>
      </c>
      <c r="T45" s="1084">
        <v>12</v>
      </c>
      <c r="U45" s="1084">
        <v>15</v>
      </c>
      <c r="V45" s="1084">
        <v>18</v>
      </c>
      <c r="W45" s="1084">
        <v>21</v>
      </c>
      <c r="X45" s="1084">
        <v>24</v>
      </c>
      <c r="Y45" s="1084">
        <v>27</v>
      </c>
      <c r="Z45" s="1084">
        <v>30</v>
      </c>
      <c r="AA45" s="1084">
        <v>33</v>
      </c>
      <c r="AB45" s="1097">
        <v>36</v>
      </c>
      <c r="AC45" s="1074"/>
      <c r="AD45" s="1075"/>
      <c r="AE45" s="1075"/>
      <c r="AF45" s="1075"/>
      <c r="AG45" s="1074"/>
      <c r="AH45" s="362"/>
      <c r="AI45" s="362"/>
      <c r="AJ45" s="362"/>
      <c r="AK45" s="362"/>
      <c r="AL45" s="362"/>
      <c r="AM45" s="362"/>
      <c r="AN45" s="362"/>
      <c r="AO45" s="362"/>
      <c r="AP45" s="362"/>
      <c r="AQ45" s="362"/>
      <c r="AR45" s="362"/>
      <c r="AS45" s="362"/>
      <c r="AT45" s="362"/>
      <c r="AU45" s="362"/>
      <c r="AV45" s="362"/>
      <c r="AW45" s="362"/>
      <c r="AX45" s="2"/>
      <c r="AY45" s="2"/>
      <c r="AZ45" s="2"/>
      <c r="BA45" s="1076"/>
      <c r="BB45" s="362"/>
      <c r="BC45" s="362"/>
      <c r="BD45" s="362"/>
      <c r="BE45" s="362"/>
      <c r="BF45" s="362"/>
      <c r="BG45" s="362"/>
      <c r="BH45" s="362"/>
      <c r="BI45" s="362"/>
      <c r="BJ45" s="362"/>
      <c r="BK45" s="362"/>
      <c r="BL45" s="362"/>
      <c r="BM45" s="362"/>
      <c r="BN45" s="362"/>
      <c r="BO45" s="362"/>
      <c r="BP45" s="362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362"/>
      <c r="CB45" s="362"/>
      <c r="CC45" s="362"/>
      <c r="CD45" s="362"/>
      <c r="CE45" s="362"/>
      <c r="CF45" s="362"/>
      <c r="CG45" s="362"/>
      <c r="CH45" s="362"/>
      <c r="CI45" s="362"/>
      <c r="CJ45" s="362"/>
      <c r="CK45" s="362"/>
      <c r="CL45" s="362"/>
      <c r="CM45" s="362"/>
      <c r="CN45" s="362"/>
      <c r="CO45" s="362"/>
      <c r="CP45" s="362"/>
      <c r="CQ45" s="362"/>
      <c r="CR45" s="362"/>
      <c r="CS45" s="362"/>
      <c r="CT45" s="362"/>
      <c r="CU45" s="362"/>
      <c r="CV45" s="362"/>
      <c r="CW45" s="362"/>
      <c r="CX45" s="362"/>
      <c r="CY45" s="362"/>
      <c r="CZ45" s="362"/>
      <c r="DA45" s="362"/>
      <c r="DB45" s="362"/>
      <c r="DC45" s="362"/>
      <c r="DD45" s="362"/>
      <c r="DE45" s="362"/>
      <c r="DF45" s="362"/>
      <c r="DG45" s="362"/>
      <c r="DH45" s="362"/>
      <c r="DI45" s="362"/>
      <c r="DJ45" s="362"/>
      <c r="DK45" s="362"/>
      <c r="DL45" s="362"/>
      <c r="DM45" s="362"/>
      <c r="DN45" s="362"/>
      <c r="DO45" s="362"/>
      <c r="DP45" s="362"/>
      <c r="DQ45" s="362"/>
      <c r="DR45" s="362"/>
      <c r="DS45" s="362"/>
      <c r="DT45" s="362"/>
      <c r="DU45" s="362"/>
      <c r="DV45" s="362"/>
      <c r="DW45" s="362"/>
      <c r="DX45" s="362"/>
      <c r="DY45" s="362"/>
      <c r="DZ45" s="362"/>
      <c r="EA45" s="362"/>
      <c r="EB45" s="362"/>
      <c r="EC45" s="362"/>
      <c r="ED45" s="362"/>
      <c r="EE45" s="362"/>
      <c r="EF45" s="362"/>
      <c r="EG45" s="362"/>
      <c r="EH45" s="362"/>
      <c r="EI45" s="362"/>
      <c r="EJ45" s="362"/>
      <c r="EK45" s="362"/>
      <c r="EL45" s="362"/>
      <c r="EM45" s="362"/>
      <c r="EN45" s="362"/>
      <c r="EO45" s="362"/>
      <c r="EP45" s="362"/>
      <c r="EQ45" s="362"/>
      <c r="ER45" s="362"/>
      <c r="ES45" s="362"/>
      <c r="ET45" s="362"/>
      <c r="EU45" s="362"/>
      <c r="EV45" s="362"/>
      <c r="EW45" s="362"/>
      <c r="EX45" s="362"/>
      <c r="EY45" s="362"/>
      <c r="EZ45" s="362"/>
      <c r="FA45" s="362"/>
      <c r="FB45" s="362"/>
      <c r="FC45" s="362"/>
      <c r="FD45" s="362"/>
      <c r="FE45" s="362"/>
      <c r="FF45" s="362"/>
      <c r="FG45" s="362"/>
      <c r="FH45" s="362"/>
      <c r="FI45" s="362"/>
      <c r="FJ45" s="362"/>
      <c r="FK45" s="362"/>
      <c r="FL45" s="362"/>
      <c r="FM45" s="362"/>
      <c r="FN45" s="362"/>
      <c r="FO45" s="362"/>
      <c r="FP45" s="362"/>
      <c r="FQ45" s="362"/>
      <c r="FR45" s="362"/>
      <c r="FS45" s="362"/>
      <c r="FT45" s="362"/>
      <c r="FU45" s="362"/>
      <c r="FV45" s="362"/>
      <c r="FW45" s="362"/>
      <c r="FX45" s="362"/>
      <c r="FY45" s="362"/>
      <c r="FZ45" s="362"/>
      <c r="GA45" s="362"/>
      <c r="GB45" s="362"/>
      <c r="GC45" s="362"/>
      <c r="GD45" s="362"/>
      <c r="GE45" s="362"/>
      <c r="GF45" s="362"/>
      <c r="GG45" s="362"/>
      <c r="GH45" s="362"/>
      <c r="GI45" s="362"/>
      <c r="GJ45" s="362"/>
      <c r="GK45" s="362"/>
      <c r="GL45" s="362"/>
      <c r="GM45" s="362"/>
      <c r="GN45" s="362"/>
      <c r="GO45" s="362"/>
      <c r="GP45" s="362"/>
      <c r="GQ45" s="362"/>
      <c r="GR45" s="362"/>
      <c r="GS45" s="362"/>
      <c r="GT45" s="362"/>
      <c r="GU45" s="362"/>
      <c r="GV45" s="362"/>
      <c r="GW45" s="362"/>
      <c r="GX45" s="362"/>
      <c r="GY45" s="362"/>
      <c r="GZ45" s="362"/>
      <c r="HA45" s="362"/>
      <c r="HB45" s="362"/>
      <c r="HC45" s="362"/>
      <c r="HD45" s="362"/>
      <c r="HE45" s="362"/>
      <c r="HF45" s="362"/>
      <c r="HG45" s="362"/>
      <c r="HH45" s="362"/>
      <c r="HI45" s="362"/>
      <c r="HJ45" s="362"/>
      <c r="HK45" s="362"/>
      <c r="HL45" s="362"/>
      <c r="HM45" s="362"/>
      <c r="HN45" s="362"/>
      <c r="HO45" s="362"/>
      <c r="HP45" s="362"/>
      <c r="HQ45" s="362"/>
      <c r="HR45" s="362"/>
      <c r="HS45" s="362"/>
      <c r="HT45" s="362"/>
      <c r="HU45" s="362"/>
      <c r="HV45" s="362"/>
      <c r="HW45" s="362"/>
      <c r="HX45" s="362"/>
      <c r="HY45" s="362"/>
      <c r="HZ45" s="362"/>
      <c r="IA45" s="362"/>
      <c r="IB45" s="362"/>
      <c r="IC45" s="362"/>
      <c r="ID45" s="362"/>
      <c r="IE45" s="362"/>
      <c r="IF45" s="362"/>
      <c r="IG45" s="362"/>
      <c r="IH45" s="362"/>
      <c r="II45" s="362"/>
      <c r="IJ45" s="362"/>
      <c r="IK45" s="362"/>
      <c r="IL45" s="362"/>
      <c r="IM45" s="362"/>
      <c r="IN45" s="362"/>
      <c r="IO45" s="362"/>
      <c r="IP45" s="362"/>
      <c r="IQ45" s="362"/>
      <c r="IR45" s="362"/>
      <c r="IS45" s="362"/>
      <c r="IT45" s="362"/>
      <c r="IU45" s="362"/>
    </row>
    <row r="46" spans="1:255" ht="3" customHeight="1" thickBot="1" x14ac:dyDescent="0.2">
      <c r="A46" s="376"/>
      <c r="B46" s="234"/>
      <c r="C46" s="1066"/>
      <c r="D46" s="1262"/>
      <c r="E46" s="1304"/>
      <c r="F46" s="1257">
        <f>IF(AND(C45&lt;&gt;"rever",E45&lt;&gt;"rever"),SUM(F47:F50),0)</f>
        <v>0</v>
      </c>
      <c r="G46" s="1305" t="str">
        <f>IF(AND($E$51&gt;=36145,$E$51&lt;=37985),$E$51,"REVER")</f>
        <v>REVER</v>
      </c>
      <c r="H46" s="1306" t="str">
        <f>IF(AND($E$51&gt;=36145,$E$51&lt;38037),$E$51,"REVER")</f>
        <v>REVER</v>
      </c>
      <c r="J46" s="1254"/>
      <c r="K46" s="1254"/>
      <c r="L46" s="1254"/>
      <c r="M46" s="1263"/>
      <c r="N46" s="1254"/>
      <c r="O46" s="391"/>
      <c r="P46" s="1093" t="s">
        <v>351</v>
      </c>
      <c r="Q46" s="1094">
        <v>0.08</v>
      </c>
      <c r="R46" s="1094">
        <v>0.16</v>
      </c>
      <c r="S46" s="1094">
        <v>0.26</v>
      </c>
      <c r="T46" s="1094">
        <v>0.36</v>
      </c>
      <c r="U46" s="1094">
        <v>0.46</v>
      </c>
      <c r="V46" s="1094">
        <v>0.56000000000000005</v>
      </c>
      <c r="W46" s="1094">
        <v>0.66</v>
      </c>
      <c r="X46" s="1094">
        <v>0.76</v>
      </c>
      <c r="Y46" s="1094">
        <v>0.86</v>
      </c>
      <c r="Z46" s="1094">
        <v>0.96</v>
      </c>
      <c r="AA46" s="1094">
        <v>1.06</v>
      </c>
      <c r="AB46" s="1095">
        <v>1.1599999999999999</v>
      </c>
      <c r="AC46" s="1074"/>
      <c r="AD46" s="1075"/>
      <c r="AE46" s="1075"/>
      <c r="AF46" s="1075"/>
      <c r="AG46" s="1074"/>
      <c r="AH46" s="362"/>
      <c r="AI46" s="362"/>
      <c r="AJ46" s="362"/>
      <c r="AK46" s="362"/>
      <c r="AL46" s="362"/>
      <c r="AM46" s="362"/>
      <c r="AN46" s="362"/>
      <c r="AO46" s="362"/>
      <c r="AP46" s="362"/>
      <c r="AQ46" s="362"/>
      <c r="AR46" s="362"/>
      <c r="AS46" s="362"/>
      <c r="AT46" s="362"/>
      <c r="AU46" s="362"/>
      <c r="AV46" s="362"/>
      <c r="AW46" s="362"/>
      <c r="AX46" s="2"/>
      <c r="AY46" s="2"/>
      <c r="AZ46" s="2"/>
      <c r="BA46" s="1076"/>
      <c r="BB46" s="362"/>
      <c r="BC46" s="362"/>
      <c r="BD46" s="362"/>
      <c r="BE46" s="362"/>
      <c r="BF46" s="362"/>
      <c r="BG46" s="362"/>
      <c r="BH46" s="362"/>
      <c r="BI46" s="362"/>
      <c r="BJ46" s="362"/>
      <c r="BK46" s="362"/>
      <c r="BL46" s="362"/>
      <c r="BM46" s="362"/>
      <c r="BN46" s="362"/>
      <c r="BO46" s="362"/>
      <c r="BP46" s="36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362"/>
      <c r="CB46" s="362"/>
      <c r="CC46" s="362"/>
      <c r="CD46" s="362"/>
      <c r="CE46" s="362"/>
      <c r="CF46" s="362"/>
      <c r="CG46" s="362"/>
      <c r="CH46" s="362"/>
      <c r="CI46" s="362"/>
      <c r="CJ46" s="362"/>
      <c r="CK46" s="362"/>
      <c r="CL46" s="362"/>
      <c r="CM46" s="362"/>
      <c r="CN46" s="362"/>
      <c r="CO46" s="362"/>
      <c r="CP46" s="362"/>
      <c r="CQ46" s="362"/>
      <c r="CR46" s="362"/>
      <c r="CS46" s="362"/>
      <c r="CT46" s="362"/>
      <c r="CU46" s="362"/>
      <c r="CV46" s="362"/>
      <c r="CW46" s="362"/>
      <c r="CX46" s="362"/>
      <c r="CY46" s="362"/>
      <c r="CZ46" s="362"/>
      <c r="DA46" s="362"/>
      <c r="DB46" s="362"/>
      <c r="DC46" s="362"/>
      <c r="DD46" s="362"/>
      <c r="DE46" s="362"/>
      <c r="DF46" s="362"/>
      <c r="DG46" s="362"/>
      <c r="DH46" s="362"/>
      <c r="DI46" s="362"/>
      <c r="DJ46" s="362"/>
      <c r="DK46" s="362"/>
      <c r="DL46" s="362"/>
      <c r="DM46" s="362"/>
      <c r="DN46" s="362"/>
      <c r="DO46" s="362"/>
      <c r="DP46" s="362"/>
      <c r="DQ46" s="362"/>
      <c r="DR46" s="362"/>
      <c r="DS46" s="362"/>
      <c r="DT46" s="362"/>
      <c r="DU46" s="362"/>
      <c r="DV46" s="362"/>
      <c r="DW46" s="362"/>
      <c r="DX46" s="362"/>
      <c r="DY46" s="362"/>
      <c r="DZ46" s="362"/>
      <c r="EA46" s="362"/>
      <c r="EB46" s="362"/>
      <c r="EC46" s="362"/>
      <c r="ED46" s="362"/>
      <c r="EE46" s="362"/>
      <c r="EF46" s="362"/>
      <c r="EG46" s="362"/>
      <c r="EH46" s="362"/>
      <c r="EI46" s="362"/>
      <c r="EJ46" s="362"/>
      <c r="EK46" s="362"/>
      <c r="EL46" s="362"/>
      <c r="EM46" s="362"/>
      <c r="EN46" s="362"/>
      <c r="EO46" s="362"/>
      <c r="EP46" s="362"/>
      <c r="EQ46" s="362"/>
      <c r="ER46" s="362"/>
      <c r="ES46" s="362"/>
      <c r="ET46" s="362"/>
      <c r="EU46" s="362"/>
      <c r="EV46" s="362"/>
      <c r="EW46" s="362"/>
      <c r="EX46" s="362"/>
      <c r="EY46" s="362"/>
      <c r="EZ46" s="362"/>
      <c r="FA46" s="362"/>
      <c r="FB46" s="362"/>
      <c r="FC46" s="362"/>
      <c r="FD46" s="362"/>
      <c r="FE46" s="362"/>
      <c r="FF46" s="362"/>
      <c r="FG46" s="362"/>
      <c r="FH46" s="362"/>
      <c r="FI46" s="362"/>
      <c r="FJ46" s="362"/>
      <c r="FK46" s="362"/>
      <c r="FL46" s="362"/>
      <c r="FM46" s="362"/>
      <c r="FN46" s="362"/>
      <c r="FO46" s="362"/>
      <c r="FP46" s="362"/>
      <c r="FQ46" s="362"/>
      <c r="FR46" s="362"/>
      <c r="FS46" s="362"/>
      <c r="FT46" s="362"/>
      <c r="FU46" s="362"/>
      <c r="FV46" s="362"/>
      <c r="FW46" s="362"/>
      <c r="FX46" s="362"/>
      <c r="FY46" s="362"/>
      <c r="FZ46" s="362"/>
      <c r="GA46" s="362"/>
      <c r="GB46" s="362"/>
      <c r="GC46" s="362"/>
      <c r="GD46" s="362"/>
      <c r="GE46" s="362"/>
      <c r="GF46" s="362"/>
      <c r="GG46" s="362"/>
      <c r="GH46" s="362"/>
      <c r="GI46" s="362"/>
      <c r="GJ46" s="362"/>
      <c r="GK46" s="362"/>
      <c r="GL46" s="362"/>
      <c r="GM46" s="362"/>
      <c r="GN46" s="362"/>
      <c r="GO46" s="362"/>
      <c r="GP46" s="362"/>
      <c r="GQ46" s="362"/>
      <c r="GR46" s="362"/>
      <c r="GS46" s="362"/>
      <c r="GT46" s="362"/>
      <c r="GU46" s="362"/>
      <c r="GV46" s="362"/>
      <c r="GW46" s="362"/>
      <c r="GX46" s="362"/>
      <c r="GY46" s="362"/>
      <c r="GZ46" s="362"/>
      <c r="HA46" s="362"/>
      <c r="HB46" s="362"/>
      <c r="HC46" s="362"/>
      <c r="HD46" s="362"/>
      <c r="HE46" s="362"/>
      <c r="HF46" s="362"/>
      <c r="HG46" s="362"/>
      <c r="HH46" s="362"/>
      <c r="HI46" s="362"/>
      <c r="HJ46" s="362"/>
      <c r="HK46" s="362"/>
      <c r="HL46" s="362"/>
      <c r="HM46" s="362"/>
      <c r="HN46" s="362"/>
      <c r="HO46" s="362"/>
      <c r="HP46" s="362"/>
      <c r="HQ46" s="362"/>
      <c r="HR46" s="362"/>
      <c r="HS46" s="362"/>
      <c r="HT46" s="362"/>
      <c r="HU46" s="362"/>
      <c r="HV46" s="362"/>
      <c r="HW46" s="362"/>
      <c r="HX46" s="362"/>
      <c r="HY46" s="362"/>
      <c r="HZ46" s="362"/>
      <c r="IA46" s="362"/>
      <c r="IB46" s="362"/>
      <c r="IC46" s="362"/>
      <c r="ID46" s="362"/>
      <c r="IE46" s="362"/>
      <c r="IF46" s="362"/>
      <c r="IG46" s="362"/>
      <c r="IH46" s="362"/>
      <c r="II46" s="362"/>
      <c r="IJ46" s="362"/>
      <c r="IK46" s="362"/>
      <c r="IL46" s="362"/>
      <c r="IM46" s="362"/>
      <c r="IN46" s="362"/>
      <c r="IO46" s="362"/>
      <c r="IP46" s="362"/>
      <c r="IQ46" s="362"/>
      <c r="IR46" s="362"/>
      <c r="IS46" s="362"/>
      <c r="IT46" s="362"/>
      <c r="IU46" s="362"/>
    </row>
    <row r="47" spans="1:255" x14ac:dyDescent="0.15">
      <c r="A47" s="376"/>
      <c r="B47" s="151" t="s">
        <v>335</v>
      </c>
      <c r="C47" s="738">
        <f>CRÍTICA_IGP1!C47</f>
        <v>0</v>
      </c>
      <c r="D47" s="170" t="s">
        <v>336</v>
      </c>
      <c r="E47" s="738">
        <f>CRÍTICA_IGP1!E47</f>
        <v>0</v>
      </c>
      <c r="F47" s="1264">
        <f>CRÍTICA_IGP1!F47</f>
        <v>0</v>
      </c>
      <c r="G47" s="296" t="s">
        <v>337</v>
      </c>
      <c r="H47" s="118"/>
      <c r="I47" s="118"/>
      <c r="J47" s="740">
        <f>CRÍTICA_IGP1!J47</f>
        <v>0</v>
      </c>
      <c r="K47" s="180"/>
      <c r="L47" s="180" t="s">
        <v>524</v>
      </c>
      <c r="M47" s="118"/>
      <c r="N47" s="740">
        <f>CRÍTICA_IGP1!N47</f>
        <v>0</v>
      </c>
      <c r="O47" s="391"/>
      <c r="P47" s="1080"/>
      <c r="Q47" s="1096"/>
      <c r="R47" s="1096"/>
      <c r="S47" s="1096"/>
      <c r="T47" s="1096"/>
      <c r="U47" s="1096"/>
      <c r="V47" s="1096"/>
      <c r="W47" s="1096"/>
      <c r="X47" s="1096"/>
      <c r="Y47" s="1096"/>
      <c r="Z47" s="1096"/>
      <c r="AA47" s="1096"/>
      <c r="AB47" s="2"/>
      <c r="AC47" s="1074"/>
      <c r="AD47" s="1075"/>
      <c r="AE47" s="1075"/>
      <c r="AF47" s="1075"/>
      <c r="AG47" s="1074"/>
      <c r="AH47" s="362"/>
      <c r="AI47" s="362"/>
      <c r="AJ47" s="362"/>
      <c r="AK47" s="362"/>
      <c r="AL47" s="362"/>
      <c r="AM47" s="362"/>
      <c r="AN47" s="362"/>
      <c r="AO47" s="362"/>
      <c r="AP47" s="362"/>
      <c r="AQ47" s="362"/>
      <c r="AR47" s="362"/>
      <c r="AS47" s="362"/>
      <c r="AT47" s="362"/>
      <c r="AU47" s="362"/>
      <c r="AV47" s="362"/>
      <c r="AW47" s="362"/>
      <c r="AX47" s="2"/>
      <c r="AY47" s="2"/>
      <c r="AZ47" s="2"/>
      <c r="BA47" s="1076"/>
      <c r="BB47" s="362"/>
      <c r="BC47" s="362"/>
      <c r="BD47" s="362"/>
      <c r="BE47" s="362"/>
      <c r="BF47" s="362"/>
      <c r="BG47" s="362"/>
      <c r="BH47" s="362"/>
      <c r="BI47" s="362"/>
      <c r="BJ47" s="362"/>
      <c r="BK47" s="362"/>
      <c r="BL47" s="362"/>
      <c r="BM47" s="362"/>
      <c r="BN47" s="362"/>
      <c r="BO47" s="362"/>
      <c r="BP47" s="362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362"/>
      <c r="CB47" s="362"/>
      <c r="CC47" s="362"/>
      <c r="CD47" s="362"/>
      <c r="CE47" s="362"/>
      <c r="CF47" s="362"/>
      <c r="CG47" s="362"/>
      <c r="CH47" s="362"/>
      <c r="CI47" s="362"/>
      <c r="CJ47" s="362"/>
      <c r="CK47" s="362"/>
      <c r="CL47" s="362"/>
      <c r="CM47" s="362"/>
      <c r="CN47" s="362"/>
      <c r="CO47" s="362"/>
      <c r="CP47" s="362"/>
      <c r="CQ47" s="362"/>
      <c r="CR47" s="362"/>
      <c r="CS47" s="362"/>
      <c r="CT47" s="362"/>
      <c r="CU47" s="362"/>
      <c r="CV47" s="362"/>
      <c r="CW47" s="362"/>
      <c r="CX47" s="362"/>
      <c r="CY47" s="362"/>
      <c r="CZ47" s="362"/>
      <c r="DA47" s="362"/>
      <c r="DB47" s="362"/>
      <c r="DC47" s="362"/>
      <c r="DD47" s="362"/>
      <c r="DE47" s="362"/>
      <c r="DF47" s="362"/>
      <c r="DG47" s="362"/>
      <c r="DH47" s="362"/>
      <c r="DI47" s="362"/>
      <c r="DJ47" s="362"/>
      <c r="DK47" s="362"/>
      <c r="DL47" s="362"/>
      <c r="DM47" s="362"/>
      <c r="DN47" s="362"/>
      <c r="DO47" s="362"/>
      <c r="DP47" s="362"/>
      <c r="DQ47" s="362"/>
      <c r="DR47" s="362"/>
      <c r="DS47" s="362"/>
      <c r="DT47" s="362"/>
      <c r="DU47" s="362"/>
      <c r="DV47" s="362"/>
      <c r="DW47" s="362"/>
      <c r="DX47" s="362"/>
      <c r="DY47" s="362"/>
      <c r="DZ47" s="362"/>
      <c r="EA47" s="362"/>
      <c r="EB47" s="362"/>
      <c r="EC47" s="362"/>
      <c r="ED47" s="362"/>
      <c r="EE47" s="362"/>
      <c r="EF47" s="362"/>
      <c r="EG47" s="362"/>
      <c r="EH47" s="362"/>
      <c r="EI47" s="362"/>
      <c r="EJ47" s="362"/>
      <c r="EK47" s="362"/>
      <c r="EL47" s="362"/>
      <c r="EM47" s="362"/>
      <c r="EN47" s="362"/>
      <c r="EO47" s="362"/>
      <c r="EP47" s="362"/>
      <c r="EQ47" s="362"/>
      <c r="ER47" s="362"/>
      <c r="ES47" s="362"/>
      <c r="ET47" s="362"/>
      <c r="EU47" s="362"/>
      <c r="EV47" s="362"/>
      <c r="EW47" s="362"/>
      <c r="EX47" s="362"/>
      <c r="EY47" s="362"/>
      <c r="EZ47" s="362"/>
      <c r="FA47" s="362"/>
      <c r="FB47" s="362"/>
      <c r="FC47" s="362"/>
      <c r="FD47" s="362"/>
      <c r="FE47" s="362"/>
      <c r="FF47" s="362"/>
      <c r="FG47" s="362"/>
      <c r="FH47" s="362"/>
      <c r="FI47" s="362"/>
      <c r="FJ47" s="362"/>
      <c r="FK47" s="362"/>
      <c r="FL47" s="362"/>
      <c r="FM47" s="362"/>
      <c r="FN47" s="362"/>
      <c r="FO47" s="362"/>
      <c r="FP47" s="362"/>
      <c r="FQ47" s="362"/>
      <c r="FR47" s="362"/>
      <c r="FS47" s="362"/>
      <c r="FT47" s="362"/>
      <c r="FU47" s="362"/>
      <c r="FV47" s="362"/>
      <c r="FW47" s="362"/>
      <c r="FX47" s="362"/>
      <c r="FY47" s="362"/>
      <c r="FZ47" s="362"/>
      <c r="GA47" s="362"/>
      <c r="GB47" s="362"/>
      <c r="GC47" s="362"/>
      <c r="GD47" s="362"/>
      <c r="GE47" s="362"/>
      <c r="GF47" s="362"/>
      <c r="GG47" s="362"/>
      <c r="GH47" s="362"/>
      <c r="GI47" s="362"/>
      <c r="GJ47" s="362"/>
      <c r="GK47" s="362"/>
      <c r="GL47" s="362"/>
      <c r="GM47" s="362"/>
      <c r="GN47" s="362"/>
      <c r="GO47" s="362"/>
      <c r="GP47" s="362"/>
      <c r="GQ47" s="362"/>
      <c r="GR47" s="362"/>
      <c r="GS47" s="362"/>
      <c r="GT47" s="362"/>
      <c r="GU47" s="362"/>
      <c r="GV47" s="362"/>
      <c r="GW47" s="362"/>
      <c r="GX47" s="362"/>
      <c r="GY47" s="362"/>
      <c r="GZ47" s="362"/>
      <c r="HA47" s="362"/>
      <c r="HB47" s="362"/>
      <c r="HC47" s="362"/>
      <c r="HD47" s="362"/>
      <c r="HE47" s="362"/>
      <c r="HF47" s="362"/>
      <c r="HG47" s="362"/>
      <c r="HH47" s="362"/>
      <c r="HI47" s="362"/>
      <c r="HJ47" s="362"/>
      <c r="HK47" s="362"/>
      <c r="HL47" s="362"/>
      <c r="HM47" s="362"/>
      <c r="HN47" s="362"/>
      <c r="HO47" s="362"/>
      <c r="HP47" s="362"/>
      <c r="HQ47" s="362"/>
      <c r="HR47" s="362"/>
      <c r="HS47" s="362"/>
      <c r="HT47" s="362"/>
      <c r="HU47" s="362"/>
      <c r="HV47" s="362"/>
      <c r="HW47" s="362"/>
      <c r="HX47" s="362"/>
      <c r="HY47" s="362"/>
      <c r="HZ47" s="362"/>
      <c r="IA47" s="362"/>
      <c r="IB47" s="362"/>
      <c r="IC47" s="362"/>
      <c r="ID47" s="362"/>
      <c r="IE47" s="362"/>
      <c r="IF47" s="362"/>
      <c r="IG47" s="362"/>
      <c r="IH47" s="362"/>
      <c r="II47" s="362"/>
      <c r="IJ47" s="362"/>
      <c r="IK47" s="362"/>
      <c r="IL47" s="362"/>
      <c r="IM47" s="362"/>
      <c r="IN47" s="362"/>
      <c r="IO47" s="362"/>
      <c r="IP47" s="362"/>
      <c r="IQ47" s="362"/>
      <c r="IR47" s="362"/>
      <c r="IS47" s="362"/>
      <c r="IT47" s="362"/>
      <c r="IU47" s="362"/>
    </row>
    <row r="48" spans="1:255" x14ac:dyDescent="0.15">
      <c r="A48" s="376"/>
      <c r="B48" s="149" t="s">
        <v>338</v>
      </c>
      <c r="C48" s="738">
        <f>CRÍTICA_IGP1!C48</f>
        <v>0</v>
      </c>
      <c r="D48" s="170" t="s">
        <v>336</v>
      </c>
      <c r="E48" s="738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298"/>
      <c r="O48" s="391"/>
      <c r="P48" s="1083" t="s">
        <v>600</v>
      </c>
      <c r="Q48" s="1084">
        <v>3</v>
      </c>
      <c r="R48" s="1084">
        <v>6</v>
      </c>
      <c r="S48" s="1084">
        <v>9</v>
      </c>
      <c r="T48" s="1084">
        <v>12</v>
      </c>
      <c r="U48" s="1084">
        <v>15</v>
      </c>
      <c r="V48" s="1084">
        <v>18</v>
      </c>
      <c r="W48" s="1084">
        <v>21</v>
      </c>
      <c r="X48" s="1084">
        <v>24</v>
      </c>
      <c r="Y48" s="1084">
        <v>27</v>
      </c>
      <c r="Z48" s="1084">
        <v>30</v>
      </c>
      <c r="AA48" s="1084">
        <v>33</v>
      </c>
      <c r="AB48" s="1084">
        <v>36</v>
      </c>
      <c r="AC48" s="1084">
        <v>39</v>
      </c>
      <c r="AD48" s="1084">
        <v>42</v>
      </c>
      <c r="AE48" s="1084">
        <v>45</v>
      </c>
      <c r="AF48" s="1084">
        <v>48</v>
      </c>
      <c r="AG48" s="1084">
        <v>51</v>
      </c>
      <c r="AH48" s="1084">
        <v>54</v>
      </c>
      <c r="AI48" s="1084">
        <v>57</v>
      </c>
      <c r="AJ48" s="1097">
        <v>60</v>
      </c>
      <c r="AK48" s="362"/>
      <c r="AL48" s="362"/>
      <c r="AM48" s="362"/>
      <c r="AN48" s="362"/>
      <c r="AO48" s="362"/>
      <c r="AP48" s="362"/>
      <c r="AQ48" s="362"/>
      <c r="AR48" s="362"/>
      <c r="AS48" s="362"/>
      <c r="AT48" s="362"/>
      <c r="AU48" s="362"/>
      <c r="AV48" s="362"/>
      <c r="AW48" s="362"/>
      <c r="AX48" s="2"/>
      <c r="AY48" s="2"/>
      <c r="AZ48" s="2"/>
      <c r="BA48" s="1076"/>
      <c r="BB48" s="362"/>
      <c r="BC48" s="362"/>
      <c r="BD48" s="362"/>
      <c r="BE48" s="362"/>
      <c r="BF48" s="362"/>
      <c r="BG48" s="362"/>
      <c r="BH48" s="362"/>
      <c r="BI48" s="362"/>
      <c r="BJ48" s="362"/>
      <c r="BK48" s="362"/>
      <c r="BL48" s="362"/>
      <c r="BM48" s="362"/>
      <c r="BN48" s="362"/>
      <c r="BO48" s="362"/>
      <c r="BP48" s="362"/>
      <c r="BQ48" s="362"/>
      <c r="BR48" s="362"/>
      <c r="BS48" s="362"/>
      <c r="BT48" s="362"/>
      <c r="BU48" s="362"/>
      <c r="BV48" s="362"/>
      <c r="BW48" s="362"/>
      <c r="BX48" s="362"/>
      <c r="BY48" s="362"/>
      <c r="BZ48" s="362"/>
      <c r="CA48" s="362"/>
      <c r="CB48" s="362"/>
      <c r="CC48" s="362"/>
      <c r="CD48" s="362"/>
      <c r="CE48" s="362"/>
      <c r="CF48" s="362"/>
      <c r="CG48" s="362"/>
      <c r="CH48" s="362"/>
      <c r="CI48" s="362"/>
      <c r="CJ48" s="362"/>
      <c r="CK48" s="362"/>
      <c r="CL48" s="362"/>
      <c r="CM48" s="362"/>
      <c r="CN48" s="362"/>
      <c r="CO48" s="362"/>
      <c r="CP48" s="362"/>
      <c r="CQ48" s="362"/>
      <c r="CR48" s="362"/>
      <c r="CS48" s="362"/>
      <c r="CT48" s="362"/>
      <c r="CU48" s="362"/>
      <c r="CV48" s="362"/>
      <c r="CW48" s="362"/>
      <c r="CX48" s="362"/>
      <c r="CY48" s="362"/>
      <c r="CZ48" s="362"/>
      <c r="DA48" s="362"/>
      <c r="DB48" s="362"/>
      <c r="DC48" s="362"/>
      <c r="DD48" s="362"/>
      <c r="DE48" s="362"/>
      <c r="DF48" s="362"/>
      <c r="DG48" s="362"/>
      <c r="DH48" s="362"/>
      <c r="DI48" s="362"/>
      <c r="DJ48" s="362"/>
      <c r="DK48" s="362"/>
      <c r="DL48" s="362"/>
      <c r="DM48" s="362"/>
      <c r="DN48" s="362"/>
      <c r="DO48" s="362"/>
      <c r="DP48" s="362"/>
      <c r="DQ48" s="362"/>
      <c r="DR48" s="362"/>
      <c r="DS48" s="362"/>
      <c r="DT48" s="362"/>
      <c r="DU48" s="362"/>
      <c r="DV48" s="362"/>
      <c r="DW48" s="362"/>
      <c r="DX48" s="362"/>
      <c r="DY48" s="362"/>
      <c r="DZ48" s="362"/>
      <c r="EA48" s="362"/>
      <c r="EB48" s="362"/>
      <c r="EC48" s="362"/>
      <c r="ED48" s="362"/>
      <c r="EE48" s="362"/>
      <c r="EF48" s="362"/>
      <c r="EG48" s="362"/>
      <c r="EH48" s="362"/>
      <c r="EI48" s="362"/>
      <c r="EJ48" s="362"/>
      <c r="EK48" s="362"/>
      <c r="EL48" s="362"/>
      <c r="EM48" s="362"/>
      <c r="EN48" s="362"/>
      <c r="EO48" s="362"/>
      <c r="EP48" s="362"/>
      <c r="EQ48" s="362"/>
      <c r="ER48" s="362"/>
      <c r="ES48" s="362"/>
      <c r="ET48" s="362"/>
      <c r="EU48" s="362"/>
      <c r="EV48" s="362"/>
      <c r="EW48" s="362"/>
      <c r="EX48" s="362"/>
      <c r="EY48" s="362"/>
      <c r="EZ48" s="362"/>
      <c r="FA48" s="362"/>
      <c r="FB48" s="362"/>
      <c r="FC48" s="362"/>
      <c r="FD48" s="362"/>
      <c r="FE48" s="362"/>
      <c r="FF48" s="362"/>
      <c r="FG48" s="362"/>
      <c r="FH48" s="362"/>
      <c r="FI48" s="362"/>
      <c r="FJ48" s="362"/>
      <c r="FK48" s="362"/>
      <c r="FL48" s="362"/>
      <c r="FM48" s="362"/>
      <c r="FN48" s="362"/>
      <c r="FO48" s="362"/>
      <c r="FP48" s="362"/>
      <c r="FQ48" s="362"/>
      <c r="FR48" s="362"/>
      <c r="FS48" s="362"/>
      <c r="FT48" s="362"/>
      <c r="FU48" s="362"/>
      <c r="FV48" s="362"/>
      <c r="FW48" s="362"/>
      <c r="FX48" s="362"/>
      <c r="FY48" s="362"/>
      <c r="FZ48" s="362"/>
      <c r="GA48" s="362"/>
      <c r="GB48" s="362"/>
      <c r="GC48" s="362"/>
      <c r="GD48" s="362"/>
      <c r="GE48" s="362"/>
      <c r="GF48" s="362"/>
      <c r="GG48" s="362"/>
      <c r="GH48" s="362"/>
      <c r="GI48" s="362"/>
      <c r="GJ48" s="362"/>
      <c r="GK48" s="362"/>
      <c r="GL48" s="362"/>
      <c r="GM48" s="362"/>
      <c r="GN48" s="362"/>
      <c r="GO48" s="362"/>
      <c r="GP48" s="362"/>
      <c r="GQ48" s="362"/>
      <c r="GR48" s="362"/>
      <c r="GS48" s="362"/>
      <c r="GT48" s="362"/>
      <c r="GU48" s="362"/>
      <c r="GV48" s="362"/>
      <c r="GW48" s="362"/>
      <c r="GX48" s="362"/>
      <c r="GY48" s="362"/>
      <c r="GZ48" s="362"/>
      <c r="HA48" s="362"/>
      <c r="HB48" s="362"/>
      <c r="HC48" s="362"/>
      <c r="HD48" s="362"/>
      <c r="HE48" s="362"/>
      <c r="HF48" s="362"/>
      <c r="HG48" s="362"/>
      <c r="HH48" s="362"/>
      <c r="HI48" s="362"/>
      <c r="HJ48" s="362"/>
      <c r="HK48" s="362"/>
      <c r="HL48" s="362"/>
      <c r="HM48" s="362"/>
      <c r="HN48" s="362"/>
      <c r="HO48" s="362"/>
      <c r="HP48" s="362"/>
      <c r="HQ48" s="362"/>
      <c r="HR48" s="362"/>
      <c r="HS48" s="362"/>
      <c r="HT48" s="362"/>
      <c r="HU48" s="362"/>
      <c r="HV48" s="362"/>
      <c r="HW48" s="362"/>
      <c r="HX48" s="362"/>
      <c r="HY48" s="362"/>
      <c r="HZ48" s="362"/>
      <c r="IA48" s="362"/>
      <c r="IB48" s="362"/>
      <c r="IC48" s="362"/>
      <c r="ID48" s="362"/>
      <c r="IE48" s="362"/>
      <c r="IF48" s="362"/>
      <c r="IG48" s="362"/>
      <c r="IH48" s="362"/>
      <c r="II48" s="362"/>
      <c r="IJ48" s="362"/>
      <c r="IK48" s="362"/>
      <c r="IL48" s="362"/>
      <c r="IM48" s="362"/>
      <c r="IN48" s="362"/>
      <c r="IO48" s="362"/>
      <c r="IP48" s="362"/>
      <c r="IQ48" s="362"/>
      <c r="IR48" s="362"/>
      <c r="IS48" s="362"/>
      <c r="IT48" s="362"/>
      <c r="IU48" s="362"/>
    </row>
    <row r="49" spans="1:255" x14ac:dyDescent="0.15">
      <c r="A49" s="376"/>
      <c r="B49" s="149" t="s">
        <v>606</v>
      </c>
      <c r="C49" s="738">
        <f>CRÍTICA_IGP1!C49</f>
        <v>0</v>
      </c>
      <c r="D49" s="170" t="s">
        <v>336</v>
      </c>
      <c r="E49" s="738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298"/>
      <c r="O49" s="391"/>
      <c r="P49" s="1093" t="s">
        <v>351</v>
      </c>
      <c r="Q49" s="1094">
        <v>0.05</v>
      </c>
      <c r="R49" s="1094">
        <v>0.1</v>
      </c>
      <c r="S49" s="1094">
        <v>0.15</v>
      </c>
      <c r="T49" s="1094">
        <v>0.2</v>
      </c>
      <c r="U49" s="1094">
        <v>0.25</v>
      </c>
      <c r="V49" s="1094">
        <v>0.3</v>
      </c>
      <c r="W49" s="1094">
        <v>0.35</v>
      </c>
      <c r="X49" s="1094">
        <v>0.4</v>
      </c>
      <c r="Y49" s="1094">
        <v>0.45</v>
      </c>
      <c r="Z49" s="1094">
        <v>0.5</v>
      </c>
      <c r="AA49" s="1094">
        <v>0.55000000000000004</v>
      </c>
      <c r="AB49" s="1094">
        <v>0.6</v>
      </c>
      <c r="AC49" s="1094">
        <v>0.65</v>
      </c>
      <c r="AD49" s="1094">
        <v>0.7</v>
      </c>
      <c r="AE49" s="1094">
        <v>0.75</v>
      </c>
      <c r="AF49" s="1094">
        <v>0.8</v>
      </c>
      <c r="AG49" s="1094">
        <v>0.85</v>
      </c>
      <c r="AH49" s="1094">
        <v>0.9</v>
      </c>
      <c r="AI49" s="1094">
        <v>0.95</v>
      </c>
      <c r="AJ49" s="1095">
        <v>1</v>
      </c>
      <c r="AK49" s="362"/>
      <c r="AL49" s="362"/>
      <c r="AM49" s="362"/>
      <c r="AN49" s="362"/>
      <c r="AO49" s="362"/>
      <c r="AP49" s="362"/>
      <c r="AQ49" s="362"/>
      <c r="AR49" s="362"/>
      <c r="AS49" s="362"/>
      <c r="AT49" s="362"/>
      <c r="AU49" s="362"/>
      <c r="AV49" s="362"/>
      <c r="AW49" s="362"/>
      <c r="AX49" s="2"/>
      <c r="AY49" s="2"/>
      <c r="AZ49" s="2"/>
      <c r="BA49" s="1076"/>
      <c r="BB49" s="362"/>
      <c r="BC49" s="362"/>
      <c r="BD49" s="362"/>
      <c r="BE49" s="362"/>
      <c r="BF49" s="362"/>
      <c r="BG49" s="362"/>
      <c r="BH49" s="362"/>
      <c r="BI49" s="362"/>
      <c r="BJ49" s="362"/>
      <c r="BK49" s="362"/>
      <c r="BL49" s="362"/>
      <c r="BM49" s="362"/>
      <c r="BN49" s="362"/>
      <c r="BO49" s="362"/>
      <c r="BP49" s="362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362"/>
      <c r="CB49" s="362"/>
      <c r="CC49" s="362"/>
      <c r="CD49" s="362"/>
      <c r="CE49" s="362"/>
      <c r="CF49" s="362"/>
      <c r="CG49" s="362"/>
      <c r="CH49" s="362"/>
      <c r="CI49" s="362"/>
      <c r="CJ49" s="362"/>
      <c r="CK49" s="362"/>
      <c r="CL49" s="362"/>
      <c r="CM49" s="362"/>
      <c r="CN49" s="362"/>
      <c r="CO49" s="362"/>
      <c r="CP49" s="362"/>
      <c r="CQ49" s="362"/>
      <c r="CR49" s="362"/>
      <c r="CS49" s="362"/>
      <c r="CT49" s="362"/>
      <c r="CU49" s="362"/>
      <c r="CV49" s="362"/>
      <c r="CW49" s="362"/>
      <c r="CX49" s="362"/>
      <c r="CY49" s="362"/>
      <c r="CZ49" s="362"/>
      <c r="DA49" s="362"/>
      <c r="DB49" s="362"/>
      <c r="DC49" s="362"/>
      <c r="DD49" s="362"/>
      <c r="DE49" s="362"/>
      <c r="DF49" s="362"/>
      <c r="DG49" s="362"/>
      <c r="DH49" s="362"/>
      <c r="DI49" s="362"/>
      <c r="DJ49" s="362"/>
      <c r="DK49" s="362"/>
      <c r="DL49" s="362"/>
      <c r="DM49" s="362"/>
      <c r="DN49" s="362"/>
      <c r="DO49" s="362"/>
      <c r="DP49" s="362"/>
      <c r="DQ49" s="362"/>
      <c r="DR49" s="362"/>
      <c r="DS49" s="362"/>
      <c r="DT49" s="362"/>
      <c r="DU49" s="362"/>
      <c r="DV49" s="362"/>
      <c r="DW49" s="362"/>
      <c r="DX49" s="362"/>
      <c r="DY49" s="362"/>
      <c r="DZ49" s="362"/>
      <c r="EA49" s="362"/>
      <c r="EB49" s="362"/>
      <c r="EC49" s="362"/>
      <c r="ED49" s="362"/>
      <c r="EE49" s="362"/>
      <c r="EF49" s="362"/>
      <c r="EG49" s="362"/>
      <c r="EH49" s="362"/>
      <c r="EI49" s="362"/>
      <c r="EJ49" s="362"/>
      <c r="EK49" s="362"/>
      <c r="EL49" s="362"/>
      <c r="EM49" s="362"/>
      <c r="EN49" s="362"/>
      <c r="EO49" s="362"/>
      <c r="EP49" s="362"/>
      <c r="EQ49" s="362"/>
      <c r="ER49" s="362"/>
      <c r="ES49" s="362"/>
      <c r="ET49" s="362"/>
      <c r="EU49" s="362"/>
      <c r="EV49" s="362"/>
      <c r="EW49" s="362"/>
      <c r="EX49" s="362"/>
      <c r="EY49" s="362"/>
      <c r="EZ49" s="362"/>
      <c r="FA49" s="362"/>
      <c r="FB49" s="362"/>
      <c r="FC49" s="362"/>
      <c r="FD49" s="362"/>
      <c r="FE49" s="362"/>
      <c r="FF49" s="362"/>
      <c r="FG49" s="362"/>
      <c r="FH49" s="362"/>
      <c r="FI49" s="362"/>
      <c r="FJ49" s="362"/>
      <c r="FK49" s="362"/>
      <c r="FL49" s="362"/>
      <c r="FM49" s="362"/>
      <c r="FN49" s="362"/>
      <c r="FO49" s="362"/>
      <c r="FP49" s="362"/>
      <c r="FQ49" s="362"/>
      <c r="FR49" s="362"/>
      <c r="FS49" s="362"/>
      <c r="FT49" s="362"/>
      <c r="FU49" s="362"/>
      <c r="FV49" s="362"/>
      <c r="FW49" s="362"/>
      <c r="FX49" s="362"/>
      <c r="FY49" s="362"/>
      <c r="FZ49" s="362"/>
      <c r="GA49" s="362"/>
      <c r="GB49" s="362"/>
      <c r="GC49" s="362"/>
      <c r="GD49" s="362"/>
      <c r="GE49" s="362"/>
      <c r="GF49" s="362"/>
      <c r="GG49" s="362"/>
      <c r="GH49" s="362"/>
      <c r="GI49" s="362"/>
      <c r="GJ49" s="362"/>
      <c r="GK49" s="362"/>
      <c r="GL49" s="362"/>
      <c r="GM49" s="362"/>
      <c r="GN49" s="362"/>
      <c r="GO49" s="362"/>
      <c r="GP49" s="362"/>
      <c r="GQ49" s="362"/>
      <c r="GR49" s="362"/>
      <c r="GS49" s="362"/>
      <c r="GT49" s="362"/>
      <c r="GU49" s="362"/>
      <c r="GV49" s="362"/>
      <c r="GW49" s="362"/>
      <c r="GX49" s="362"/>
      <c r="GY49" s="362"/>
      <c r="GZ49" s="362"/>
      <c r="HA49" s="362"/>
      <c r="HB49" s="362"/>
      <c r="HC49" s="362"/>
      <c r="HD49" s="362"/>
      <c r="HE49" s="362"/>
      <c r="HF49" s="362"/>
      <c r="HG49" s="362"/>
      <c r="HH49" s="362"/>
      <c r="HI49" s="362"/>
      <c r="HJ49" s="362"/>
      <c r="HK49" s="362"/>
      <c r="HL49" s="362"/>
      <c r="HM49" s="362"/>
      <c r="HN49" s="362"/>
      <c r="HO49" s="362"/>
      <c r="HP49" s="362"/>
      <c r="HQ49" s="362"/>
      <c r="HR49" s="362"/>
      <c r="HS49" s="362"/>
      <c r="HT49" s="362"/>
      <c r="HU49" s="362"/>
      <c r="HV49" s="362"/>
      <c r="HW49" s="362"/>
      <c r="HX49" s="362"/>
      <c r="HY49" s="362"/>
      <c r="HZ49" s="362"/>
      <c r="IA49" s="362"/>
      <c r="IB49" s="362"/>
      <c r="IC49" s="362"/>
      <c r="ID49" s="362"/>
      <c r="IE49" s="362"/>
      <c r="IF49" s="362"/>
      <c r="IG49" s="362"/>
      <c r="IH49" s="362"/>
      <c r="II49" s="362"/>
      <c r="IJ49" s="362"/>
      <c r="IK49" s="362"/>
      <c r="IL49" s="362"/>
      <c r="IM49" s="362"/>
      <c r="IN49" s="362"/>
      <c r="IO49" s="362"/>
      <c r="IP49" s="362"/>
      <c r="IQ49" s="362"/>
      <c r="IR49" s="362"/>
      <c r="IS49" s="362"/>
      <c r="IT49" s="362"/>
      <c r="IU49" s="362"/>
    </row>
    <row r="50" spans="1:255" ht="15.75" customHeight="1" x14ac:dyDescent="0.15">
      <c r="A50" s="376"/>
      <c r="B50" s="251" t="s">
        <v>606</v>
      </c>
      <c r="C50" s="738">
        <f>CRÍTICA_IGP1!C50</f>
        <v>0</v>
      </c>
      <c r="D50" s="271" t="s">
        <v>336</v>
      </c>
      <c r="E50" s="741">
        <f>CRÍTICA_IGP1!$E$50</f>
        <v>25567</v>
      </c>
      <c r="F50" s="171">
        <f>'MTS - MAPA DE TEMPO DE SERVIÇO'!$H$40</f>
        <v>0</v>
      </c>
      <c r="G50" s="251"/>
      <c r="H50" s="131"/>
      <c r="I50" s="131"/>
      <c r="J50" s="287" t="s">
        <v>704</v>
      </c>
      <c r="K50" s="162"/>
      <c r="L50" s="162"/>
      <c r="M50" s="297"/>
      <c r="N50" s="740">
        <f>CRÍTICA_IGP1!N50</f>
        <v>0</v>
      </c>
      <c r="O50" s="391"/>
      <c r="P50" s="1080"/>
      <c r="Q50" s="1096"/>
      <c r="R50" s="1096"/>
      <c r="S50" s="1096"/>
      <c r="T50" s="1096"/>
      <c r="U50" s="1096"/>
      <c r="V50" s="1096"/>
      <c r="W50" s="1096"/>
      <c r="X50" s="1096"/>
      <c r="Y50" s="1096"/>
      <c r="Z50" s="1096"/>
      <c r="AA50" s="1096"/>
      <c r="AB50" s="2"/>
      <c r="AC50" s="1074"/>
      <c r="AD50" s="1075"/>
      <c r="AE50" s="1075"/>
      <c r="AF50" s="1075"/>
      <c r="AG50" s="1074"/>
      <c r="AH50" s="362"/>
      <c r="AI50" s="362"/>
      <c r="AJ50" s="362"/>
      <c r="AK50" s="362"/>
      <c r="AL50" s="362"/>
      <c r="AM50" s="362"/>
      <c r="AN50" s="362"/>
      <c r="AO50" s="362"/>
      <c r="AP50" s="362"/>
      <c r="AQ50" s="362"/>
      <c r="AR50" s="362"/>
      <c r="AS50" s="362"/>
      <c r="AT50" s="362"/>
      <c r="AU50" s="362"/>
      <c r="AV50" s="362"/>
      <c r="AW50" s="362"/>
      <c r="AX50" s="2"/>
      <c r="AY50" s="2"/>
      <c r="AZ50" s="2"/>
      <c r="BA50" s="1076"/>
      <c r="BB50" s="362"/>
      <c r="BC50" s="362"/>
      <c r="BD50" s="362"/>
      <c r="BE50" s="362"/>
      <c r="BF50" s="362"/>
      <c r="BG50" s="362"/>
      <c r="BH50" s="362"/>
      <c r="BI50" s="362"/>
      <c r="BJ50" s="362"/>
      <c r="BK50" s="362"/>
      <c r="BL50" s="362"/>
      <c r="BM50" s="362"/>
      <c r="BN50" s="362"/>
      <c r="BO50" s="362"/>
      <c r="BP50" s="362"/>
      <c r="BQ50" s="362"/>
      <c r="BR50" s="362"/>
      <c r="BS50" s="362"/>
      <c r="BT50" s="362"/>
      <c r="BU50" s="362"/>
      <c r="BV50" s="362"/>
      <c r="BW50" s="362"/>
      <c r="BX50" s="362"/>
      <c r="BY50" s="362"/>
      <c r="BZ50" s="362"/>
      <c r="CA50" s="362"/>
      <c r="CB50" s="362"/>
      <c r="CC50" s="362"/>
      <c r="CD50" s="362"/>
      <c r="CE50" s="362"/>
      <c r="CF50" s="362"/>
      <c r="CG50" s="362"/>
      <c r="CH50" s="362"/>
      <c r="CI50" s="362"/>
      <c r="CJ50" s="362"/>
      <c r="CK50" s="362"/>
      <c r="CL50" s="362"/>
      <c r="CM50" s="362"/>
      <c r="CN50" s="362"/>
      <c r="CO50" s="362"/>
      <c r="CP50" s="362"/>
      <c r="CQ50" s="362"/>
      <c r="CR50" s="362"/>
      <c r="CS50" s="362"/>
      <c r="CT50" s="362"/>
      <c r="CU50" s="362"/>
      <c r="CV50" s="362"/>
      <c r="CW50" s="362"/>
      <c r="CX50" s="362"/>
      <c r="CY50" s="362"/>
      <c r="CZ50" s="362"/>
      <c r="DA50" s="362"/>
      <c r="DB50" s="362"/>
      <c r="DC50" s="362"/>
      <c r="DD50" s="362"/>
      <c r="DE50" s="362"/>
      <c r="DF50" s="362"/>
      <c r="DG50" s="362"/>
      <c r="DH50" s="362"/>
      <c r="DI50" s="362"/>
      <c r="DJ50" s="362"/>
      <c r="DK50" s="362"/>
      <c r="DL50" s="362"/>
      <c r="DM50" s="362"/>
      <c r="DN50" s="362"/>
      <c r="DO50" s="362"/>
      <c r="DP50" s="362"/>
      <c r="DQ50" s="362"/>
      <c r="DR50" s="362"/>
      <c r="DS50" s="362"/>
      <c r="DT50" s="362"/>
      <c r="DU50" s="362"/>
      <c r="DV50" s="362"/>
      <c r="DW50" s="362"/>
      <c r="DX50" s="362"/>
      <c r="DY50" s="362"/>
      <c r="DZ50" s="362"/>
      <c r="EA50" s="362"/>
      <c r="EB50" s="362"/>
      <c r="EC50" s="362"/>
      <c r="ED50" s="362"/>
      <c r="EE50" s="362"/>
      <c r="EF50" s="362"/>
      <c r="EG50" s="362"/>
      <c r="EH50" s="362"/>
      <c r="EI50" s="362"/>
      <c r="EJ50" s="362"/>
      <c r="EK50" s="362"/>
      <c r="EL50" s="362"/>
      <c r="EM50" s="362"/>
      <c r="EN50" s="362"/>
      <c r="EO50" s="362"/>
      <c r="EP50" s="362"/>
      <c r="EQ50" s="362"/>
      <c r="ER50" s="362"/>
      <c r="ES50" s="362"/>
      <c r="ET50" s="362"/>
      <c r="EU50" s="362"/>
      <c r="EV50" s="362"/>
      <c r="EW50" s="362"/>
      <c r="EX50" s="362"/>
      <c r="EY50" s="362"/>
      <c r="EZ50" s="362"/>
      <c r="FA50" s="362"/>
      <c r="FB50" s="362"/>
      <c r="FC50" s="362"/>
      <c r="FD50" s="362"/>
      <c r="FE50" s="362"/>
      <c r="FF50" s="362"/>
      <c r="FG50" s="362"/>
      <c r="FH50" s="362"/>
      <c r="FI50" s="362"/>
      <c r="FJ50" s="362"/>
      <c r="FK50" s="362"/>
      <c r="FL50" s="362"/>
      <c r="FM50" s="362"/>
      <c r="FN50" s="362"/>
      <c r="FO50" s="362"/>
      <c r="FP50" s="362"/>
      <c r="FQ50" s="362"/>
      <c r="FR50" s="362"/>
      <c r="FS50" s="362"/>
      <c r="FT50" s="362"/>
      <c r="FU50" s="362"/>
      <c r="FV50" s="362"/>
      <c r="FW50" s="362"/>
      <c r="FX50" s="362"/>
      <c r="FY50" s="362"/>
      <c r="FZ50" s="362"/>
      <c r="GA50" s="362"/>
      <c r="GB50" s="362"/>
      <c r="GC50" s="362"/>
      <c r="GD50" s="362"/>
      <c r="GE50" s="362"/>
      <c r="GF50" s="362"/>
      <c r="GG50" s="362"/>
      <c r="GH50" s="362"/>
      <c r="GI50" s="362"/>
      <c r="GJ50" s="362"/>
      <c r="GK50" s="362"/>
      <c r="GL50" s="362"/>
      <c r="GM50" s="362"/>
      <c r="GN50" s="362"/>
      <c r="GO50" s="362"/>
      <c r="GP50" s="362"/>
      <c r="GQ50" s="362"/>
      <c r="GR50" s="362"/>
      <c r="GS50" s="362"/>
      <c r="GT50" s="362"/>
      <c r="GU50" s="362"/>
      <c r="GV50" s="362"/>
      <c r="GW50" s="362"/>
      <c r="GX50" s="362"/>
      <c r="GY50" s="362"/>
      <c r="GZ50" s="362"/>
      <c r="HA50" s="362"/>
      <c r="HB50" s="362"/>
      <c r="HC50" s="362"/>
      <c r="HD50" s="362"/>
      <c r="HE50" s="362"/>
      <c r="HF50" s="362"/>
      <c r="HG50" s="362"/>
      <c r="HH50" s="362"/>
      <c r="HI50" s="362"/>
      <c r="HJ50" s="362"/>
      <c r="HK50" s="362"/>
      <c r="HL50" s="362"/>
      <c r="HM50" s="362"/>
      <c r="HN50" s="362"/>
      <c r="HO50" s="362"/>
      <c r="HP50" s="362"/>
      <c r="HQ50" s="362"/>
      <c r="HR50" s="362"/>
      <c r="HS50" s="362"/>
      <c r="HT50" s="362"/>
      <c r="HU50" s="362"/>
      <c r="HV50" s="362"/>
      <c r="HW50" s="362"/>
      <c r="HX50" s="362"/>
      <c r="HY50" s="362"/>
      <c r="HZ50" s="362"/>
      <c r="IA50" s="362"/>
      <c r="IB50" s="362"/>
      <c r="IC50" s="362"/>
      <c r="ID50" s="362"/>
      <c r="IE50" s="362"/>
      <c r="IF50" s="362"/>
      <c r="IG50" s="362"/>
      <c r="IH50" s="362"/>
      <c r="II50" s="362"/>
      <c r="IJ50" s="362"/>
      <c r="IK50" s="362"/>
      <c r="IL50" s="362"/>
      <c r="IM50" s="362"/>
      <c r="IN50" s="362"/>
      <c r="IO50" s="362"/>
      <c r="IP50" s="362"/>
      <c r="IQ50" s="362"/>
      <c r="IR50" s="362"/>
      <c r="IS50" s="362"/>
      <c r="IT50" s="362"/>
      <c r="IU50" s="362"/>
    </row>
    <row r="51" spans="1:255" ht="6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G51" s="254" t="s">
        <v>741</v>
      </c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083" t="s">
        <v>687</v>
      </c>
      <c r="Q51" s="1084">
        <v>3</v>
      </c>
      <c r="R51" s="1084">
        <v>6</v>
      </c>
      <c r="S51" s="1084">
        <v>9</v>
      </c>
      <c r="T51" s="1084">
        <v>12</v>
      </c>
      <c r="U51" s="1084">
        <v>15</v>
      </c>
      <c r="V51" s="1084">
        <v>18</v>
      </c>
      <c r="W51" s="1084">
        <v>21</v>
      </c>
      <c r="X51" s="1084">
        <v>24</v>
      </c>
      <c r="Y51" s="1084">
        <v>27</v>
      </c>
      <c r="Z51" s="1084">
        <v>30</v>
      </c>
      <c r="AA51" s="1084">
        <v>33</v>
      </c>
      <c r="AB51" s="1097">
        <v>36</v>
      </c>
      <c r="AC51" s="362"/>
      <c r="AD51" s="362"/>
      <c r="AE51" s="362"/>
      <c r="AF51" s="362"/>
      <c r="AG51" s="362"/>
      <c r="AH51" s="362"/>
      <c r="AI51" s="362"/>
      <c r="AJ51" s="362"/>
      <c r="AK51" s="362"/>
      <c r="AL51" s="362"/>
      <c r="AM51" s="362"/>
      <c r="AN51" s="362"/>
      <c r="AO51" s="362"/>
      <c r="AP51" s="362"/>
      <c r="AQ51" s="362"/>
      <c r="AR51" s="362"/>
      <c r="AS51" s="362"/>
      <c r="AT51" s="362"/>
      <c r="AU51" s="362"/>
      <c r="AV51" s="362"/>
      <c r="AW51" s="362"/>
      <c r="AX51" s="2"/>
      <c r="AY51" s="2"/>
      <c r="AZ51" s="2"/>
      <c r="BA51" s="1076"/>
      <c r="BB51" s="362"/>
      <c r="BC51" s="362"/>
      <c r="BD51" s="362"/>
      <c r="BE51" s="362"/>
      <c r="BF51" s="362"/>
      <c r="BG51" s="362"/>
      <c r="BH51" s="362"/>
      <c r="BI51" s="362"/>
      <c r="BJ51" s="362"/>
      <c r="BK51" s="362"/>
      <c r="BL51" s="362"/>
      <c r="BM51" s="362"/>
      <c r="BN51" s="362"/>
      <c r="BO51" s="362"/>
      <c r="BP51" s="362"/>
      <c r="BQ51" s="362"/>
      <c r="BR51" s="362"/>
      <c r="BS51" s="362"/>
      <c r="BT51" s="362"/>
      <c r="BU51" s="362"/>
      <c r="BV51" s="362"/>
      <c r="BW51" s="362"/>
      <c r="BX51" s="362"/>
      <c r="BY51" s="362"/>
      <c r="BZ51" s="362"/>
      <c r="CA51" s="362"/>
      <c r="CB51" s="362"/>
      <c r="CC51" s="362"/>
      <c r="CD51" s="362"/>
      <c r="CE51" s="362"/>
      <c r="CF51" s="362"/>
      <c r="CG51" s="362"/>
      <c r="CH51" s="362"/>
      <c r="CI51" s="362"/>
      <c r="CJ51" s="362"/>
      <c r="CK51" s="362"/>
      <c r="CL51" s="362"/>
      <c r="CM51" s="362"/>
      <c r="CN51" s="362"/>
      <c r="CO51" s="362"/>
      <c r="CP51" s="362"/>
      <c r="CQ51" s="362"/>
      <c r="CR51" s="362"/>
      <c r="CS51" s="362"/>
      <c r="CT51" s="362"/>
      <c r="CU51" s="362"/>
      <c r="CV51" s="362"/>
      <c r="CW51" s="362"/>
      <c r="CX51" s="362"/>
      <c r="CY51" s="362"/>
      <c r="CZ51" s="362"/>
      <c r="DA51" s="362"/>
      <c r="DB51" s="362"/>
      <c r="DC51" s="362"/>
      <c r="DD51" s="362"/>
      <c r="DE51" s="362"/>
      <c r="DF51" s="362"/>
      <c r="DG51" s="362"/>
      <c r="DH51" s="362"/>
      <c r="DI51" s="362"/>
      <c r="DJ51" s="362"/>
      <c r="DK51" s="362"/>
      <c r="DL51" s="362"/>
      <c r="DM51" s="362"/>
      <c r="DN51" s="362"/>
      <c r="DO51" s="362"/>
      <c r="DP51" s="362"/>
      <c r="DQ51" s="362"/>
      <c r="DR51" s="362"/>
      <c r="DS51" s="362"/>
      <c r="DT51" s="362"/>
      <c r="DU51" s="362"/>
      <c r="DV51" s="362"/>
      <c r="DW51" s="362"/>
      <c r="DX51" s="362"/>
      <c r="DY51" s="362"/>
      <c r="DZ51" s="362"/>
      <c r="EA51" s="362"/>
      <c r="EB51" s="362"/>
      <c r="EC51" s="362"/>
      <c r="ED51" s="362"/>
      <c r="EE51" s="362"/>
      <c r="EF51" s="362"/>
      <c r="EG51" s="362"/>
      <c r="EH51" s="362"/>
      <c r="EI51" s="362"/>
      <c r="EJ51" s="362"/>
      <c r="EK51" s="362"/>
      <c r="EL51" s="362"/>
      <c r="EM51" s="362"/>
      <c r="EN51" s="362"/>
      <c r="EO51" s="362"/>
      <c r="EP51" s="362"/>
      <c r="EQ51" s="362"/>
      <c r="ER51" s="362"/>
      <c r="ES51" s="362"/>
      <c r="ET51" s="362"/>
      <c r="EU51" s="362"/>
      <c r="EV51" s="362"/>
      <c r="EW51" s="362"/>
      <c r="EX51" s="362"/>
      <c r="EY51" s="362"/>
      <c r="EZ51" s="362"/>
      <c r="FA51" s="362"/>
      <c r="FB51" s="362"/>
      <c r="FC51" s="362"/>
      <c r="FD51" s="362"/>
      <c r="FE51" s="362"/>
      <c r="FF51" s="362"/>
      <c r="FG51" s="362"/>
      <c r="FH51" s="362"/>
      <c r="FI51" s="362"/>
      <c r="FJ51" s="362"/>
      <c r="FK51" s="362"/>
      <c r="FL51" s="362"/>
      <c r="FM51" s="362"/>
      <c r="FN51" s="362"/>
      <c r="FO51" s="362"/>
      <c r="FP51" s="362"/>
      <c r="FQ51" s="362"/>
      <c r="FR51" s="362"/>
      <c r="FS51" s="362"/>
      <c r="FT51" s="362"/>
      <c r="FU51" s="362"/>
      <c r="FV51" s="362"/>
      <c r="FW51" s="362"/>
      <c r="FX51" s="362"/>
      <c r="FY51" s="362"/>
      <c r="FZ51" s="362"/>
      <c r="GA51" s="362"/>
      <c r="GB51" s="362"/>
      <c r="GC51" s="362"/>
      <c r="GD51" s="362"/>
      <c r="GE51" s="362"/>
      <c r="GF51" s="362"/>
      <c r="GG51" s="362"/>
      <c r="GH51" s="362"/>
      <c r="GI51" s="362"/>
      <c r="GJ51" s="362"/>
      <c r="GK51" s="362"/>
      <c r="GL51" s="362"/>
      <c r="GM51" s="362"/>
      <c r="GN51" s="362"/>
      <c r="GO51" s="362"/>
      <c r="GP51" s="362"/>
      <c r="GQ51" s="362"/>
      <c r="GR51" s="362"/>
      <c r="GS51" s="362"/>
      <c r="GT51" s="362"/>
      <c r="GU51" s="362"/>
      <c r="GV51" s="362"/>
      <c r="GW51" s="362"/>
      <c r="GX51" s="362"/>
      <c r="GY51" s="362"/>
      <c r="GZ51" s="362"/>
      <c r="HA51" s="362"/>
      <c r="HB51" s="362"/>
      <c r="HC51" s="362"/>
      <c r="HD51" s="362"/>
      <c r="HE51" s="362"/>
      <c r="HF51" s="362"/>
      <c r="HG51" s="362"/>
      <c r="HH51" s="362"/>
      <c r="HI51" s="362"/>
      <c r="HJ51" s="362"/>
      <c r="HK51" s="362"/>
      <c r="HL51" s="362"/>
      <c r="HM51" s="362"/>
      <c r="HN51" s="362"/>
      <c r="HO51" s="362"/>
      <c r="HP51" s="362"/>
      <c r="HQ51" s="362"/>
      <c r="HR51" s="362"/>
      <c r="HS51" s="362"/>
      <c r="HT51" s="362"/>
      <c r="HU51" s="362"/>
      <c r="HV51" s="362"/>
      <c r="HW51" s="362"/>
      <c r="HX51" s="362"/>
      <c r="HY51" s="362"/>
      <c r="HZ51" s="362"/>
      <c r="IA51" s="362"/>
      <c r="IB51" s="362"/>
      <c r="IC51" s="362"/>
      <c r="ID51" s="362"/>
      <c r="IE51" s="362"/>
      <c r="IF51" s="362"/>
      <c r="IG51" s="362"/>
      <c r="IH51" s="362"/>
      <c r="II51" s="362"/>
      <c r="IJ51" s="362"/>
      <c r="IK51" s="362"/>
      <c r="IL51" s="362"/>
      <c r="IM51" s="362"/>
      <c r="IN51" s="362"/>
      <c r="IO51" s="362"/>
      <c r="IP51" s="362"/>
      <c r="IQ51" s="362"/>
      <c r="IR51" s="362"/>
      <c r="IS51" s="362"/>
      <c r="IT51" s="362"/>
      <c r="IU51" s="362"/>
    </row>
    <row r="52" spans="1:255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093" t="s">
        <v>351</v>
      </c>
      <c r="Q52" s="1094">
        <v>0.1</v>
      </c>
      <c r="R52" s="1094">
        <v>0.15</v>
      </c>
      <c r="S52" s="1094">
        <v>0.2</v>
      </c>
      <c r="T52" s="1094">
        <v>0.25</v>
      </c>
      <c r="U52" s="1094">
        <v>0.28000000000000003</v>
      </c>
      <c r="V52" s="1094">
        <v>0.31</v>
      </c>
      <c r="W52" s="1094">
        <v>0.34</v>
      </c>
      <c r="X52" s="1094">
        <v>0.37</v>
      </c>
      <c r="Y52" s="1094">
        <v>0.4</v>
      </c>
      <c r="Z52" s="1094"/>
      <c r="AA52" s="1094"/>
      <c r="AB52" s="1095"/>
      <c r="AC52" s="362"/>
      <c r="AD52" s="362"/>
      <c r="AE52" s="362"/>
      <c r="AF52" s="362"/>
      <c r="AG52" s="362"/>
      <c r="AH52" s="362"/>
      <c r="AI52" s="362"/>
      <c r="AJ52" s="362"/>
      <c r="AK52" s="362"/>
      <c r="AL52" s="362"/>
      <c r="AM52" s="362"/>
      <c r="AN52" s="362"/>
      <c r="AO52" s="362"/>
      <c r="AP52" s="362"/>
      <c r="AQ52" s="362"/>
      <c r="AR52" s="362"/>
      <c r="AS52" s="362"/>
      <c r="AT52" s="362"/>
      <c r="AU52" s="362"/>
      <c r="AV52" s="362"/>
      <c r="AW52" s="362"/>
      <c r="AX52" s="2"/>
      <c r="AY52" s="2"/>
      <c r="AZ52" s="2"/>
      <c r="BA52" s="1076"/>
      <c r="BB52" s="362"/>
      <c r="BC52" s="362"/>
      <c r="BD52" s="362"/>
      <c r="BE52" s="362"/>
      <c r="BF52" s="362"/>
      <c r="BG52" s="362"/>
      <c r="BH52" s="362"/>
      <c r="BI52" s="362"/>
      <c r="BJ52" s="362"/>
      <c r="BK52" s="362"/>
      <c r="BL52" s="362"/>
      <c r="BM52" s="362"/>
      <c r="BN52" s="362"/>
      <c r="BO52" s="362"/>
      <c r="BP52" s="362"/>
      <c r="BQ52" s="362"/>
      <c r="BR52" s="362"/>
      <c r="BS52" s="362"/>
      <c r="BT52" s="362"/>
      <c r="BU52" s="362"/>
      <c r="BV52" s="362"/>
      <c r="BW52" s="362"/>
      <c r="BX52" s="362"/>
      <c r="BY52" s="362"/>
      <c r="BZ52" s="362"/>
      <c r="CA52" s="362"/>
      <c r="CB52" s="362"/>
      <c r="CC52" s="362"/>
      <c r="CD52" s="362"/>
      <c r="CE52" s="362"/>
      <c r="CF52" s="362"/>
      <c r="CG52" s="362"/>
      <c r="CH52" s="362"/>
      <c r="CI52" s="362"/>
      <c r="CJ52" s="362"/>
      <c r="CK52" s="362"/>
      <c r="CL52" s="362"/>
      <c r="CM52" s="362"/>
      <c r="CN52" s="362"/>
      <c r="CO52" s="362"/>
      <c r="CP52" s="362"/>
      <c r="CQ52" s="362"/>
      <c r="CR52" s="362"/>
      <c r="CS52" s="362"/>
      <c r="CT52" s="362"/>
      <c r="CU52" s="362"/>
      <c r="CV52" s="362"/>
      <c r="CW52" s="362"/>
      <c r="CX52" s="362"/>
      <c r="CY52" s="362"/>
      <c r="CZ52" s="362"/>
      <c r="DA52" s="362"/>
      <c r="DB52" s="362"/>
      <c r="DC52" s="362"/>
      <c r="DD52" s="362"/>
      <c r="DE52" s="362"/>
      <c r="DF52" s="362"/>
      <c r="DG52" s="362"/>
      <c r="DH52" s="362"/>
      <c r="DI52" s="362"/>
      <c r="DJ52" s="362"/>
      <c r="DK52" s="362"/>
      <c r="DL52" s="362"/>
      <c r="DM52" s="362"/>
      <c r="DN52" s="362"/>
      <c r="DO52" s="362"/>
      <c r="DP52" s="362"/>
      <c r="DQ52" s="362"/>
      <c r="DR52" s="362"/>
      <c r="DS52" s="362"/>
      <c r="DT52" s="362"/>
      <c r="DU52" s="362"/>
      <c r="DV52" s="362"/>
      <c r="DW52" s="362"/>
      <c r="DX52" s="362"/>
      <c r="DY52" s="362"/>
      <c r="DZ52" s="362"/>
      <c r="EA52" s="362"/>
      <c r="EB52" s="362"/>
      <c r="EC52" s="362"/>
      <c r="ED52" s="362"/>
      <c r="EE52" s="362"/>
      <c r="EF52" s="362"/>
      <c r="EG52" s="362"/>
      <c r="EH52" s="362"/>
      <c r="EI52" s="362"/>
      <c r="EJ52" s="362"/>
      <c r="EK52" s="362"/>
      <c r="EL52" s="362"/>
      <c r="EM52" s="362"/>
      <c r="EN52" s="362"/>
      <c r="EO52" s="362"/>
      <c r="EP52" s="362"/>
      <c r="EQ52" s="362"/>
      <c r="ER52" s="362"/>
      <c r="ES52" s="362"/>
      <c r="ET52" s="362"/>
      <c r="EU52" s="362"/>
      <c r="EV52" s="362"/>
      <c r="EW52" s="362"/>
      <c r="EX52" s="362"/>
      <c r="EY52" s="362"/>
      <c r="EZ52" s="362"/>
      <c r="FA52" s="362"/>
      <c r="FB52" s="362"/>
      <c r="FC52" s="362"/>
      <c r="FD52" s="362"/>
      <c r="FE52" s="362"/>
      <c r="FF52" s="362"/>
      <c r="FG52" s="362"/>
      <c r="FH52" s="362"/>
      <c r="FI52" s="362"/>
      <c r="FJ52" s="362"/>
      <c r="FK52" s="362"/>
      <c r="FL52" s="362"/>
      <c r="FM52" s="362"/>
      <c r="FN52" s="362"/>
      <c r="FO52" s="362"/>
      <c r="FP52" s="362"/>
      <c r="FQ52" s="362"/>
      <c r="FR52" s="362"/>
      <c r="FS52" s="362"/>
      <c r="FT52" s="362"/>
      <c r="FU52" s="362"/>
      <c r="FV52" s="362"/>
      <c r="FW52" s="362"/>
      <c r="FX52" s="362"/>
      <c r="FY52" s="362"/>
      <c r="FZ52" s="362"/>
      <c r="GA52" s="362"/>
      <c r="GB52" s="362"/>
      <c r="GC52" s="362"/>
      <c r="GD52" s="362"/>
      <c r="GE52" s="362"/>
      <c r="GF52" s="362"/>
      <c r="GG52" s="362"/>
      <c r="GH52" s="362"/>
      <c r="GI52" s="362"/>
      <c r="GJ52" s="362"/>
      <c r="GK52" s="362"/>
      <c r="GL52" s="362"/>
      <c r="GM52" s="362"/>
      <c r="GN52" s="362"/>
      <c r="GO52" s="362"/>
      <c r="GP52" s="362"/>
      <c r="GQ52" s="362"/>
      <c r="GR52" s="362"/>
      <c r="GS52" s="362"/>
      <c r="GT52" s="362"/>
      <c r="GU52" s="362"/>
      <c r="GV52" s="362"/>
      <c r="GW52" s="362"/>
      <c r="GX52" s="362"/>
      <c r="GY52" s="362"/>
      <c r="GZ52" s="362"/>
      <c r="HA52" s="362"/>
      <c r="HB52" s="362"/>
      <c r="HC52" s="362"/>
      <c r="HD52" s="362"/>
      <c r="HE52" s="362"/>
      <c r="HF52" s="362"/>
      <c r="HG52" s="362"/>
      <c r="HH52" s="362"/>
      <c r="HI52" s="362"/>
      <c r="HJ52" s="362"/>
      <c r="HK52" s="362"/>
      <c r="HL52" s="362"/>
      <c r="HM52" s="362"/>
      <c r="HN52" s="362"/>
      <c r="HO52" s="362"/>
      <c r="HP52" s="362"/>
      <c r="HQ52" s="362"/>
      <c r="HR52" s="362"/>
      <c r="HS52" s="362"/>
      <c r="HT52" s="362"/>
      <c r="HU52" s="362"/>
      <c r="HV52" s="362"/>
      <c r="HW52" s="362"/>
      <c r="HX52" s="362"/>
      <c r="HY52" s="362"/>
      <c r="HZ52" s="362"/>
      <c r="IA52" s="362"/>
      <c r="IB52" s="362"/>
      <c r="IC52" s="362"/>
      <c r="ID52" s="362"/>
      <c r="IE52" s="362"/>
      <c r="IF52" s="362"/>
      <c r="IG52" s="362"/>
      <c r="IH52" s="362"/>
      <c r="II52" s="362"/>
      <c r="IJ52" s="362"/>
      <c r="IK52" s="362"/>
      <c r="IL52" s="362"/>
      <c r="IM52" s="362"/>
      <c r="IN52" s="362"/>
      <c r="IO52" s="362"/>
      <c r="IP52" s="362"/>
      <c r="IQ52" s="362"/>
      <c r="IR52" s="362"/>
      <c r="IS52" s="362"/>
      <c r="IT52" s="362"/>
      <c r="IU52" s="362"/>
    </row>
    <row r="53" spans="1:255" ht="6" customHeight="1" x14ac:dyDescent="0.15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1080"/>
      <c r="Q53" s="1096"/>
      <c r="R53" s="1096"/>
      <c r="S53" s="1096"/>
      <c r="T53" s="1096"/>
      <c r="U53" s="1096"/>
      <c r="V53" s="1096"/>
      <c r="W53" s="1096"/>
      <c r="X53" s="1096"/>
      <c r="Y53" s="1096"/>
      <c r="Z53" s="1096"/>
      <c r="AA53" s="1096"/>
      <c r="AB53" s="1096"/>
      <c r="AC53" s="362"/>
      <c r="AD53" s="362"/>
      <c r="AE53" s="362"/>
      <c r="AF53" s="362"/>
      <c r="AG53" s="362"/>
      <c r="AH53" s="362"/>
      <c r="AI53" s="362"/>
      <c r="AJ53" s="362"/>
      <c r="AK53" s="362"/>
      <c r="AL53" s="362"/>
      <c r="AM53" s="362"/>
      <c r="AN53" s="362"/>
      <c r="AO53" s="362"/>
      <c r="AP53" s="362"/>
      <c r="AQ53" s="362"/>
      <c r="AR53" s="362"/>
      <c r="AS53" s="362"/>
      <c r="AT53" s="362"/>
      <c r="AU53" s="362"/>
      <c r="AV53" s="362"/>
      <c r="AW53" s="362"/>
      <c r="AX53" s="2"/>
      <c r="AY53" s="2"/>
      <c r="AZ53" s="2"/>
      <c r="BA53" s="1076"/>
      <c r="BB53" s="362"/>
      <c r="BC53" s="362"/>
      <c r="BD53" s="362"/>
      <c r="BE53" s="362"/>
      <c r="BF53" s="362"/>
      <c r="BG53" s="362"/>
      <c r="BH53" s="362"/>
      <c r="BI53" s="362"/>
      <c r="BJ53" s="362"/>
      <c r="BK53" s="362"/>
      <c r="BL53" s="362"/>
      <c r="BM53" s="362"/>
      <c r="BN53" s="362"/>
      <c r="BO53" s="362"/>
      <c r="BP53" s="362"/>
      <c r="BQ53" s="362"/>
      <c r="BR53" s="362"/>
      <c r="BS53" s="362"/>
      <c r="BT53" s="362"/>
      <c r="BU53" s="362"/>
      <c r="BV53" s="362"/>
      <c r="BW53" s="362"/>
      <c r="BX53" s="362"/>
      <c r="BY53" s="362"/>
      <c r="BZ53" s="362"/>
      <c r="CA53" s="362"/>
      <c r="CB53" s="362"/>
      <c r="CC53" s="362"/>
      <c r="CD53" s="362"/>
      <c r="CE53" s="362"/>
      <c r="CF53" s="362"/>
      <c r="CG53" s="362"/>
      <c r="CH53" s="362"/>
      <c r="CI53" s="362"/>
      <c r="CJ53" s="362"/>
      <c r="CK53" s="362"/>
      <c r="CL53" s="362"/>
      <c r="CM53" s="362"/>
      <c r="CN53" s="362"/>
      <c r="CO53" s="362"/>
      <c r="CP53" s="362"/>
      <c r="CQ53" s="362"/>
      <c r="CR53" s="362"/>
      <c r="CS53" s="362"/>
      <c r="CT53" s="362"/>
      <c r="CU53" s="362"/>
      <c r="CV53" s="362"/>
      <c r="CW53" s="362"/>
      <c r="CX53" s="362"/>
      <c r="CY53" s="362"/>
      <c r="CZ53" s="362"/>
      <c r="DA53" s="362"/>
      <c r="DB53" s="362"/>
      <c r="DC53" s="362"/>
      <c r="DD53" s="362"/>
      <c r="DE53" s="362"/>
      <c r="DF53" s="362"/>
      <c r="DG53" s="362"/>
      <c r="DH53" s="362"/>
      <c r="DI53" s="362"/>
      <c r="DJ53" s="362"/>
      <c r="DK53" s="362"/>
      <c r="DL53" s="362"/>
      <c r="DM53" s="362"/>
      <c r="DN53" s="362"/>
      <c r="DO53" s="362"/>
      <c r="DP53" s="362"/>
      <c r="DQ53" s="362"/>
      <c r="DR53" s="362"/>
      <c r="DS53" s="362"/>
      <c r="DT53" s="362"/>
      <c r="DU53" s="362"/>
      <c r="DV53" s="362"/>
      <c r="DW53" s="362"/>
      <c r="DX53" s="362"/>
      <c r="DY53" s="362"/>
      <c r="DZ53" s="362"/>
      <c r="EA53" s="362"/>
      <c r="EB53" s="362"/>
      <c r="EC53" s="362"/>
      <c r="ED53" s="362"/>
      <c r="EE53" s="362"/>
      <c r="EF53" s="362"/>
      <c r="EG53" s="362"/>
      <c r="EH53" s="362"/>
      <c r="EI53" s="362"/>
      <c r="EJ53" s="362"/>
      <c r="EK53" s="362"/>
      <c r="EL53" s="362"/>
      <c r="EM53" s="362"/>
      <c r="EN53" s="362"/>
      <c r="EO53" s="362"/>
      <c r="EP53" s="362"/>
      <c r="EQ53" s="362"/>
      <c r="ER53" s="362"/>
      <c r="ES53" s="362"/>
      <c r="ET53" s="362"/>
      <c r="EU53" s="362"/>
      <c r="EV53" s="362"/>
      <c r="EW53" s="362"/>
      <c r="EX53" s="362"/>
      <c r="EY53" s="362"/>
      <c r="EZ53" s="362"/>
      <c r="FA53" s="362"/>
      <c r="FB53" s="362"/>
      <c r="FC53" s="362"/>
      <c r="FD53" s="362"/>
      <c r="FE53" s="362"/>
      <c r="FF53" s="362"/>
      <c r="FG53" s="362"/>
      <c r="FH53" s="362"/>
      <c r="FI53" s="362"/>
      <c r="FJ53" s="362"/>
      <c r="FK53" s="362"/>
      <c r="FL53" s="362"/>
      <c r="FM53" s="362"/>
      <c r="FN53" s="362"/>
      <c r="FO53" s="362"/>
      <c r="FP53" s="362"/>
      <c r="FQ53" s="362"/>
      <c r="FR53" s="362"/>
      <c r="FS53" s="362"/>
      <c r="FT53" s="362"/>
      <c r="FU53" s="362"/>
      <c r="FV53" s="362"/>
      <c r="FW53" s="362"/>
      <c r="FX53" s="362"/>
      <c r="FY53" s="362"/>
      <c r="FZ53" s="362"/>
      <c r="GA53" s="362"/>
      <c r="GB53" s="362"/>
      <c r="GC53" s="362"/>
      <c r="GD53" s="362"/>
      <c r="GE53" s="362"/>
      <c r="GF53" s="362"/>
      <c r="GG53" s="362"/>
      <c r="GH53" s="362"/>
      <c r="GI53" s="362"/>
      <c r="GJ53" s="362"/>
      <c r="GK53" s="362"/>
      <c r="GL53" s="362"/>
      <c r="GM53" s="362"/>
      <c r="GN53" s="362"/>
      <c r="GO53" s="362"/>
      <c r="GP53" s="362"/>
      <c r="GQ53" s="362"/>
      <c r="GR53" s="362"/>
      <c r="GS53" s="362"/>
      <c r="GT53" s="362"/>
      <c r="GU53" s="362"/>
      <c r="GV53" s="362"/>
      <c r="GW53" s="362"/>
      <c r="GX53" s="362"/>
      <c r="GY53" s="362"/>
      <c r="GZ53" s="362"/>
      <c r="HA53" s="362"/>
      <c r="HB53" s="362"/>
      <c r="HC53" s="362"/>
      <c r="HD53" s="362"/>
      <c r="HE53" s="362"/>
      <c r="HF53" s="362"/>
      <c r="HG53" s="362"/>
      <c r="HH53" s="362"/>
      <c r="HI53" s="362"/>
      <c r="HJ53" s="362"/>
      <c r="HK53" s="362"/>
      <c r="HL53" s="362"/>
      <c r="HM53" s="362"/>
      <c r="HN53" s="362"/>
      <c r="HO53" s="362"/>
      <c r="HP53" s="362"/>
      <c r="HQ53" s="362"/>
      <c r="HR53" s="362"/>
      <c r="HS53" s="362"/>
      <c r="HT53" s="362"/>
      <c r="HU53" s="362"/>
      <c r="HV53" s="362"/>
      <c r="HW53" s="362"/>
      <c r="HX53" s="362"/>
      <c r="HY53" s="362"/>
      <c r="HZ53" s="362"/>
      <c r="IA53" s="362"/>
      <c r="IB53" s="362"/>
      <c r="IC53" s="362"/>
      <c r="ID53" s="362"/>
      <c r="IE53" s="362"/>
      <c r="IF53" s="362"/>
      <c r="IG53" s="362"/>
      <c r="IH53" s="362"/>
      <c r="II53" s="362"/>
      <c r="IJ53" s="362"/>
      <c r="IK53" s="362"/>
      <c r="IL53" s="362"/>
      <c r="IM53" s="362"/>
      <c r="IN53" s="362"/>
      <c r="IO53" s="362"/>
      <c r="IP53" s="362"/>
      <c r="IQ53" s="362"/>
      <c r="IR53" s="362"/>
      <c r="IS53" s="362"/>
      <c r="IT53" s="362"/>
      <c r="IU53" s="362"/>
    </row>
    <row r="54" spans="1:255" x14ac:dyDescent="0.15">
      <c r="A54" s="376"/>
      <c r="B54" s="151" t="s">
        <v>335</v>
      </c>
      <c r="C54" s="738">
        <f>CRÍTICA_IGP1!C54</f>
        <v>0</v>
      </c>
      <c r="D54" s="170" t="s">
        <v>336</v>
      </c>
      <c r="E54" s="738">
        <f>CRÍTICA_IGP1!E54</f>
        <v>0</v>
      </c>
      <c r="F54" s="171"/>
      <c r="G54" s="296" t="s">
        <v>337</v>
      </c>
      <c r="H54" s="118"/>
      <c r="I54" s="118"/>
      <c r="J54" s="740">
        <f>CRÍTICA_IGP1!J54</f>
        <v>0</v>
      </c>
      <c r="K54" s="180"/>
      <c r="L54" s="180" t="s">
        <v>524</v>
      </c>
      <c r="M54" s="118"/>
      <c r="N54" s="740">
        <f>CRÍTICA_IGP1!N54</f>
        <v>0</v>
      </c>
      <c r="O54" s="391"/>
      <c r="P54" s="1083" t="s">
        <v>688</v>
      </c>
      <c r="Q54" s="1084">
        <v>3</v>
      </c>
      <c r="R54" s="1084">
        <v>4</v>
      </c>
      <c r="S54" s="1084">
        <v>5</v>
      </c>
      <c r="T54" s="1084">
        <v>6</v>
      </c>
      <c r="U54" s="1084">
        <v>7</v>
      </c>
      <c r="V54" s="1084">
        <v>8</v>
      </c>
      <c r="W54" s="1084">
        <v>9</v>
      </c>
      <c r="X54" s="1084">
        <v>10</v>
      </c>
      <c r="Y54" s="1084">
        <v>11</v>
      </c>
      <c r="Z54" s="1084">
        <v>12</v>
      </c>
      <c r="AA54" s="1084">
        <v>13</v>
      </c>
      <c r="AB54" s="1084">
        <v>14</v>
      </c>
      <c r="AC54" s="1084">
        <v>15</v>
      </c>
      <c r="AD54" s="1084">
        <v>16</v>
      </c>
      <c r="AE54" s="1084">
        <v>17</v>
      </c>
      <c r="AF54" s="1084">
        <v>18</v>
      </c>
      <c r="AG54" s="1084">
        <v>19</v>
      </c>
      <c r="AH54" s="1084">
        <v>20</v>
      </c>
      <c r="AI54" s="1084">
        <v>21</v>
      </c>
      <c r="AJ54" s="1084">
        <v>22</v>
      </c>
      <c r="AK54" s="1084">
        <v>23</v>
      </c>
      <c r="AL54" s="1084">
        <v>24</v>
      </c>
      <c r="AM54" s="1084">
        <v>25</v>
      </c>
      <c r="AN54" s="1084">
        <v>26</v>
      </c>
      <c r="AO54" s="1084">
        <v>27</v>
      </c>
      <c r="AP54" s="1084">
        <v>28</v>
      </c>
      <c r="AQ54" s="1084">
        <v>29</v>
      </c>
      <c r="AR54" s="1097">
        <v>30</v>
      </c>
      <c r="AS54" s="362"/>
      <c r="AT54" s="362"/>
      <c r="AU54" s="362"/>
      <c r="AV54" s="362"/>
      <c r="AW54" s="362"/>
      <c r="AX54" s="2"/>
      <c r="AY54" s="2"/>
      <c r="AZ54" s="2"/>
      <c r="BA54" s="1076"/>
      <c r="BB54" s="362"/>
      <c r="BC54" s="362"/>
      <c r="BD54" s="362"/>
      <c r="BE54" s="362"/>
      <c r="BF54" s="362"/>
      <c r="BG54" s="362"/>
      <c r="BH54" s="362"/>
      <c r="BI54" s="362"/>
      <c r="BJ54" s="362"/>
      <c r="BK54" s="362"/>
      <c r="BL54" s="362"/>
      <c r="BM54" s="362"/>
      <c r="BN54" s="362"/>
      <c r="BO54" s="362"/>
      <c r="BP54" s="362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  <c r="CA54" s="362"/>
      <c r="CB54" s="362"/>
      <c r="CC54" s="362"/>
      <c r="CD54" s="362"/>
      <c r="CE54" s="362"/>
      <c r="CF54" s="362"/>
      <c r="CG54" s="362"/>
      <c r="CH54" s="362"/>
      <c r="CI54" s="362"/>
      <c r="CJ54" s="362"/>
      <c r="CK54" s="362"/>
      <c r="CL54" s="362"/>
      <c r="CM54" s="362"/>
      <c r="CN54" s="362"/>
      <c r="CO54" s="362"/>
      <c r="CP54" s="362"/>
      <c r="CQ54" s="362"/>
      <c r="CR54" s="362"/>
      <c r="CS54" s="362"/>
      <c r="CT54" s="362"/>
      <c r="CU54" s="362"/>
      <c r="CV54" s="362"/>
      <c r="CW54" s="362"/>
      <c r="CX54" s="362"/>
      <c r="CY54" s="362"/>
      <c r="CZ54" s="362"/>
      <c r="DA54" s="362"/>
      <c r="DB54" s="362"/>
      <c r="DC54" s="362"/>
      <c r="DD54" s="362"/>
      <c r="DE54" s="362"/>
      <c r="DF54" s="362"/>
      <c r="DG54" s="362"/>
      <c r="DH54" s="362"/>
      <c r="DI54" s="362"/>
      <c r="DJ54" s="362"/>
      <c r="DK54" s="362"/>
      <c r="DL54" s="362"/>
      <c r="DM54" s="362"/>
      <c r="DN54" s="362"/>
      <c r="DO54" s="362"/>
      <c r="DP54" s="362"/>
      <c r="DQ54" s="362"/>
      <c r="DR54" s="362"/>
      <c r="DS54" s="362"/>
      <c r="DT54" s="362"/>
      <c r="DU54" s="362"/>
      <c r="DV54" s="362"/>
      <c r="DW54" s="362"/>
      <c r="DX54" s="362"/>
      <c r="DY54" s="362"/>
      <c r="DZ54" s="362"/>
      <c r="EA54" s="362"/>
      <c r="EB54" s="362"/>
      <c r="EC54" s="362"/>
      <c r="ED54" s="362"/>
      <c r="EE54" s="362"/>
      <c r="EF54" s="362"/>
      <c r="EG54" s="362"/>
      <c r="EH54" s="362"/>
      <c r="EI54" s="362"/>
      <c r="EJ54" s="362"/>
      <c r="EK54" s="362"/>
      <c r="EL54" s="362"/>
      <c r="EM54" s="362"/>
      <c r="EN54" s="362"/>
      <c r="EO54" s="362"/>
      <c r="EP54" s="362"/>
      <c r="EQ54" s="362"/>
      <c r="ER54" s="362"/>
      <c r="ES54" s="362"/>
      <c r="ET54" s="362"/>
      <c r="EU54" s="362"/>
      <c r="EV54" s="362"/>
      <c r="EW54" s="362"/>
      <c r="EX54" s="362"/>
      <c r="EY54" s="362"/>
      <c r="EZ54" s="362"/>
      <c r="FA54" s="362"/>
      <c r="FB54" s="362"/>
      <c r="FC54" s="362"/>
      <c r="FD54" s="362"/>
      <c r="FE54" s="362"/>
      <c r="FF54" s="362"/>
      <c r="FG54" s="362"/>
      <c r="FH54" s="362"/>
      <c r="FI54" s="362"/>
      <c r="FJ54" s="362"/>
      <c r="FK54" s="362"/>
      <c r="FL54" s="362"/>
      <c r="FM54" s="362"/>
      <c r="FN54" s="362"/>
      <c r="FO54" s="362"/>
      <c r="FP54" s="362"/>
      <c r="FQ54" s="362"/>
      <c r="FR54" s="362"/>
      <c r="FS54" s="362"/>
      <c r="FT54" s="362"/>
      <c r="FU54" s="362"/>
      <c r="FV54" s="362"/>
      <c r="FW54" s="362"/>
      <c r="FX54" s="362"/>
      <c r="FY54" s="362"/>
      <c r="FZ54" s="362"/>
      <c r="GA54" s="362"/>
      <c r="GB54" s="362"/>
      <c r="GC54" s="362"/>
      <c r="GD54" s="362"/>
      <c r="GE54" s="362"/>
      <c r="GF54" s="362"/>
      <c r="GG54" s="362"/>
      <c r="GH54" s="362"/>
      <c r="GI54" s="362"/>
      <c r="GJ54" s="362"/>
      <c r="GK54" s="362"/>
      <c r="GL54" s="362"/>
      <c r="GM54" s="362"/>
      <c r="GN54" s="362"/>
      <c r="GO54" s="362"/>
      <c r="GP54" s="362"/>
      <c r="GQ54" s="362"/>
      <c r="GR54" s="362"/>
      <c r="GS54" s="362"/>
      <c r="GT54" s="362"/>
      <c r="GU54" s="362"/>
      <c r="GV54" s="362"/>
      <c r="GW54" s="362"/>
      <c r="GX54" s="362"/>
      <c r="GY54" s="362"/>
      <c r="GZ54" s="362"/>
      <c r="HA54" s="362"/>
      <c r="HB54" s="362"/>
      <c r="HC54" s="362"/>
      <c r="HD54" s="362"/>
      <c r="HE54" s="362"/>
      <c r="HF54" s="362"/>
      <c r="HG54" s="362"/>
      <c r="HH54" s="362"/>
      <c r="HI54" s="362"/>
      <c r="HJ54" s="362"/>
      <c r="HK54" s="362"/>
      <c r="HL54" s="362"/>
      <c r="HM54" s="362"/>
      <c r="HN54" s="362"/>
      <c r="HO54" s="362"/>
      <c r="HP54" s="362"/>
      <c r="HQ54" s="362"/>
      <c r="HR54" s="362"/>
      <c r="HS54" s="362"/>
      <c r="HT54" s="362"/>
      <c r="HU54" s="362"/>
      <c r="HV54" s="362"/>
      <c r="HW54" s="362"/>
      <c r="HX54" s="362"/>
      <c r="HY54" s="362"/>
      <c r="HZ54" s="362"/>
      <c r="IA54" s="362"/>
      <c r="IB54" s="362"/>
      <c r="IC54" s="362"/>
      <c r="ID54" s="362"/>
      <c r="IE54" s="362"/>
      <c r="IF54" s="362"/>
      <c r="IG54" s="362"/>
      <c r="IH54" s="362"/>
      <c r="II54" s="362"/>
      <c r="IJ54" s="362"/>
      <c r="IK54" s="362"/>
      <c r="IL54" s="362"/>
      <c r="IM54" s="362"/>
      <c r="IN54" s="362"/>
      <c r="IO54" s="362"/>
      <c r="IP54" s="362"/>
      <c r="IQ54" s="362"/>
      <c r="IR54" s="362"/>
      <c r="IS54" s="362"/>
      <c r="IT54" s="362"/>
      <c r="IU54" s="362"/>
    </row>
    <row r="55" spans="1:255" x14ac:dyDescent="0.15">
      <c r="A55" s="376"/>
      <c r="B55" s="149" t="s">
        <v>338</v>
      </c>
      <c r="C55" s="738">
        <f>CRÍTICA_IGP1!C55</f>
        <v>0</v>
      </c>
      <c r="D55" s="170" t="s">
        <v>336</v>
      </c>
      <c r="E55" s="738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298"/>
      <c r="O55" s="391"/>
      <c r="P55" s="1093" t="s">
        <v>351</v>
      </c>
      <c r="Q55" s="1094">
        <v>0.03</v>
      </c>
      <c r="R55" s="1094">
        <v>0.04</v>
      </c>
      <c r="S55" s="1094">
        <v>0.05</v>
      </c>
      <c r="T55" s="1094">
        <v>0.06</v>
      </c>
      <c r="U55" s="1094">
        <v>7.0000000000000007E-2</v>
      </c>
      <c r="V55" s="1094">
        <v>0.08</v>
      </c>
      <c r="W55" s="1094">
        <v>0.09</v>
      </c>
      <c r="X55" s="1094">
        <v>0.1</v>
      </c>
      <c r="Y55" s="1094">
        <v>0.11</v>
      </c>
      <c r="Z55" s="1094">
        <v>0.12</v>
      </c>
      <c r="AA55" s="1094">
        <v>0.13</v>
      </c>
      <c r="AB55" s="1094">
        <v>0.14000000000000001</v>
      </c>
      <c r="AC55" s="1094">
        <v>0.15</v>
      </c>
      <c r="AD55" s="1094">
        <v>0.16</v>
      </c>
      <c r="AE55" s="1094">
        <v>0.17</v>
      </c>
      <c r="AF55" s="1094">
        <v>0.18</v>
      </c>
      <c r="AG55" s="1094">
        <v>0.19</v>
      </c>
      <c r="AH55" s="1094">
        <v>0.2</v>
      </c>
      <c r="AI55" s="1094">
        <v>0.21</v>
      </c>
      <c r="AJ55" s="1094">
        <v>0.22</v>
      </c>
      <c r="AK55" s="1094">
        <v>0.23</v>
      </c>
      <c r="AL55" s="1094">
        <v>0.24</v>
      </c>
      <c r="AM55" s="1094">
        <v>0.25</v>
      </c>
      <c r="AN55" s="1094">
        <v>0.26</v>
      </c>
      <c r="AO55" s="1094">
        <v>0.27</v>
      </c>
      <c r="AP55" s="1094">
        <v>0.28000000000000003</v>
      </c>
      <c r="AQ55" s="1094">
        <v>0.28999999999999998</v>
      </c>
      <c r="AR55" s="1095">
        <v>0.3</v>
      </c>
      <c r="AS55" s="362"/>
      <c r="AT55" s="362"/>
      <c r="AU55" s="362"/>
      <c r="AV55" s="362"/>
      <c r="AW55" s="362"/>
      <c r="AX55" s="2"/>
      <c r="AY55" s="2"/>
      <c r="AZ55" s="2"/>
      <c r="BA55" s="1076"/>
      <c r="BB55" s="362"/>
      <c r="BC55" s="362"/>
      <c r="BD55" s="362"/>
      <c r="BE55" s="362"/>
      <c r="BF55" s="362"/>
      <c r="BG55" s="362"/>
      <c r="BH55" s="362"/>
      <c r="BI55" s="362"/>
      <c r="BJ55" s="362"/>
      <c r="BK55" s="362"/>
      <c r="BL55" s="362"/>
      <c r="BM55" s="362"/>
      <c r="BN55" s="362"/>
      <c r="BO55" s="362"/>
      <c r="BP55" s="362"/>
      <c r="BQ55" s="362"/>
      <c r="BR55" s="362"/>
      <c r="BS55" s="362"/>
      <c r="BT55" s="362"/>
      <c r="BU55" s="362"/>
      <c r="BV55" s="362"/>
      <c r="BW55" s="362"/>
      <c r="BX55" s="362"/>
      <c r="BY55" s="362"/>
      <c r="BZ55" s="362"/>
      <c r="CA55" s="362"/>
      <c r="CB55" s="362"/>
      <c r="CC55" s="362"/>
      <c r="CD55" s="362"/>
      <c r="CE55" s="362"/>
      <c r="CF55" s="362"/>
      <c r="CG55" s="362"/>
      <c r="CH55" s="362"/>
      <c r="CI55" s="362"/>
      <c r="CJ55" s="362"/>
      <c r="CK55" s="362"/>
      <c r="CL55" s="362"/>
      <c r="CM55" s="362"/>
      <c r="CN55" s="362"/>
      <c r="CO55" s="362"/>
      <c r="CP55" s="362"/>
      <c r="CQ55" s="362"/>
      <c r="CR55" s="362"/>
      <c r="CS55" s="362"/>
      <c r="CT55" s="362"/>
      <c r="CU55" s="362"/>
      <c r="CV55" s="362"/>
      <c r="CW55" s="362"/>
      <c r="CX55" s="362"/>
      <c r="CY55" s="362"/>
      <c r="CZ55" s="362"/>
      <c r="DA55" s="362"/>
      <c r="DB55" s="362"/>
      <c r="DC55" s="362"/>
      <c r="DD55" s="362"/>
      <c r="DE55" s="362"/>
      <c r="DF55" s="362"/>
      <c r="DG55" s="362"/>
      <c r="DH55" s="362"/>
      <c r="DI55" s="362"/>
      <c r="DJ55" s="362"/>
      <c r="DK55" s="362"/>
      <c r="DL55" s="362"/>
      <c r="DM55" s="362"/>
      <c r="DN55" s="362"/>
      <c r="DO55" s="362"/>
      <c r="DP55" s="362"/>
      <c r="DQ55" s="362"/>
      <c r="DR55" s="362"/>
      <c r="DS55" s="362"/>
      <c r="DT55" s="362"/>
      <c r="DU55" s="362"/>
      <c r="DV55" s="362"/>
      <c r="DW55" s="362"/>
      <c r="DX55" s="362"/>
      <c r="DY55" s="362"/>
      <c r="DZ55" s="362"/>
      <c r="EA55" s="362"/>
      <c r="EB55" s="362"/>
      <c r="EC55" s="362"/>
      <c r="ED55" s="362"/>
      <c r="EE55" s="362"/>
      <c r="EF55" s="362"/>
      <c r="EG55" s="362"/>
      <c r="EH55" s="362"/>
      <c r="EI55" s="362"/>
      <c r="EJ55" s="362"/>
      <c r="EK55" s="362"/>
      <c r="EL55" s="362"/>
      <c r="EM55" s="362"/>
      <c r="EN55" s="362"/>
      <c r="EO55" s="362"/>
      <c r="EP55" s="362"/>
      <c r="EQ55" s="362"/>
      <c r="ER55" s="362"/>
      <c r="ES55" s="362"/>
      <c r="ET55" s="362"/>
      <c r="EU55" s="362"/>
      <c r="EV55" s="362"/>
      <c r="EW55" s="362"/>
      <c r="EX55" s="362"/>
      <c r="EY55" s="362"/>
      <c r="EZ55" s="362"/>
      <c r="FA55" s="362"/>
      <c r="FB55" s="362"/>
      <c r="FC55" s="362"/>
      <c r="FD55" s="362"/>
      <c r="FE55" s="362"/>
      <c r="FF55" s="362"/>
      <c r="FG55" s="362"/>
      <c r="FH55" s="362"/>
      <c r="FI55" s="362"/>
      <c r="FJ55" s="362"/>
      <c r="FK55" s="362"/>
      <c r="FL55" s="362"/>
      <c r="FM55" s="362"/>
      <c r="FN55" s="362"/>
      <c r="FO55" s="362"/>
      <c r="FP55" s="362"/>
      <c r="FQ55" s="362"/>
      <c r="FR55" s="362"/>
      <c r="FS55" s="362"/>
      <c r="FT55" s="362"/>
      <c r="FU55" s="362"/>
      <c r="FV55" s="362"/>
      <c r="FW55" s="362"/>
      <c r="FX55" s="362"/>
      <c r="FY55" s="362"/>
      <c r="FZ55" s="362"/>
      <c r="GA55" s="362"/>
      <c r="GB55" s="362"/>
      <c r="GC55" s="362"/>
      <c r="GD55" s="362"/>
      <c r="GE55" s="362"/>
      <c r="GF55" s="362"/>
      <c r="GG55" s="362"/>
      <c r="GH55" s="362"/>
      <c r="GI55" s="362"/>
      <c r="GJ55" s="362"/>
      <c r="GK55" s="362"/>
      <c r="GL55" s="362"/>
      <c r="GM55" s="362"/>
      <c r="GN55" s="362"/>
      <c r="GO55" s="362"/>
      <c r="GP55" s="362"/>
      <c r="GQ55" s="362"/>
      <c r="GR55" s="362"/>
      <c r="GS55" s="362"/>
      <c r="GT55" s="362"/>
      <c r="GU55" s="362"/>
      <c r="GV55" s="362"/>
      <c r="GW55" s="362"/>
      <c r="GX55" s="362"/>
      <c r="GY55" s="362"/>
      <c r="GZ55" s="362"/>
      <c r="HA55" s="362"/>
      <c r="HB55" s="362"/>
      <c r="HC55" s="362"/>
      <c r="HD55" s="362"/>
      <c r="HE55" s="362"/>
      <c r="HF55" s="362"/>
      <c r="HG55" s="362"/>
      <c r="HH55" s="362"/>
      <c r="HI55" s="362"/>
      <c r="HJ55" s="362"/>
      <c r="HK55" s="362"/>
      <c r="HL55" s="362"/>
      <c r="HM55" s="362"/>
      <c r="HN55" s="362"/>
      <c r="HO55" s="362"/>
      <c r="HP55" s="362"/>
      <c r="HQ55" s="362"/>
      <c r="HR55" s="362"/>
      <c r="HS55" s="362"/>
      <c r="HT55" s="362"/>
      <c r="HU55" s="362"/>
      <c r="HV55" s="362"/>
      <c r="HW55" s="362"/>
      <c r="HX55" s="362"/>
      <c r="HY55" s="362"/>
      <c r="HZ55" s="362"/>
      <c r="IA55" s="362"/>
      <c r="IB55" s="362"/>
      <c r="IC55" s="362"/>
      <c r="ID55" s="362"/>
      <c r="IE55" s="362"/>
      <c r="IF55" s="362"/>
      <c r="IG55" s="362"/>
      <c r="IH55" s="362"/>
      <c r="II55" s="362"/>
      <c r="IJ55" s="362"/>
      <c r="IK55" s="362"/>
      <c r="IL55" s="362"/>
      <c r="IM55" s="362"/>
      <c r="IN55" s="362"/>
      <c r="IO55" s="362"/>
      <c r="IP55" s="362"/>
      <c r="IQ55" s="362"/>
      <c r="IR55" s="362"/>
      <c r="IS55" s="362"/>
      <c r="IT55" s="362"/>
      <c r="IU55" s="362"/>
    </row>
    <row r="56" spans="1:255" x14ac:dyDescent="0.15">
      <c r="A56" s="376"/>
      <c r="B56" s="149" t="s">
        <v>606</v>
      </c>
      <c r="C56" s="738">
        <f>CRÍTICA_IGP1!C56</f>
        <v>0</v>
      </c>
      <c r="D56" s="170" t="s">
        <v>336</v>
      </c>
      <c r="E56" s="738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298"/>
      <c r="O56" s="391"/>
      <c r="P56" s="1080"/>
      <c r="Q56" s="1096"/>
      <c r="R56" s="1096"/>
      <c r="S56" s="1096"/>
      <c r="T56" s="1096"/>
      <c r="U56" s="1096"/>
      <c r="V56" s="1096"/>
      <c r="W56" s="1096"/>
      <c r="X56" s="1096"/>
      <c r="Y56" s="1096"/>
      <c r="Z56" s="1096"/>
      <c r="AA56" s="1096"/>
      <c r="AB56" s="1096"/>
      <c r="AC56" s="362"/>
      <c r="AD56" s="362"/>
      <c r="AE56" s="362"/>
      <c r="AF56" s="362"/>
      <c r="AG56" s="362"/>
      <c r="AH56" s="362"/>
      <c r="AI56" s="362"/>
      <c r="AJ56" s="362"/>
      <c r="AK56" s="362"/>
      <c r="AL56" s="362"/>
      <c r="AM56" s="362"/>
      <c r="AN56" s="362"/>
      <c r="AO56" s="362"/>
      <c r="AP56" s="362"/>
      <c r="AQ56" s="362"/>
      <c r="AR56" s="362"/>
      <c r="AS56" s="362"/>
      <c r="AT56" s="362"/>
      <c r="AU56" s="362"/>
      <c r="AV56" s="362"/>
      <c r="AW56" s="362"/>
      <c r="AX56" s="2"/>
      <c r="AY56" s="2"/>
      <c r="AZ56" s="2"/>
      <c r="BA56" s="1076"/>
      <c r="BB56" s="362"/>
      <c r="BC56" s="362"/>
      <c r="BD56" s="362"/>
      <c r="BE56" s="362"/>
      <c r="BF56" s="362"/>
      <c r="BG56" s="362"/>
      <c r="BH56" s="362"/>
      <c r="BI56" s="362"/>
      <c r="BJ56" s="362"/>
      <c r="BK56" s="362"/>
      <c r="BL56" s="362"/>
      <c r="BM56" s="362"/>
      <c r="BN56" s="362"/>
      <c r="BO56" s="362"/>
      <c r="BP56" s="362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  <c r="CA56" s="362"/>
      <c r="CB56" s="362"/>
      <c r="CC56" s="362"/>
      <c r="CD56" s="362"/>
      <c r="CE56" s="362"/>
      <c r="CF56" s="362"/>
      <c r="CG56" s="362"/>
      <c r="CH56" s="362"/>
      <c r="CI56" s="362"/>
      <c r="CJ56" s="362"/>
      <c r="CK56" s="362"/>
      <c r="CL56" s="362"/>
      <c r="CM56" s="362"/>
      <c r="CN56" s="362"/>
      <c r="CO56" s="362"/>
      <c r="CP56" s="362"/>
      <c r="CQ56" s="362"/>
      <c r="CR56" s="362"/>
      <c r="CS56" s="362"/>
      <c r="CT56" s="362"/>
      <c r="CU56" s="362"/>
      <c r="CV56" s="362"/>
      <c r="CW56" s="362"/>
      <c r="CX56" s="362"/>
      <c r="CY56" s="362"/>
      <c r="CZ56" s="362"/>
      <c r="DA56" s="362"/>
      <c r="DB56" s="362"/>
      <c r="DC56" s="362"/>
      <c r="DD56" s="362"/>
      <c r="DE56" s="362"/>
      <c r="DF56" s="362"/>
      <c r="DG56" s="362"/>
      <c r="DH56" s="362"/>
      <c r="DI56" s="362"/>
      <c r="DJ56" s="362"/>
      <c r="DK56" s="362"/>
      <c r="DL56" s="362"/>
      <c r="DM56" s="362"/>
      <c r="DN56" s="362"/>
      <c r="DO56" s="362"/>
      <c r="DP56" s="362"/>
      <c r="DQ56" s="362"/>
      <c r="DR56" s="362"/>
      <c r="DS56" s="362"/>
      <c r="DT56" s="362"/>
      <c r="DU56" s="362"/>
      <c r="DV56" s="362"/>
      <c r="DW56" s="362"/>
      <c r="DX56" s="362"/>
      <c r="DY56" s="362"/>
      <c r="DZ56" s="362"/>
      <c r="EA56" s="362"/>
      <c r="EB56" s="362"/>
      <c r="EC56" s="362"/>
      <c r="ED56" s="362"/>
      <c r="EE56" s="362"/>
      <c r="EF56" s="362"/>
      <c r="EG56" s="362"/>
      <c r="EH56" s="362"/>
      <c r="EI56" s="362"/>
      <c r="EJ56" s="362"/>
      <c r="EK56" s="362"/>
      <c r="EL56" s="362"/>
      <c r="EM56" s="362"/>
      <c r="EN56" s="362"/>
      <c r="EO56" s="362"/>
      <c r="EP56" s="362"/>
      <c r="EQ56" s="362"/>
      <c r="ER56" s="362"/>
      <c r="ES56" s="362"/>
      <c r="ET56" s="362"/>
      <c r="EU56" s="362"/>
      <c r="EV56" s="362"/>
      <c r="EW56" s="362"/>
      <c r="EX56" s="362"/>
      <c r="EY56" s="362"/>
      <c r="EZ56" s="362"/>
      <c r="FA56" s="362"/>
      <c r="FB56" s="362"/>
      <c r="FC56" s="362"/>
      <c r="FD56" s="362"/>
      <c r="FE56" s="362"/>
      <c r="FF56" s="362"/>
      <c r="FG56" s="362"/>
      <c r="FH56" s="362"/>
      <c r="FI56" s="362"/>
      <c r="FJ56" s="362"/>
      <c r="FK56" s="362"/>
      <c r="FL56" s="362"/>
      <c r="FM56" s="362"/>
      <c r="FN56" s="362"/>
      <c r="FO56" s="362"/>
      <c r="FP56" s="362"/>
      <c r="FQ56" s="362"/>
      <c r="FR56" s="362"/>
      <c r="FS56" s="362"/>
      <c r="FT56" s="362"/>
      <c r="FU56" s="362"/>
      <c r="FV56" s="362"/>
      <c r="FW56" s="362"/>
      <c r="FX56" s="362"/>
      <c r="FY56" s="362"/>
      <c r="FZ56" s="362"/>
      <c r="GA56" s="362"/>
      <c r="GB56" s="362"/>
      <c r="GC56" s="362"/>
      <c r="GD56" s="362"/>
      <c r="GE56" s="362"/>
      <c r="GF56" s="362"/>
      <c r="GG56" s="362"/>
      <c r="GH56" s="362"/>
      <c r="GI56" s="362"/>
      <c r="GJ56" s="362"/>
      <c r="GK56" s="362"/>
      <c r="GL56" s="362"/>
      <c r="GM56" s="362"/>
      <c r="GN56" s="362"/>
      <c r="GO56" s="362"/>
      <c r="GP56" s="362"/>
      <c r="GQ56" s="362"/>
      <c r="GR56" s="362"/>
      <c r="GS56" s="362"/>
      <c r="GT56" s="362"/>
      <c r="GU56" s="362"/>
      <c r="GV56" s="362"/>
      <c r="GW56" s="362"/>
      <c r="GX56" s="362"/>
      <c r="GY56" s="362"/>
      <c r="GZ56" s="362"/>
      <c r="HA56" s="362"/>
      <c r="HB56" s="362"/>
      <c r="HC56" s="362"/>
      <c r="HD56" s="362"/>
      <c r="HE56" s="362"/>
      <c r="HF56" s="362"/>
      <c r="HG56" s="362"/>
      <c r="HH56" s="362"/>
      <c r="HI56" s="362"/>
      <c r="HJ56" s="362"/>
      <c r="HK56" s="362"/>
      <c r="HL56" s="362"/>
      <c r="HM56" s="362"/>
      <c r="HN56" s="362"/>
      <c r="HO56" s="362"/>
      <c r="HP56" s="362"/>
      <c r="HQ56" s="362"/>
      <c r="HR56" s="362"/>
      <c r="HS56" s="362"/>
      <c r="HT56" s="362"/>
      <c r="HU56" s="362"/>
      <c r="HV56" s="362"/>
      <c r="HW56" s="362"/>
      <c r="HX56" s="362"/>
      <c r="HY56" s="362"/>
      <c r="HZ56" s="362"/>
      <c r="IA56" s="362"/>
      <c r="IB56" s="362"/>
      <c r="IC56" s="362"/>
      <c r="ID56" s="362"/>
      <c r="IE56" s="362"/>
      <c r="IF56" s="362"/>
      <c r="IG56" s="362"/>
      <c r="IH56" s="362"/>
      <c r="II56" s="362"/>
      <c r="IJ56" s="362"/>
      <c r="IK56" s="362"/>
      <c r="IL56" s="362"/>
      <c r="IM56" s="362"/>
      <c r="IN56" s="362"/>
      <c r="IO56" s="362"/>
      <c r="IP56" s="362"/>
      <c r="IQ56" s="362"/>
      <c r="IR56" s="362"/>
      <c r="IS56" s="362"/>
      <c r="IT56" s="362"/>
      <c r="IU56" s="362"/>
    </row>
    <row r="57" spans="1:255" x14ac:dyDescent="0.15">
      <c r="A57" s="376"/>
      <c r="B57" s="251" t="s">
        <v>606</v>
      </c>
      <c r="C57" s="741">
        <f>CRÍTICA_IGP1!C57</f>
        <v>0</v>
      </c>
      <c r="D57" s="271" t="s">
        <v>336</v>
      </c>
      <c r="E57" s="738">
        <f>CRÍTICA_IGP1!E57</f>
        <v>0</v>
      </c>
      <c r="F57" s="171">
        <f>IF(C57=0,0,IF(E57=0,0,E57-C57+1))-N57</f>
        <v>0</v>
      </c>
      <c r="G57" s="251"/>
      <c r="H57" s="131"/>
      <c r="I57" s="131"/>
      <c r="J57" s="287" t="s">
        <v>704</v>
      </c>
      <c r="K57" s="162"/>
      <c r="L57" s="162"/>
      <c r="M57" s="297"/>
      <c r="N57" s="740">
        <f>CRÍTICA_IGP1!N57</f>
        <v>0</v>
      </c>
      <c r="O57" s="391"/>
      <c r="P57" s="1083" t="s">
        <v>690</v>
      </c>
      <c r="Q57" s="1084">
        <v>3</v>
      </c>
      <c r="R57" s="1084">
        <v>6</v>
      </c>
      <c r="S57" s="1084">
        <v>9</v>
      </c>
      <c r="T57" s="1084">
        <v>12</v>
      </c>
      <c r="U57" s="1084">
        <v>15</v>
      </c>
      <c r="V57" s="1084">
        <v>18</v>
      </c>
      <c r="W57" s="1084">
        <v>21</v>
      </c>
      <c r="X57" s="1084">
        <v>24</v>
      </c>
      <c r="Y57" s="1084">
        <v>27</v>
      </c>
      <c r="Z57" s="1084">
        <v>30</v>
      </c>
      <c r="AA57" s="1097">
        <v>33</v>
      </c>
      <c r="AB57" s="1096"/>
      <c r="AC57" s="362"/>
      <c r="AD57" s="362"/>
      <c r="AE57" s="362"/>
      <c r="AF57" s="362"/>
      <c r="AG57" s="362"/>
      <c r="AH57" s="362"/>
      <c r="AI57" s="362"/>
      <c r="AJ57" s="362"/>
      <c r="AK57" s="362"/>
      <c r="AL57" s="362"/>
      <c r="AM57" s="362"/>
      <c r="AN57" s="362"/>
      <c r="AO57" s="362"/>
      <c r="AP57" s="362"/>
      <c r="AQ57" s="362"/>
      <c r="AR57" s="362"/>
      <c r="AS57" s="362"/>
      <c r="AT57" s="362"/>
      <c r="AU57" s="362"/>
      <c r="AV57" s="362"/>
      <c r="AW57" s="362"/>
      <c r="AX57" s="2"/>
      <c r="AY57" s="2"/>
      <c r="AZ57" s="2"/>
      <c r="BA57" s="1076"/>
      <c r="BB57" s="362"/>
      <c r="BC57" s="362"/>
      <c r="BD57" s="362"/>
      <c r="BE57" s="362"/>
      <c r="BF57" s="362"/>
      <c r="BG57" s="362"/>
      <c r="BH57" s="362"/>
      <c r="BI57" s="362"/>
      <c r="BJ57" s="362"/>
      <c r="BK57" s="362"/>
      <c r="BL57" s="362"/>
      <c r="BM57" s="362"/>
      <c r="BN57" s="362"/>
      <c r="BO57" s="362"/>
      <c r="BP57" s="362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  <c r="CA57" s="362"/>
      <c r="CB57" s="362"/>
      <c r="CC57" s="362"/>
      <c r="CD57" s="362"/>
      <c r="CE57" s="362"/>
      <c r="CF57" s="362"/>
      <c r="CG57" s="362"/>
      <c r="CH57" s="362"/>
      <c r="CI57" s="362"/>
      <c r="CJ57" s="362"/>
      <c r="CK57" s="362"/>
      <c r="CL57" s="362"/>
      <c r="CM57" s="362"/>
      <c r="CN57" s="362"/>
      <c r="CO57" s="362"/>
      <c r="CP57" s="362"/>
      <c r="CQ57" s="362"/>
      <c r="CR57" s="362"/>
      <c r="CS57" s="362"/>
      <c r="CT57" s="362"/>
      <c r="CU57" s="362"/>
      <c r="CV57" s="362"/>
      <c r="CW57" s="362"/>
      <c r="CX57" s="362"/>
      <c r="CY57" s="362"/>
      <c r="CZ57" s="362"/>
      <c r="DA57" s="362"/>
      <c r="DB57" s="362"/>
      <c r="DC57" s="362"/>
      <c r="DD57" s="362"/>
      <c r="DE57" s="362"/>
      <c r="DF57" s="362"/>
      <c r="DG57" s="362"/>
      <c r="DH57" s="362"/>
      <c r="DI57" s="362"/>
      <c r="DJ57" s="362"/>
      <c r="DK57" s="362"/>
      <c r="DL57" s="362"/>
      <c r="DM57" s="362"/>
      <c r="DN57" s="362"/>
      <c r="DO57" s="362"/>
      <c r="DP57" s="362"/>
      <c r="DQ57" s="362"/>
      <c r="DR57" s="362"/>
      <c r="DS57" s="362"/>
      <c r="DT57" s="362"/>
      <c r="DU57" s="362"/>
      <c r="DV57" s="362"/>
      <c r="DW57" s="362"/>
      <c r="DX57" s="362"/>
      <c r="DY57" s="362"/>
      <c r="DZ57" s="362"/>
      <c r="EA57" s="362"/>
      <c r="EB57" s="362"/>
      <c r="EC57" s="362"/>
      <c r="ED57" s="362"/>
      <c r="EE57" s="362"/>
      <c r="EF57" s="362"/>
      <c r="EG57" s="362"/>
      <c r="EH57" s="362"/>
      <c r="EI57" s="362"/>
      <c r="EJ57" s="362"/>
      <c r="EK57" s="362"/>
      <c r="EL57" s="362"/>
      <c r="EM57" s="362"/>
      <c r="EN57" s="362"/>
      <c r="EO57" s="362"/>
      <c r="EP57" s="362"/>
      <c r="EQ57" s="362"/>
      <c r="ER57" s="362"/>
      <c r="ES57" s="362"/>
      <c r="ET57" s="362"/>
      <c r="EU57" s="362"/>
      <c r="EV57" s="362"/>
      <c r="EW57" s="362"/>
      <c r="EX57" s="362"/>
      <c r="EY57" s="362"/>
      <c r="EZ57" s="362"/>
      <c r="FA57" s="362"/>
      <c r="FB57" s="362"/>
      <c r="FC57" s="362"/>
      <c r="FD57" s="362"/>
      <c r="FE57" s="362"/>
      <c r="FF57" s="362"/>
      <c r="FG57" s="362"/>
      <c r="FH57" s="362"/>
      <c r="FI57" s="362"/>
      <c r="FJ57" s="362"/>
      <c r="FK57" s="362"/>
      <c r="FL57" s="362"/>
      <c r="FM57" s="362"/>
      <c r="FN57" s="362"/>
      <c r="FO57" s="362"/>
      <c r="FP57" s="362"/>
      <c r="FQ57" s="362"/>
      <c r="FR57" s="362"/>
      <c r="FS57" s="362"/>
      <c r="FT57" s="362"/>
      <c r="FU57" s="362"/>
      <c r="FV57" s="362"/>
      <c r="FW57" s="362"/>
      <c r="FX57" s="362"/>
      <c r="FY57" s="362"/>
      <c r="FZ57" s="362"/>
      <c r="GA57" s="362"/>
      <c r="GB57" s="362"/>
      <c r="GC57" s="362"/>
      <c r="GD57" s="362"/>
      <c r="GE57" s="362"/>
      <c r="GF57" s="362"/>
      <c r="GG57" s="362"/>
      <c r="GH57" s="362"/>
      <c r="GI57" s="362"/>
      <c r="GJ57" s="362"/>
      <c r="GK57" s="362"/>
      <c r="GL57" s="362"/>
      <c r="GM57" s="362"/>
      <c r="GN57" s="362"/>
      <c r="GO57" s="362"/>
      <c r="GP57" s="362"/>
      <c r="GQ57" s="362"/>
      <c r="GR57" s="362"/>
      <c r="GS57" s="362"/>
      <c r="GT57" s="362"/>
      <c r="GU57" s="362"/>
      <c r="GV57" s="362"/>
      <c r="GW57" s="362"/>
      <c r="GX57" s="362"/>
      <c r="GY57" s="362"/>
      <c r="GZ57" s="362"/>
      <c r="HA57" s="362"/>
      <c r="HB57" s="362"/>
      <c r="HC57" s="362"/>
      <c r="HD57" s="362"/>
      <c r="HE57" s="362"/>
      <c r="HF57" s="362"/>
      <c r="HG57" s="362"/>
      <c r="HH57" s="362"/>
      <c r="HI57" s="362"/>
      <c r="HJ57" s="362"/>
      <c r="HK57" s="362"/>
      <c r="HL57" s="362"/>
      <c r="HM57" s="362"/>
      <c r="HN57" s="362"/>
      <c r="HO57" s="362"/>
      <c r="HP57" s="362"/>
      <c r="HQ57" s="362"/>
      <c r="HR57" s="362"/>
      <c r="HS57" s="362"/>
      <c r="HT57" s="362"/>
      <c r="HU57" s="362"/>
      <c r="HV57" s="362"/>
      <c r="HW57" s="362"/>
      <c r="HX57" s="362"/>
      <c r="HY57" s="362"/>
      <c r="HZ57" s="362"/>
      <c r="IA57" s="362"/>
      <c r="IB57" s="362"/>
      <c r="IC57" s="362"/>
      <c r="ID57" s="362"/>
      <c r="IE57" s="362"/>
      <c r="IF57" s="362"/>
      <c r="IG57" s="362"/>
      <c r="IH57" s="362"/>
      <c r="II57" s="362"/>
      <c r="IJ57" s="362"/>
      <c r="IK57" s="362"/>
      <c r="IL57" s="362"/>
      <c r="IM57" s="362"/>
      <c r="IN57" s="362"/>
      <c r="IO57" s="362"/>
      <c r="IP57" s="362"/>
      <c r="IQ57" s="362"/>
      <c r="IR57" s="362"/>
      <c r="IS57" s="362"/>
      <c r="IT57" s="362"/>
      <c r="IU57" s="362"/>
    </row>
    <row r="58" spans="1:255" ht="6" customHeight="1" thickBot="1" x14ac:dyDescent="0.2">
      <c r="A58" s="295"/>
      <c r="B58" s="685"/>
      <c r="C58" s="277" t="str">
        <f>IF(C54&gt;0,C54,IF(C55&gt;0,C55,IF(C56&gt;0,C56,IF(C57&gt;0,C57,"REVER"))))</f>
        <v>REVER</v>
      </c>
      <c r="D58" s="22"/>
      <c r="E58" s="1210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391"/>
      <c r="P58" s="1093" t="s">
        <v>351</v>
      </c>
      <c r="Q58" s="1094">
        <v>0.1</v>
      </c>
      <c r="R58" s="1094">
        <v>0.14000000000000001</v>
      </c>
      <c r="S58" s="1094">
        <v>0.18</v>
      </c>
      <c r="T58" s="1094">
        <v>0.22</v>
      </c>
      <c r="U58" s="1094">
        <v>0.25</v>
      </c>
      <c r="V58" s="1094">
        <v>0.3</v>
      </c>
      <c r="W58" s="1094">
        <v>0.32</v>
      </c>
      <c r="X58" s="1094">
        <v>0.35</v>
      </c>
      <c r="Y58" s="1094">
        <v>0.4</v>
      </c>
      <c r="Z58" s="1094">
        <v>0.45</v>
      </c>
      <c r="AA58" s="1095">
        <v>0.5</v>
      </c>
      <c r="AB58" s="1104"/>
      <c r="AC58" s="1090"/>
      <c r="AD58" s="1091"/>
      <c r="AE58" s="1091"/>
      <c r="AF58" s="1091"/>
      <c r="AG58" s="1090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1076"/>
      <c r="BB58" s="362"/>
      <c r="BC58" s="362"/>
      <c r="BD58" s="362"/>
      <c r="BE58" s="362"/>
      <c r="BF58" s="362"/>
      <c r="BG58" s="362"/>
      <c r="BH58" s="362"/>
      <c r="BI58" s="362"/>
      <c r="BJ58" s="362"/>
      <c r="BK58" s="362"/>
      <c r="BL58" s="362"/>
      <c r="BM58" s="362"/>
      <c r="BN58" s="362"/>
      <c r="BO58" s="362"/>
      <c r="BP58" s="362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  <c r="CA58" s="362"/>
      <c r="CB58" s="362"/>
      <c r="CC58" s="362"/>
      <c r="CD58" s="362"/>
      <c r="CE58" s="362"/>
      <c r="CF58" s="362"/>
      <c r="CG58" s="362"/>
      <c r="CH58" s="362"/>
      <c r="CI58" s="362"/>
      <c r="CJ58" s="362"/>
      <c r="CK58" s="362"/>
      <c r="CL58" s="362"/>
      <c r="CM58" s="362"/>
      <c r="CN58" s="362"/>
      <c r="CO58" s="362"/>
      <c r="CP58" s="362"/>
      <c r="CQ58" s="362"/>
      <c r="CR58" s="362"/>
      <c r="CS58" s="362"/>
      <c r="CT58" s="362"/>
      <c r="CU58" s="362"/>
      <c r="CV58" s="362"/>
      <c r="CW58" s="362"/>
      <c r="CX58" s="362"/>
      <c r="CY58" s="362"/>
      <c r="CZ58" s="362"/>
      <c r="DA58" s="362"/>
      <c r="DB58" s="362"/>
      <c r="DC58" s="362"/>
      <c r="DD58" s="362"/>
      <c r="DE58" s="362"/>
      <c r="DF58" s="362"/>
      <c r="DG58" s="362"/>
      <c r="DH58" s="362"/>
      <c r="DI58" s="362"/>
      <c r="DJ58" s="362"/>
      <c r="DK58" s="362"/>
      <c r="DL58" s="362"/>
      <c r="DM58" s="362"/>
      <c r="DN58" s="362"/>
      <c r="DO58" s="362"/>
      <c r="DP58" s="362"/>
      <c r="DQ58" s="362"/>
      <c r="DR58" s="362"/>
      <c r="DS58" s="362"/>
      <c r="DT58" s="362"/>
      <c r="DU58" s="362"/>
      <c r="DV58" s="362"/>
      <c r="DW58" s="362"/>
      <c r="DX58" s="362"/>
      <c r="DY58" s="362"/>
      <c r="DZ58" s="362"/>
      <c r="EA58" s="362"/>
      <c r="EB58" s="362"/>
      <c r="EC58" s="362"/>
      <c r="ED58" s="362"/>
      <c r="EE58" s="362"/>
      <c r="EF58" s="362"/>
      <c r="EG58" s="362"/>
      <c r="EH58" s="362"/>
      <c r="EI58" s="362"/>
      <c r="EJ58" s="362"/>
      <c r="EK58" s="362"/>
      <c r="EL58" s="362"/>
      <c r="EM58" s="362"/>
      <c r="EN58" s="362"/>
      <c r="EO58" s="362"/>
      <c r="EP58" s="362"/>
      <c r="EQ58" s="362"/>
      <c r="ER58" s="362"/>
      <c r="ES58" s="362"/>
      <c r="ET58" s="362"/>
      <c r="EU58" s="362"/>
      <c r="EV58" s="362"/>
      <c r="EW58" s="362"/>
      <c r="EX58" s="362"/>
      <c r="EY58" s="362"/>
      <c r="EZ58" s="362"/>
      <c r="FA58" s="362"/>
      <c r="FB58" s="362"/>
      <c r="FC58" s="362"/>
      <c r="FD58" s="362"/>
      <c r="FE58" s="362"/>
      <c r="FF58" s="362"/>
      <c r="FG58" s="362"/>
      <c r="FH58" s="362"/>
      <c r="FI58" s="362"/>
      <c r="FJ58" s="362"/>
      <c r="FK58" s="362"/>
      <c r="FL58" s="362"/>
      <c r="FM58" s="362"/>
      <c r="FN58" s="362"/>
      <c r="FO58" s="362"/>
      <c r="FP58" s="362"/>
      <c r="FQ58" s="362"/>
      <c r="FR58" s="362"/>
      <c r="FS58" s="362"/>
      <c r="FT58" s="362"/>
      <c r="FU58" s="362"/>
      <c r="FV58" s="362"/>
      <c r="FW58" s="362"/>
      <c r="FX58" s="362"/>
      <c r="FY58" s="362"/>
      <c r="FZ58" s="362"/>
      <c r="GA58" s="362"/>
      <c r="GB58" s="362"/>
      <c r="GC58" s="362"/>
      <c r="GD58" s="362"/>
      <c r="GE58" s="362"/>
      <c r="GF58" s="362"/>
      <c r="GG58" s="362"/>
      <c r="GH58" s="362"/>
      <c r="GI58" s="362"/>
      <c r="GJ58" s="362"/>
      <c r="GK58" s="362"/>
      <c r="GL58" s="362"/>
      <c r="GM58" s="362"/>
      <c r="GN58" s="362"/>
      <c r="GO58" s="362"/>
      <c r="GP58" s="362"/>
      <c r="GQ58" s="362"/>
      <c r="GR58" s="362"/>
      <c r="GS58" s="362"/>
      <c r="GT58" s="362"/>
      <c r="GU58" s="362"/>
      <c r="GV58" s="362"/>
      <c r="GW58" s="362"/>
      <c r="GX58" s="362"/>
      <c r="GY58" s="362"/>
      <c r="GZ58" s="362"/>
      <c r="HA58" s="362"/>
      <c r="HB58" s="362"/>
      <c r="HC58" s="362"/>
      <c r="HD58" s="362"/>
      <c r="HE58" s="362"/>
      <c r="HF58" s="362"/>
      <c r="HG58" s="362"/>
      <c r="HH58" s="362"/>
      <c r="HI58" s="362"/>
      <c r="HJ58" s="362"/>
      <c r="HK58" s="362"/>
      <c r="HL58" s="362"/>
      <c r="HM58" s="362"/>
      <c r="HN58" s="362"/>
      <c r="HO58" s="362"/>
      <c r="HP58" s="362"/>
      <c r="HQ58" s="362"/>
      <c r="HR58" s="362"/>
      <c r="HS58" s="362"/>
      <c r="HT58" s="362"/>
      <c r="HU58" s="362"/>
      <c r="HV58" s="362"/>
      <c r="HW58" s="362"/>
      <c r="HX58" s="362"/>
      <c r="HY58" s="362"/>
      <c r="HZ58" s="362"/>
      <c r="IA58" s="362"/>
      <c r="IB58" s="362"/>
      <c r="IC58" s="362"/>
      <c r="ID58" s="362"/>
      <c r="IE58" s="362"/>
      <c r="IF58" s="362"/>
      <c r="IG58" s="362"/>
      <c r="IH58" s="362"/>
      <c r="II58" s="362"/>
      <c r="IJ58" s="362"/>
      <c r="IK58" s="362"/>
      <c r="IL58" s="362"/>
      <c r="IM58" s="362"/>
      <c r="IN58" s="362"/>
      <c r="IO58" s="362"/>
      <c r="IP58" s="362"/>
      <c r="IQ58" s="362"/>
      <c r="IR58" s="362"/>
      <c r="IS58" s="362"/>
      <c r="IT58" s="362"/>
      <c r="IU58" s="362"/>
    </row>
    <row r="59" spans="1:255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2"/>
      <c r="AD59" s="362"/>
      <c r="AE59" s="362"/>
      <c r="AF59" s="362"/>
      <c r="AG59" s="362"/>
      <c r="AH59" s="362"/>
      <c r="AI59" s="362"/>
      <c r="AJ59" s="36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362"/>
      <c r="AW59" s="362"/>
      <c r="AX59" s="2"/>
      <c r="AY59" s="2"/>
      <c r="AZ59" s="2"/>
      <c r="BA59" s="1076"/>
      <c r="BB59" s="362"/>
      <c r="BC59" s="362"/>
      <c r="BD59" s="362"/>
      <c r="BE59" s="362"/>
      <c r="BF59" s="362"/>
      <c r="BG59" s="362"/>
      <c r="BH59" s="362"/>
      <c r="BI59" s="362"/>
      <c r="BJ59" s="362"/>
      <c r="BK59" s="362"/>
      <c r="BL59" s="362"/>
      <c r="BM59" s="362"/>
      <c r="BN59" s="362"/>
      <c r="BO59" s="362"/>
      <c r="BP59" s="362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  <c r="CA59" s="362"/>
      <c r="CB59" s="362"/>
      <c r="CC59" s="362"/>
      <c r="CD59" s="362"/>
      <c r="CE59" s="362"/>
      <c r="CF59" s="362"/>
      <c r="CG59" s="362"/>
      <c r="CH59" s="362"/>
      <c r="CI59" s="362"/>
      <c r="CJ59" s="362"/>
      <c r="CK59" s="362"/>
      <c r="CL59" s="362"/>
      <c r="CM59" s="362"/>
      <c r="CN59" s="362"/>
      <c r="CO59" s="362"/>
      <c r="CP59" s="362"/>
      <c r="CQ59" s="362"/>
      <c r="CR59" s="362"/>
      <c r="CS59" s="362"/>
      <c r="CT59" s="362"/>
      <c r="CU59" s="362"/>
      <c r="CV59" s="362"/>
      <c r="CW59" s="362"/>
      <c r="CX59" s="362"/>
      <c r="CY59" s="362"/>
      <c r="CZ59" s="362"/>
      <c r="DA59" s="362"/>
      <c r="DB59" s="362"/>
      <c r="DC59" s="362"/>
      <c r="DD59" s="362"/>
      <c r="DE59" s="362"/>
      <c r="DF59" s="362"/>
      <c r="DG59" s="362"/>
      <c r="DH59" s="362"/>
      <c r="DI59" s="362"/>
      <c r="DJ59" s="362"/>
      <c r="DK59" s="362"/>
      <c r="DL59" s="362"/>
      <c r="DM59" s="362"/>
      <c r="DN59" s="362"/>
      <c r="DO59" s="362"/>
      <c r="DP59" s="362"/>
      <c r="DQ59" s="362"/>
      <c r="DR59" s="362"/>
      <c r="DS59" s="362"/>
      <c r="DT59" s="362"/>
      <c r="DU59" s="362"/>
      <c r="DV59" s="362"/>
      <c r="DW59" s="362"/>
      <c r="DX59" s="362"/>
      <c r="DY59" s="362"/>
      <c r="DZ59" s="362"/>
      <c r="EA59" s="362"/>
      <c r="EB59" s="362"/>
      <c r="EC59" s="362"/>
      <c r="ED59" s="362"/>
      <c r="EE59" s="362"/>
      <c r="EF59" s="362"/>
      <c r="EG59" s="362"/>
      <c r="EH59" s="362"/>
      <c r="EI59" s="362"/>
      <c r="EJ59" s="362"/>
      <c r="EK59" s="362"/>
      <c r="EL59" s="362"/>
      <c r="EM59" s="362"/>
      <c r="EN59" s="362"/>
      <c r="EO59" s="362"/>
      <c r="EP59" s="362"/>
      <c r="EQ59" s="362"/>
      <c r="ER59" s="362"/>
      <c r="ES59" s="362"/>
      <c r="ET59" s="362"/>
      <c r="EU59" s="362"/>
      <c r="EV59" s="362"/>
      <c r="EW59" s="362"/>
      <c r="EX59" s="362"/>
      <c r="EY59" s="362"/>
      <c r="EZ59" s="362"/>
      <c r="FA59" s="362"/>
      <c r="FB59" s="362"/>
      <c r="FC59" s="362"/>
      <c r="FD59" s="362"/>
      <c r="FE59" s="362"/>
      <c r="FF59" s="362"/>
      <c r="FG59" s="362"/>
      <c r="FH59" s="362"/>
      <c r="FI59" s="362"/>
      <c r="FJ59" s="362"/>
      <c r="FK59" s="362"/>
      <c r="FL59" s="362"/>
      <c r="FM59" s="362"/>
      <c r="FN59" s="362"/>
      <c r="FO59" s="362"/>
      <c r="FP59" s="362"/>
      <c r="FQ59" s="362"/>
      <c r="FR59" s="362"/>
      <c r="FS59" s="362"/>
      <c r="FT59" s="362"/>
      <c r="FU59" s="362"/>
      <c r="FV59" s="362"/>
      <c r="FW59" s="362"/>
      <c r="FX59" s="362"/>
      <c r="FY59" s="362"/>
      <c r="FZ59" s="362"/>
      <c r="GA59" s="362"/>
      <c r="GB59" s="362"/>
      <c r="GC59" s="362"/>
      <c r="GD59" s="362"/>
      <c r="GE59" s="362"/>
      <c r="GF59" s="362"/>
      <c r="GG59" s="362"/>
      <c r="GH59" s="362"/>
      <c r="GI59" s="362"/>
      <c r="GJ59" s="362"/>
      <c r="GK59" s="362"/>
      <c r="GL59" s="362"/>
      <c r="GM59" s="362"/>
      <c r="GN59" s="362"/>
      <c r="GO59" s="362"/>
      <c r="GP59" s="362"/>
      <c r="GQ59" s="362"/>
      <c r="GR59" s="362"/>
      <c r="GS59" s="362"/>
      <c r="GT59" s="362"/>
      <c r="GU59" s="362"/>
      <c r="GV59" s="362"/>
      <c r="GW59" s="362"/>
      <c r="GX59" s="362"/>
      <c r="GY59" s="362"/>
      <c r="GZ59" s="362"/>
      <c r="HA59" s="362"/>
      <c r="HB59" s="362"/>
      <c r="HC59" s="362"/>
      <c r="HD59" s="362"/>
      <c r="HE59" s="362"/>
      <c r="HF59" s="362"/>
      <c r="HG59" s="362"/>
      <c r="HH59" s="362"/>
      <c r="HI59" s="362"/>
      <c r="HJ59" s="362"/>
      <c r="HK59" s="362"/>
      <c r="HL59" s="362"/>
      <c r="HM59" s="362"/>
      <c r="HN59" s="362"/>
      <c r="HO59" s="362"/>
      <c r="HP59" s="362"/>
      <c r="HQ59" s="362"/>
      <c r="HR59" s="362"/>
      <c r="HS59" s="362"/>
      <c r="HT59" s="362"/>
      <c r="HU59" s="362"/>
      <c r="HV59" s="362"/>
      <c r="HW59" s="362"/>
      <c r="HX59" s="362"/>
      <c r="HY59" s="362"/>
      <c r="HZ59" s="362"/>
      <c r="IA59" s="362"/>
      <c r="IB59" s="362"/>
      <c r="IC59" s="362"/>
      <c r="ID59" s="362"/>
      <c r="IE59" s="362"/>
      <c r="IF59" s="362"/>
      <c r="IG59" s="362"/>
      <c r="IH59" s="362"/>
      <c r="II59" s="362"/>
      <c r="IJ59" s="362"/>
      <c r="IK59" s="362"/>
      <c r="IL59" s="362"/>
      <c r="IM59" s="362"/>
      <c r="IN59" s="362"/>
      <c r="IO59" s="362"/>
      <c r="IP59" s="362"/>
      <c r="IQ59" s="362"/>
      <c r="IR59" s="362"/>
      <c r="IS59" s="362"/>
      <c r="IT59" s="362"/>
      <c r="IU59" s="362"/>
    </row>
    <row r="60" spans="1:255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083" t="s">
        <v>692</v>
      </c>
      <c r="Q60" s="1084">
        <v>3</v>
      </c>
      <c r="R60" s="1084">
        <v>6</v>
      </c>
      <c r="S60" s="1084">
        <v>9</v>
      </c>
      <c r="T60" s="1084">
        <v>12</v>
      </c>
      <c r="U60" s="1084">
        <v>15</v>
      </c>
      <c r="V60" s="1084">
        <v>18</v>
      </c>
      <c r="W60" s="1084">
        <v>21</v>
      </c>
      <c r="X60" s="1084">
        <v>24</v>
      </c>
      <c r="Y60" s="1084">
        <v>27</v>
      </c>
      <c r="Z60" s="1084">
        <v>30</v>
      </c>
      <c r="AA60" s="1084">
        <v>33</v>
      </c>
      <c r="AB60" s="1084">
        <v>34</v>
      </c>
      <c r="AC60" s="1097">
        <v>35</v>
      </c>
      <c r="AD60" s="362"/>
      <c r="AE60" s="362"/>
      <c r="AF60" s="362"/>
      <c r="AG60" s="362"/>
      <c r="AH60" s="362"/>
      <c r="AI60" s="362"/>
      <c r="AJ60" s="362"/>
      <c r="AK60" s="1096"/>
      <c r="AL60" s="1096"/>
      <c r="AM60" s="1096"/>
      <c r="AN60" s="1096"/>
      <c r="AO60" s="2"/>
      <c r="AP60" s="2"/>
      <c r="AQ60" s="2"/>
      <c r="AR60" s="2"/>
      <c r="AS60" s="2"/>
      <c r="AT60" s="2"/>
      <c r="AU60" s="2"/>
      <c r="AV60" s="362"/>
      <c r="AW60" s="362"/>
      <c r="AX60" s="2"/>
      <c r="AY60" s="2"/>
      <c r="AZ60" s="2"/>
      <c r="BA60" s="1076"/>
      <c r="BB60" s="362"/>
      <c r="BC60" s="362"/>
      <c r="BD60" s="362"/>
      <c r="BE60" s="362"/>
      <c r="BF60" s="362"/>
      <c r="BG60" s="362"/>
      <c r="BH60" s="362"/>
      <c r="BI60" s="362"/>
      <c r="BJ60" s="362"/>
      <c r="BK60" s="362"/>
      <c r="BL60" s="362"/>
      <c r="BM60" s="362"/>
      <c r="BN60" s="362"/>
      <c r="BO60" s="362"/>
      <c r="BP60" s="362"/>
      <c r="BQ60" s="362"/>
      <c r="BR60" s="362"/>
      <c r="BS60" s="362"/>
      <c r="BT60" s="362"/>
      <c r="BU60" s="362"/>
      <c r="BV60" s="362"/>
      <c r="BW60" s="362"/>
      <c r="BX60" s="362"/>
      <c r="BY60" s="362"/>
      <c r="BZ60" s="362"/>
      <c r="CA60" s="362"/>
      <c r="CB60" s="362"/>
      <c r="CC60" s="362"/>
      <c r="CD60" s="362"/>
      <c r="CE60" s="362"/>
      <c r="CF60" s="362"/>
      <c r="CG60" s="362"/>
      <c r="CH60" s="362"/>
      <c r="CI60" s="362"/>
      <c r="CJ60" s="362"/>
      <c r="CK60" s="362"/>
      <c r="CL60" s="362"/>
      <c r="CM60" s="362"/>
      <c r="CN60" s="362"/>
      <c r="CO60" s="362"/>
      <c r="CP60" s="362"/>
      <c r="CQ60" s="362"/>
      <c r="CR60" s="362"/>
      <c r="CS60" s="362"/>
      <c r="CT60" s="362"/>
      <c r="CU60" s="362"/>
      <c r="CV60" s="362"/>
      <c r="CW60" s="362"/>
      <c r="CX60" s="362"/>
      <c r="CY60" s="362"/>
      <c r="CZ60" s="362"/>
      <c r="DA60" s="362"/>
      <c r="DB60" s="362"/>
      <c r="DC60" s="362"/>
      <c r="DD60" s="362"/>
      <c r="DE60" s="362"/>
      <c r="DF60" s="362"/>
      <c r="DG60" s="362"/>
      <c r="DH60" s="362"/>
      <c r="DI60" s="362"/>
      <c r="DJ60" s="362"/>
      <c r="DK60" s="362"/>
      <c r="DL60" s="362"/>
      <c r="DM60" s="362"/>
      <c r="DN60" s="362"/>
      <c r="DO60" s="362"/>
      <c r="DP60" s="362"/>
      <c r="DQ60" s="362"/>
      <c r="DR60" s="362"/>
      <c r="DS60" s="362"/>
      <c r="DT60" s="362"/>
      <c r="DU60" s="362"/>
      <c r="DV60" s="362"/>
      <c r="DW60" s="362"/>
      <c r="DX60" s="362"/>
      <c r="DY60" s="362"/>
      <c r="DZ60" s="362"/>
      <c r="EA60" s="362"/>
      <c r="EB60" s="362"/>
      <c r="EC60" s="362"/>
      <c r="ED60" s="362"/>
      <c r="EE60" s="362"/>
      <c r="EF60" s="362"/>
      <c r="EG60" s="362"/>
      <c r="EH60" s="362"/>
      <c r="EI60" s="362"/>
      <c r="EJ60" s="362"/>
      <c r="EK60" s="362"/>
      <c r="EL60" s="362"/>
      <c r="EM60" s="362"/>
      <c r="EN60" s="362"/>
      <c r="EO60" s="362"/>
      <c r="EP60" s="362"/>
      <c r="EQ60" s="362"/>
      <c r="ER60" s="362"/>
      <c r="ES60" s="362"/>
      <c r="ET60" s="362"/>
      <c r="EU60" s="362"/>
      <c r="EV60" s="362"/>
      <c r="EW60" s="362"/>
      <c r="EX60" s="362"/>
      <c r="EY60" s="362"/>
      <c r="EZ60" s="362"/>
      <c r="FA60" s="362"/>
      <c r="FB60" s="362"/>
      <c r="FC60" s="362"/>
      <c r="FD60" s="362"/>
      <c r="FE60" s="362"/>
      <c r="FF60" s="362"/>
      <c r="FG60" s="362"/>
      <c r="FH60" s="362"/>
      <c r="FI60" s="362"/>
      <c r="FJ60" s="362"/>
      <c r="FK60" s="362"/>
      <c r="FL60" s="362"/>
      <c r="FM60" s="362"/>
      <c r="FN60" s="362"/>
      <c r="FO60" s="362"/>
      <c r="FP60" s="362"/>
      <c r="FQ60" s="362"/>
      <c r="FR60" s="362"/>
      <c r="FS60" s="362"/>
      <c r="FT60" s="362"/>
      <c r="FU60" s="362"/>
      <c r="FV60" s="362"/>
      <c r="FW60" s="362"/>
      <c r="FX60" s="362"/>
      <c r="FY60" s="362"/>
      <c r="FZ60" s="362"/>
      <c r="GA60" s="362"/>
      <c r="GB60" s="362"/>
      <c r="GC60" s="362"/>
      <c r="GD60" s="362"/>
      <c r="GE60" s="362"/>
      <c r="GF60" s="362"/>
      <c r="GG60" s="362"/>
      <c r="GH60" s="362"/>
      <c r="GI60" s="362"/>
      <c r="GJ60" s="362"/>
      <c r="GK60" s="362"/>
      <c r="GL60" s="362"/>
      <c r="GM60" s="362"/>
      <c r="GN60" s="362"/>
      <c r="GO60" s="362"/>
      <c r="GP60" s="362"/>
      <c r="GQ60" s="362"/>
      <c r="GR60" s="362"/>
      <c r="GS60" s="362"/>
      <c r="GT60" s="362"/>
      <c r="GU60" s="362"/>
      <c r="GV60" s="362"/>
      <c r="GW60" s="362"/>
      <c r="GX60" s="362"/>
      <c r="GY60" s="362"/>
      <c r="GZ60" s="362"/>
      <c r="HA60" s="362"/>
      <c r="HB60" s="362"/>
      <c r="HC60" s="362"/>
      <c r="HD60" s="362"/>
      <c r="HE60" s="362"/>
      <c r="HF60" s="362"/>
      <c r="HG60" s="362"/>
      <c r="HH60" s="362"/>
      <c r="HI60" s="362"/>
      <c r="HJ60" s="362"/>
      <c r="HK60" s="362"/>
      <c r="HL60" s="362"/>
      <c r="HM60" s="362"/>
      <c r="HN60" s="362"/>
      <c r="HO60" s="362"/>
      <c r="HP60" s="362"/>
      <c r="HQ60" s="362"/>
      <c r="HR60" s="362"/>
      <c r="HS60" s="362"/>
      <c r="HT60" s="362"/>
      <c r="HU60" s="362"/>
      <c r="HV60" s="362"/>
      <c r="HW60" s="362"/>
      <c r="HX60" s="362"/>
      <c r="HY60" s="362"/>
      <c r="HZ60" s="362"/>
      <c r="IA60" s="362"/>
      <c r="IB60" s="362"/>
      <c r="IC60" s="362"/>
      <c r="ID60" s="362"/>
      <c r="IE60" s="362"/>
      <c r="IF60" s="362"/>
      <c r="IG60" s="362"/>
      <c r="IH60" s="362"/>
      <c r="II60" s="362"/>
      <c r="IJ60" s="362"/>
      <c r="IK60" s="362"/>
      <c r="IL60" s="362"/>
      <c r="IM60" s="362"/>
      <c r="IN60" s="362"/>
      <c r="IO60" s="362"/>
      <c r="IP60" s="362"/>
      <c r="IQ60" s="362"/>
      <c r="IR60" s="362"/>
      <c r="IS60" s="362"/>
      <c r="IT60" s="362"/>
      <c r="IU60" s="362"/>
    </row>
    <row r="61" spans="1:255" ht="15" thickBot="1" x14ac:dyDescent="0.2">
      <c r="A61" s="376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255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093" t="s">
        <v>351</v>
      </c>
      <c r="Q61" s="1094">
        <v>0.03</v>
      </c>
      <c r="R61" s="1094">
        <v>0.06</v>
      </c>
      <c r="S61" s="1094">
        <v>0.09</v>
      </c>
      <c r="T61" s="1094">
        <v>0.12</v>
      </c>
      <c r="U61" s="1094">
        <v>0.15</v>
      </c>
      <c r="V61" s="1094">
        <v>0.18</v>
      </c>
      <c r="W61" s="1094">
        <v>0.21</v>
      </c>
      <c r="X61" s="1094">
        <v>0.24</v>
      </c>
      <c r="Y61" s="1094">
        <v>0.27</v>
      </c>
      <c r="Z61" s="1094">
        <v>0.3</v>
      </c>
      <c r="AA61" s="1094">
        <v>0.33</v>
      </c>
      <c r="AB61" s="1094">
        <v>0.34</v>
      </c>
      <c r="AC61" s="1095">
        <v>0.35</v>
      </c>
      <c r="AD61" s="1075"/>
      <c r="AE61" s="1075"/>
      <c r="AF61" s="1075"/>
      <c r="AG61" s="1074"/>
      <c r="AH61" s="362"/>
      <c r="AI61" s="362"/>
      <c r="AJ61" s="362"/>
      <c r="AK61" s="362"/>
      <c r="AL61" s="362"/>
      <c r="AM61" s="362"/>
      <c r="AN61" s="362"/>
      <c r="AO61" s="362"/>
      <c r="AP61" s="362"/>
      <c r="AQ61" s="362"/>
      <c r="AR61" s="362"/>
      <c r="AS61" s="362"/>
      <c r="AT61" s="362"/>
      <c r="AU61" s="362"/>
      <c r="AV61" s="362"/>
      <c r="AW61" s="362"/>
      <c r="AX61" s="2"/>
      <c r="AY61" s="2"/>
      <c r="AZ61" s="2"/>
      <c r="BA61" s="1076"/>
      <c r="BB61" s="362"/>
      <c r="BC61" s="362"/>
      <c r="BD61" s="362"/>
      <c r="BE61" s="362"/>
      <c r="BF61" s="362"/>
      <c r="BG61" s="362"/>
      <c r="BH61" s="362"/>
      <c r="BI61" s="362"/>
      <c r="BJ61" s="362"/>
      <c r="BK61" s="362"/>
      <c r="BL61" s="362"/>
      <c r="BM61" s="362"/>
      <c r="BN61" s="362"/>
      <c r="BO61" s="362"/>
      <c r="BP61" s="362"/>
      <c r="BQ61" s="362"/>
      <c r="BR61" s="362"/>
      <c r="BS61" s="362"/>
      <c r="BT61" s="362"/>
      <c r="BU61" s="362"/>
      <c r="BV61" s="362"/>
      <c r="BW61" s="362"/>
      <c r="BX61" s="362"/>
      <c r="BY61" s="362"/>
      <c r="BZ61" s="362"/>
      <c r="CA61" s="362"/>
      <c r="CB61" s="362"/>
      <c r="CC61" s="362"/>
      <c r="CD61" s="362"/>
      <c r="CE61" s="362"/>
      <c r="CF61" s="362"/>
      <c r="CG61" s="362"/>
      <c r="CH61" s="362"/>
      <c r="CI61" s="362"/>
      <c r="CJ61" s="362"/>
      <c r="CK61" s="362"/>
      <c r="CL61" s="362"/>
      <c r="CM61" s="362"/>
      <c r="CN61" s="362"/>
      <c r="CO61" s="362"/>
      <c r="CP61" s="362"/>
      <c r="CQ61" s="362"/>
      <c r="CR61" s="362"/>
      <c r="CS61" s="362"/>
      <c r="CT61" s="362"/>
      <c r="CU61" s="362"/>
      <c r="CV61" s="362"/>
      <c r="CW61" s="362"/>
      <c r="CX61" s="362"/>
      <c r="CY61" s="362"/>
      <c r="CZ61" s="362"/>
      <c r="DA61" s="362"/>
      <c r="DB61" s="362"/>
      <c r="DC61" s="362"/>
      <c r="DD61" s="362"/>
      <c r="DE61" s="362"/>
      <c r="DF61" s="362"/>
      <c r="DG61" s="362"/>
      <c r="DH61" s="362"/>
      <c r="DI61" s="362"/>
      <c r="DJ61" s="362"/>
      <c r="DK61" s="362"/>
      <c r="DL61" s="362"/>
      <c r="DM61" s="362"/>
      <c r="DN61" s="362"/>
      <c r="DO61" s="362"/>
      <c r="DP61" s="362"/>
      <c r="DQ61" s="362"/>
      <c r="DR61" s="362"/>
      <c r="DS61" s="362"/>
      <c r="DT61" s="362"/>
      <c r="DU61" s="362"/>
      <c r="DV61" s="362"/>
      <c r="DW61" s="362"/>
      <c r="DX61" s="362"/>
      <c r="DY61" s="362"/>
      <c r="DZ61" s="362"/>
      <c r="EA61" s="362"/>
      <c r="EB61" s="362"/>
      <c r="EC61" s="362"/>
      <c r="ED61" s="362"/>
      <c r="EE61" s="362"/>
      <c r="EF61" s="362"/>
      <c r="EG61" s="362"/>
      <c r="EH61" s="362"/>
      <c r="EI61" s="362"/>
      <c r="EJ61" s="362"/>
      <c r="EK61" s="362"/>
      <c r="EL61" s="362"/>
      <c r="EM61" s="362"/>
      <c r="EN61" s="362"/>
      <c r="EO61" s="362"/>
      <c r="EP61" s="362"/>
      <c r="EQ61" s="362"/>
      <c r="ER61" s="362"/>
      <c r="ES61" s="362"/>
      <c r="ET61" s="362"/>
      <c r="EU61" s="362"/>
      <c r="EV61" s="362"/>
      <c r="EW61" s="362"/>
      <c r="EX61" s="362"/>
      <c r="EY61" s="362"/>
      <c r="EZ61" s="362"/>
      <c r="FA61" s="362"/>
      <c r="FB61" s="362"/>
      <c r="FC61" s="362"/>
      <c r="FD61" s="362"/>
      <c r="FE61" s="362"/>
      <c r="FF61" s="362"/>
      <c r="FG61" s="362"/>
      <c r="FH61" s="362"/>
      <c r="FI61" s="362"/>
      <c r="FJ61" s="362"/>
      <c r="FK61" s="362"/>
      <c r="FL61" s="362"/>
      <c r="FM61" s="362"/>
      <c r="FN61" s="362"/>
      <c r="FO61" s="362"/>
      <c r="FP61" s="362"/>
      <c r="FQ61" s="362"/>
      <c r="FR61" s="362"/>
      <c r="FS61" s="362"/>
      <c r="FT61" s="362"/>
      <c r="FU61" s="362"/>
      <c r="FV61" s="362"/>
      <c r="FW61" s="362"/>
      <c r="FX61" s="362"/>
      <c r="FY61" s="362"/>
      <c r="FZ61" s="362"/>
      <c r="GA61" s="362"/>
      <c r="GB61" s="362"/>
      <c r="GC61" s="362"/>
      <c r="GD61" s="362"/>
      <c r="GE61" s="362"/>
      <c r="GF61" s="362"/>
      <c r="GG61" s="362"/>
      <c r="GH61" s="362"/>
      <c r="GI61" s="362"/>
      <c r="GJ61" s="362"/>
      <c r="GK61" s="362"/>
      <c r="GL61" s="362"/>
      <c r="GM61" s="362"/>
      <c r="GN61" s="362"/>
      <c r="GO61" s="362"/>
      <c r="GP61" s="362"/>
      <c r="GQ61" s="362"/>
      <c r="GR61" s="362"/>
      <c r="GS61" s="362"/>
      <c r="GT61" s="362"/>
      <c r="GU61" s="362"/>
      <c r="GV61" s="362"/>
      <c r="GW61" s="362"/>
      <c r="GX61" s="362"/>
      <c r="GY61" s="362"/>
      <c r="GZ61" s="362"/>
      <c r="HA61" s="362"/>
      <c r="HB61" s="362"/>
      <c r="HC61" s="362"/>
      <c r="HD61" s="362"/>
      <c r="HE61" s="362"/>
      <c r="HF61" s="362"/>
      <c r="HG61" s="362"/>
      <c r="HH61" s="362"/>
      <c r="HI61" s="362"/>
      <c r="HJ61" s="362"/>
      <c r="HK61" s="362"/>
      <c r="HL61" s="362"/>
      <c r="HM61" s="362"/>
      <c r="HN61" s="362"/>
      <c r="HO61" s="362"/>
      <c r="HP61" s="362"/>
      <c r="HQ61" s="362"/>
      <c r="HR61" s="362"/>
      <c r="HS61" s="362"/>
      <c r="HT61" s="362"/>
      <c r="HU61" s="362"/>
      <c r="HV61" s="362"/>
      <c r="HW61" s="362"/>
      <c r="HX61" s="362"/>
      <c r="HY61" s="362"/>
      <c r="HZ61" s="362"/>
      <c r="IA61" s="362"/>
      <c r="IB61" s="362"/>
      <c r="IC61" s="362"/>
      <c r="ID61" s="362"/>
      <c r="IE61" s="362"/>
      <c r="IF61" s="362"/>
      <c r="IG61" s="362"/>
      <c r="IH61" s="362"/>
      <c r="II61" s="362"/>
      <c r="IJ61" s="362"/>
      <c r="IK61" s="362"/>
      <c r="IL61" s="362"/>
      <c r="IM61" s="362"/>
      <c r="IN61" s="362"/>
      <c r="IO61" s="362"/>
      <c r="IP61" s="362"/>
      <c r="IQ61" s="362"/>
      <c r="IR61" s="362"/>
      <c r="IS61" s="362"/>
      <c r="IT61" s="362"/>
      <c r="IU61" s="362"/>
    </row>
    <row r="62" spans="1:255" ht="6" customHeight="1" thickBot="1" x14ac:dyDescent="0.2">
      <c r="A62" s="295"/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255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2"/>
      <c r="AD62" s="1075"/>
      <c r="AE62" s="1075"/>
      <c r="AF62" s="1075"/>
      <c r="AG62" s="1074"/>
      <c r="AH62" s="362"/>
      <c r="AI62" s="362"/>
      <c r="AJ62" s="362"/>
      <c r="AK62" s="362"/>
      <c r="AL62" s="362"/>
      <c r="AM62" s="362"/>
      <c r="AN62" s="362"/>
      <c r="AO62" s="362"/>
      <c r="AP62" s="362"/>
      <c r="AQ62" s="362"/>
      <c r="AR62" s="362"/>
      <c r="AS62" s="362"/>
      <c r="AT62" s="362"/>
      <c r="AU62" s="362"/>
      <c r="AV62" s="362"/>
      <c r="AW62" s="362"/>
      <c r="AX62" s="2"/>
      <c r="AY62" s="2"/>
      <c r="AZ62" s="2"/>
      <c r="BA62" s="1076"/>
      <c r="BB62" s="362"/>
      <c r="BC62" s="362"/>
      <c r="BD62" s="362"/>
      <c r="BE62" s="362"/>
      <c r="BF62" s="362"/>
      <c r="BG62" s="362"/>
      <c r="BH62" s="362"/>
      <c r="BI62" s="362"/>
      <c r="BJ62" s="362"/>
      <c r="BK62" s="362"/>
      <c r="BL62" s="362"/>
      <c r="BM62" s="362"/>
      <c r="BN62" s="362"/>
      <c r="BO62" s="362"/>
      <c r="BP62" s="362"/>
      <c r="BQ62" s="362"/>
      <c r="BR62" s="362"/>
      <c r="BS62" s="362"/>
      <c r="BT62" s="362"/>
      <c r="BU62" s="362"/>
      <c r="BV62" s="362"/>
      <c r="BW62" s="362"/>
      <c r="BX62" s="362"/>
      <c r="BY62" s="362"/>
      <c r="BZ62" s="362"/>
      <c r="CA62" s="362"/>
      <c r="CB62" s="362"/>
      <c r="CC62" s="362"/>
      <c r="CD62" s="362"/>
      <c r="CE62" s="362"/>
      <c r="CF62" s="362"/>
      <c r="CG62" s="362"/>
      <c r="CH62" s="362"/>
      <c r="CI62" s="362"/>
      <c r="CJ62" s="362"/>
      <c r="CK62" s="362"/>
      <c r="CL62" s="362"/>
      <c r="CM62" s="362"/>
      <c r="CN62" s="362"/>
      <c r="CO62" s="362"/>
      <c r="CP62" s="362"/>
      <c r="CQ62" s="362"/>
      <c r="CR62" s="362"/>
      <c r="CS62" s="362"/>
      <c r="CT62" s="362"/>
      <c r="CU62" s="362"/>
      <c r="CV62" s="362"/>
      <c r="CW62" s="362"/>
      <c r="CX62" s="362"/>
      <c r="CY62" s="362"/>
      <c r="CZ62" s="362"/>
      <c r="DA62" s="362"/>
      <c r="DB62" s="362"/>
      <c r="DC62" s="362"/>
      <c r="DD62" s="362"/>
      <c r="DE62" s="362"/>
      <c r="DF62" s="362"/>
      <c r="DG62" s="362"/>
      <c r="DH62" s="362"/>
      <c r="DI62" s="362"/>
      <c r="DJ62" s="362"/>
      <c r="DK62" s="362"/>
      <c r="DL62" s="362"/>
      <c r="DM62" s="362"/>
      <c r="DN62" s="362"/>
      <c r="DO62" s="362"/>
      <c r="DP62" s="362"/>
      <c r="DQ62" s="362"/>
      <c r="DR62" s="362"/>
      <c r="DS62" s="362"/>
      <c r="DT62" s="362"/>
      <c r="DU62" s="362"/>
      <c r="DV62" s="362"/>
      <c r="DW62" s="362"/>
      <c r="DX62" s="362"/>
      <c r="DY62" s="362"/>
      <c r="DZ62" s="362"/>
      <c r="EA62" s="362"/>
      <c r="EB62" s="362"/>
      <c r="EC62" s="362"/>
      <c r="ED62" s="362"/>
      <c r="EE62" s="362"/>
      <c r="EF62" s="362"/>
      <c r="EG62" s="362"/>
      <c r="EH62" s="362"/>
      <c r="EI62" s="362"/>
      <c r="EJ62" s="362"/>
      <c r="EK62" s="362"/>
      <c r="EL62" s="362"/>
      <c r="EM62" s="362"/>
      <c r="EN62" s="362"/>
      <c r="EO62" s="362"/>
      <c r="EP62" s="362"/>
      <c r="EQ62" s="362"/>
      <c r="ER62" s="362"/>
      <c r="ES62" s="362"/>
      <c r="ET62" s="362"/>
      <c r="EU62" s="362"/>
      <c r="EV62" s="362"/>
      <c r="EW62" s="362"/>
      <c r="EX62" s="362"/>
      <c r="EY62" s="362"/>
      <c r="EZ62" s="362"/>
      <c r="FA62" s="362"/>
      <c r="FB62" s="362"/>
      <c r="FC62" s="362"/>
      <c r="FD62" s="362"/>
      <c r="FE62" s="362"/>
      <c r="FF62" s="362"/>
      <c r="FG62" s="362"/>
      <c r="FH62" s="362"/>
      <c r="FI62" s="362"/>
      <c r="FJ62" s="362"/>
      <c r="FK62" s="362"/>
      <c r="FL62" s="362"/>
      <c r="FM62" s="362"/>
      <c r="FN62" s="362"/>
      <c r="FO62" s="362"/>
      <c r="FP62" s="362"/>
      <c r="FQ62" s="362"/>
      <c r="FR62" s="362"/>
      <c r="FS62" s="362"/>
      <c r="FT62" s="362"/>
      <c r="FU62" s="362"/>
      <c r="FV62" s="362"/>
      <c r="FW62" s="362"/>
      <c r="FX62" s="362"/>
      <c r="FY62" s="362"/>
      <c r="FZ62" s="362"/>
      <c r="GA62" s="362"/>
      <c r="GB62" s="362"/>
      <c r="GC62" s="362"/>
      <c r="GD62" s="362"/>
      <c r="GE62" s="362"/>
      <c r="GF62" s="362"/>
      <c r="GG62" s="362"/>
      <c r="GH62" s="362"/>
      <c r="GI62" s="362"/>
      <c r="GJ62" s="362"/>
      <c r="GK62" s="362"/>
      <c r="GL62" s="362"/>
      <c r="GM62" s="362"/>
      <c r="GN62" s="362"/>
      <c r="GO62" s="362"/>
      <c r="GP62" s="362"/>
      <c r="GQ62" s="362"/>
      <c r="GR62" s="362"/>
      <c r="GS62" s="362"/>
      <c r="GT62" s="362"/>
      <c r="GU62" s="362"/>
      <c r="GV62" s="362"/>
      <c r="GW62" s="362"/>
      <c r="GX62" s="362"/>
      <c r="GY62" s="362"/>
      <c r="GZ62" s="362"/>
      <c r="HA62" s="362"/>
      <c r="HB62" s="362"/>
      <c r="HC62" s="362"/>
      <c r="HD62" s="362"/>
      <c r="HE62" s="362"/>
      <c r="HF62" s="362"/>
      <c r="HG62" s="362"/>
      <c r="HH62" s="362"/>
      <c r="HI62" s="362"/>
      <c r="HJ62" s="362"/>
      <c r="HK62" s="362"/>
      <c r="HL62" s="362"/>
      <c r="HM62" s="362"/>
      <c r="HN62" s="362"/>
      <c r="HO62" s="362"/>
      <c r="HP62" s="362"/>
      <c r="HQ62" s="362"/>
      <c r="HR62" s="362"/>
      <c r="HS62" s="362"/>
      <c r="HT62" s="362"/>
      <c r="HU62" s="362"/>
      <c r="HV62" s="362"/>
      <c r="HW62" s="362"/>
      <c r="HX62" s="362"/>
      <c r="HY62" s="362"/>
      <c r="HZ62" s="362"/>
      <c r="IA62" s="362"/>
      <c r="IB62" s="362"/>
      <c r="IC62" s="362"/>
      <c r="ID62" s="362"/>
      <c r="IE62" s="362"/>
      <c r="IF62" s="362"/>
      <c r="IG62" s="362"/>
      <c r="IH62" s="362"/>
      <c r="II62" s="362"/>
      <c r="IJ62" s="362"/>
      <c r="IK62" s="362"/>
      <c r="IL62" s="362"/>
      <c r="IM62" s="362"/>
      <c r="IN62" s="362"/>
      <c r="IO62" s="362"/>
      <c r="IP62" s="362"/>
      <c r="IQ62" s="362"/>
      <c r="IR62" s="362"/>
      <c r="IS62" s="362"/>
      <c r="IT62" s="362"/>
      <c r="IU62" s="362"/>
    </row>
    <row r="63" spans="1:255" x14ac:dyDescent="0.15">
      <c r="A63" s="295"/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255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105" t="s">
        <v>697</v>
      </c>
      <c r="Q63" s="1084">
        <v>3</v>
      </c>
      <c r="R63" s="1084">
        <v>6</v>
      </c>
      <c r="S63" s="1084">
        <v>9</v>
      </c>
      <c r="T63" s="1084">
        <v>12</v>
      </c>
      <c r="U63" s="1084">
        <v>15</v>
      </c>
      <c r="V63" s="1084">
        <v>18</v>
      </c>
      <c r="W63" s="1084">
        <v>21</v>
      </c>
      <c r="X63" s="1084">
        <v>24</v>
      </c>
      <c r="Y63" s="1084">
        <v>27</v>
      </c>
      <c r="Z63" s="1084">
        <v>30</v>
      </c>
      <c r="AA63" s="1097">
        <v>33</v>
      </c>
      <c r="AB63" s="362"/>
      <c r="AC63" s="362"/>
      <c r="AD63" s="1075"/>
      <c r="AE63" s="1075"/>
      <c r="AF63" s="1075"/>
      <c r="AG63" s="1074"/>
      <c r="AH63" s="362"/>
      <c r="AI63" s="362"/>
      <c r="AJ63" s="362"/>
      <c r="AK63" s="362"/>
      <c r="AL63" s="362"/>
      <c r="AM63" s="362"/>
      <c r="AN63" s="362"/>
      <c r="AO63" s="362"/>
      <c r="AP63" s="362"/>
      <c r="AQ63" s="362"/>
      <c r="AR63" s="362"/>
      <c r="AS63" s="362"/>
      <c r="AT63" s="362"/>
      <c r="AU63" s="362"/>
      <c r="AV63" s="362"/>
      <c r="AW63" s="362"/>
      <c r="AX63" s="2"/>
      <c r="AY63" s="2"/>
      <c r="AZ63" s="2"/>
      <c r="BA63" s="1076"/>
      <c r="BB63" s="362"/>
      <c r="BC63" s="362"/>
      <c r="BD63" s="362"/>
      <c r="BE63" s="362"/>
      <c r="BF63" s="362"/>
      <c r="BG63" s="362"/>
      <c r="BH63" s="362"/>
      <c r="BI63" s="362"/>
      <c r="BJ63" s="362"/>
      <c r="BK63" s="362"/>
      <c r="BL63" s="362"/>
      <c r="BM63" s="362"/>
      <c r="BN63" s="362"/>
      <c r="BO63" s="362"/>
      <c r="BP63" s="362"/>
      <c r="BQ63" s="362"/>
      <c r="BR63" s="362"/>
      <c r="BS63" s="362"/>
      <c r="BT63" s="362"/>
      <c r="BU63" s="362"/>
      <c r="BV63" s="362"/>
      <c r="BW63" s="362"/>
      <c r="BX63" s="362"/>
      <c r="BY63" s="362"/>
      <c r="BZ63" s="362"/>
      <c r="CA63" s="362"/>
      <c r="CB63" s="362"/>
      <c r="CC63" s="362"/>
      <c r="CD63" s="362"/>
      <c r="CE63" s="362"/>
      <c r="CF63" s="362"/>
      <c r="CG63" s="362"/>
      <c r="CH63" s="362"/>
      <c r="CI63" s="362"/>
      <c r="CJ63" s="362"/>
      <c r="CK63" s="362"/>
      <c r="CL63" s="362"/>
      <c r="CM63" s="362"/>
      <c r="CN63" s="362"/>
      <c r="CO63" s="362"/>
      <c r="CP63" s="362"/>
      <c r="CQ63" s="362"/>
      <c r="CR63" s="362"/>
      <c r="CS63" s="362"/>
      <c r="CT63" s="362"/>
      <c r="CU63" s="362"/>
      <c r="CV63" s="362"/>
      <c r="CW63" s="362"/>
      <c r="CX63" s="362"/>
      <c r="CY63" s="362"/>
      <c r="CZ63" s="362"/>
      <c r="DA63" s="362"/>
      <c r="DB63" s="362"/>
      <c r="DC63" s="362"/>
      <c r="DD63" s="362"/>
      <c r="DE63" s="362"/>
      <c r="DF63" s="362"/>
      <c r="DG63" s="362"/>
      <c r="DH63" s="362"/>
      <c r="DI63" s="362"/>
      <c r="DJ63" s="362"/>
      <c r="DK63" s="362"/>
      <c r="DL63" s="362"/>
      <c r="DM63" s="362"/>
      <c r="DN63" s="362"/>
      <c r="DO63" s="362"/>
      <c r="DP63" s="362"/>
      <c r="DQ63" s="362"/>
      <c r="DR63" s="362"/>
      <c r="DS63" s="362"/>
      <c r="DT63" s="362"/>
      <c r="DU63" s="362"/>
      <c r="DV63" s="362"/>
      <c r="DW63" s="362"/>
      <c r="DX63" s="362"/>
      <c r="DY63" s="362"/>
      <c r="DZ63" s="362"/>
      <c r="EA63" s="362"/>
      <c r="EB63" s="362"/>
      <c r="EC63" s="362"/>
      <c r="ED63" s="362"/>
      <c r="EE63" s="362"/>
      <c r="EF63" s="362"/>
      <c r="EG63" s="362"/>
      <c r="EH63" s="362"/>
      <c r="EI63" s="362"/>
      <c r="EJ63" s="362"/>
      <c r="EK63" s="362"/>
      <c r="EL63" s="362"/>
      <c r="EM63" s="362"/>
      <c r="EN63" s="362"/>
      <c r="EO63" s="362"/>
      <c r="EP63" s="362"/>
      <c r="EQ63" s="362"/>
      <c r="ER63" s="362"/>
      <c r="ES63" s="362"/>
      <c r="ET63" s="362"/>
      <c r="EU63" s="362"/>
      <c r="EV63" s="362"/>
      <c r="EW63" s="362"/>
      <c r="EX63" s="362"/>
      <c r="EY63" s="362"/>
      <c r="EZ63" s="362"/>
      <c r="FA63" s="362"/>
      <c r="FB63" s="362"/>
      <c r="FC63" s="362"/>
      <c r="FD63" s="362"/>
      <c r="FE63" s="362"/>
      <c r="FF63" s="362"/>
      <c r="FG63" s="362"/>
      <c r="FH63" s="362"/>
      <c r="FI63" s="362"/>
      <c r="FJ63" s="362"/>
      <c r="FK63" s="362"/>
      <c r="FL63" s="362"/>
      <c r="FM63" s="362"/>
      <c r="FN63" s="362"/>
      <c r="FO63" s="362"/>
      <c r="FP63" s="362"/>
      <c r="FQ63" s="362"/>
      <c r="FR63" s="362"/>
      <c r="FS63" s="362"/>
      <c r="FT63" s="362"/>
      <c r="FU63" s="362"/>
      <c r="FV63" s="362"/>
      <c r="FW63" s="362"/>
      <c r="FX63" s="362"/>
      <c r="FY63" s="362"/>
      <c r="FZ63" s="362"/>
      <c r="GA63" s="362"/>
      <c r="GB63" s="362"/>
      <c r="GC63" s="362"/>
      <c r="GD63" s="362"/>
      <c r="GE63" s="362"/>
      <c r="GF63" s="362"/>
      <c r="GG63" s="362"/>
      <c r="GH63" s="362"/>
      <c r="GI63" s="362"/>
      <c r="GJ63" s="362"/>
      <c r="GK63" s="362"/>
      <c r="GL63" s="362"/>
      <c r="GM63" s="362"/>
      <c r="GN63" s="362"/>
      <c r="GO63" s="362"/>
      <c r="GP63" s="362"/>
      <c r="GQ63" s="362"/>
      <c r="GR63" s="362"/>
      <c r="GS63" s="362"/>
      <c r="GT63" s="362"/>
      <c r="GU63" s="362"/>
      <c r="GV63" s="362"/>
      <c r="GW63" s="362"/>
      <c r="GX63" s="362"/>
      <c r="GY63" s="362"/>
      <c r="GZ63" s="362"/>
      <c r="HA63" s="362"/>
      <c r="HB63" s="362"/>
      <c r="HC63" s="362"/>
      <c r="HD63" s="362"/>
      <c r="HE63" s="362"/>
      <c r="HF63" s="362"/>
      <c r="HG63" s="362"/>
      <c r="HH63" s="362"/>
      <c r="HI63" s="362"/>
      <c r="HJ63" s="362"/>
      <c r="HK63" s="362"/>
      <c r="HL63" s="362"/>
      <c r="HM63" s="362"/>
      <c r="HN63" s="362"/>
      <c r="HO63" s="362"/>
      <c r="HP63" s="362"/>
      <c r="HQ63" s="362"/>
      <c r="HR63" s="362"/>
      <c r="HS63" s="362"/>
      <c r="HT63" s="362"/>
      <c r="HU63" s="362"/>
      <c r="HV63" s="362"/>
      <c r="HW63" s="362"/>
      <c r="HX63" s="362"/>
      <c r="HY63" s="362"/>
      <c r="HZ63" s="362"/>
      <c r="IA63" s="362"/>
      <c r="IB63" s="362"/>
      <c r="IC63" s="362"/>
      <c r="ID63" s="362"/>
      <c r="IE63" s="362"/>
      <c r="IF63" s="362"/>
      <c r="IG63" s="362"/>
      <c r="IH63" s="362"/>
      <c r="II63" s="362"/>
      <c r="IJ63" s="362"/>
      <c r="IK63" s="362"/>
      <c r="IL63" s="362"/>
      <c r="IM63" s="362"/>
      <c r="IN63" s="362"/>
      <c r="IO63" s="362"/>
      <c r="IP63" s="362"/>
      <c r="IQ63" s="362"/>
      <c r="IR63" s="362"/>
      <c r="IS63" s="362"/>
      <c r="IT63" s="362"/>
      <c r="IU63" s="362"/>
    </row>
    <row r="64" spans="1:255" x14ac:dyDescent="0.15">
      <c r="B64" s="197"/>
      <c r="C64" s="244">
        <f>IF(E2=B88,"NÃO CABE",IF(E2=B90,"NÃO CABE",IF(E2=B91,"NÃO CABE",IF(E2=B92,"NÃO CABE",IF(C65&gt;0,C65,"NADA A CUMPRIR")))))</f>
        <v>12775</v>
      </c>
      <c r="D64" s="198"/>
      <c r="E64" s="199"/>
      <c r="F64" s="200"/>
      <c r="G64" s="198"/>
      <c r="H64" s="201">
        <f>IF($C$64="NÃO CABE",0,IF($C$65&gt;0,ROUNDDOWN($C$65/365,0),0))</f>
        <v>35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093" t="s">
        <v>351</v>
      </c>
      <c r="Q64" s="1094">
        <v>0.1</v>
      </c>
      <c r="R64" s="1094">
        <v>0.16</v>
      </c>
      <c r="S64" s="1094">
        <v>0.22</v>
      </c>
      <c r="T64" s="1094">
        <v>0.28000000000000003</v>
      </c>
      <c r="U64" s="1094">
        <v>0.34</v>
      </c>
      <c r="V64" s="1094">
        <v>0.4</v>
      </c>
      <c r="W64" s="1094">
        <v>0.46</v>
      </c>
      <c r="X64" s="1094">
        <v>0.52</v>
      </c>
      <c r="Y64" s="1094">
        <v>0.57999999999999996</v>
      </c>
      <c r="Z64" s="1094">
        <v>0.64</v>
      </c>
      <c r="AA64" s="1095">
        <v>0.7</v>
      </c>
      <c r="AB64" s="362"/>
      <c r="AC64" s="1090"/>
      <c r="AD64" s="1075"/>
      <c r="AE64" s="1075"/>
      <c r="AF64" s="1075"/>
      <c r="AG64" s="1074"/>
      <c r="AH64" s="362"/>
      <c r="AI64" s="362"/>
      <c r="AJ64" s="362"/>
      <c r="AK64" s="362"/>
      <c r="AL64" s="362"/>
      <c r="AM64" s="362"/>
      <c r="AN64" s="362"/>
      <c r="AO64" s="362"/>
      <c r="AP64" s="362"/>
      <c r="AQ64" s="362"/>
      <c r="AR64" s="362"/>
      <c r="AS64" s="362"/>
      <c r="AT64" s="362"/>
      <c r="AU64" s="362"/>
      <c r="AV64" s="362"/>
      <c r="AW64" s="362"/>
      <c r="AX64" s="2"/>
      <c r="AY64" s="2"/>
      <c r="AZ64" s="2"/>
      <c r="BA64" s="1076"/>
      <c r="BB64" s="362"/>
      <c r="BC64" s="362"/>
      <c r="BD64" s="362"/>
      <c r="BE64" s="362"/>
      <c r="BF64" s="362"/>
      <c r="BG64" s="362"/>
      <c r="BH64" s="362"/>
      <c r="BI64" s="362"/>
      <c r="BJ64" s="362"/>
      <c r="BK64" s="362"/>
      <c r="BL64" s="362"/>
      <c r="BM64" s="362"/>
      <c r="BN64" s="362"/>
      <c r="BO64" s="362"/>
      <c r="BP64" s="362"/>
      <c r="BQ64" s="362"/>
      <c r="BR64" s="362"/>
      <c r="BS64" s="362"/>
      <c r="BT64" s="362"/>
      <c r="BU64" s="362"/>
      <c r="BV64" s="362"/>
      <c r="BW64" s="362"/>
      <c r="BX64" s="362"/>
      <c r="BY64" s="362"/>
      <c r="BZ64" s="362"/>
      <c r="CA64" s="362"/>
      <c r="CB64" s="362"/>
      <c r="CC64" s="362"/>
      <c r="CD64" s="362"/>
      <c r="CE64" s="362"/>
      <c r="CF64" s="362"/>
      <c r="CG64" s="362"/>
      <c r="CH64" s="362"/>
      <c r="CI64" s="362"/>
      <c r="CJ64" s="362"/>
      <c r="CK64" s="362"/>
      <c r="CL64" s="362"/>
      <c r="CM64" s="362"/>
      <c r="CN64" s="362"/>
      <c r="CO64" s="362"/>
      <c r="CP64" s="362"/>
      <c r="CQ64" s="362"/>
      <c r="CR64" s="362"/>
      <c r="CS64" s="362"/>
      <c r="CT64" s="362"/>
      <c r="CU64" s="362"/>
      <c r="CV64" s="362"/>
      <c r="CW64" s="362"/>
      <c r="CX64" s="362"/>
      <c r="CY64" s="362"/>
      <c r="CZ64" s="362"/>
      <c r="DA64" s="362"/>
      <c r="DB64" s="362"/>
      <c r="DC64" s="362"/>
      <c r="DD64" s="362"/>
      <c r="DE64" s="362"/>
      <c r="DF64" s="362"/>
      <c r="DG64" s="362"/>
      <c r="DH64" s="362"/>
      <c r="DI64" s="362"/>
      <c r="DJ64" s="362"/>
      <c r="DK64" s="362"/>
      <c r="DL64" s="362"/>
      <c r="DM64" s="362"/>
      <c r="DN64" s="362"/>
      <c r="DO64" s="362"/>
      <c r="DP64" s="362"/>
      <c r="DQ64" s="362"/>
      <c r="DR64" s="362"/>
      <c r="DS64" s="362"/>
      <c r="DT64" s="362"/>
      <c r="DU64" s="362"/>
      <c r="DV64" s="362"/>
      <c r="DW64" s="362"/>
      <c r="DX64" s="362"/>
      <c r="DY64" s="362"/>
      <c r="DZ64" s="362"/>
      <c r="EA64" s="362"/>
      <c r="EB64" s="362"/>
      <c r="EC64" s="362"/>
      <c r="ED64" s="362"/>
      <c r="EE64" s="362"/>
      <c r="EF64" s="362"/>
      <c r="EG64" s="362"/>
      <c r="EH64" s="362"/>
      <c r="EI64" s="362"/>
      <c r="EJ64" s="362"/>
      <c r="EK64" s="362"/>
      <c r="EL64" s="362"/>
      <c r="EM64" s="362"/>
      <c r="EN64" s="362"/>
      <c r="EO64" s="362"/>
      <c r="EP64" s="362"/>
      <c r="EQ64" s="362"/>
      <c r="ER64" s="362"/>
      <c r="ES64" s="362"/>
      <c r="ET64" s="362"/>
      <c r="EU64" s="362"/>
      <c r="EV64" s="362"/>
      <c r="EW64" s="362"/>
      <c r="EX64" s="362"/>
      <c r="EY64" s="362"/>
      <c r="EZ64" s="362"/>
      <c r="FA64" s="362"/>
      <c r="FB64" s="362"/>
      <c r="FC64" s="362"/>
      <c r="FD64" s="362"/>
      <c r="FE64" s="362"/>
      <c r="FF64" s="362"/>
      <c r="FG64" s="362"/>
      <c r="FH64" s="362"/>
      <c r="FI64" s="362"/>
      <c r="FJ64" s="362"/>
      <c r="FK64" s="362"/>
      <c r="FL64" s="362"/>
      <c r="FM64" s="362"/>
      <c r="FN64" s="362"/>
      <c r="FO64" s="362"/>
      <c r="FP64" s="362"/>
      <c r="FQ64" s="362"/>
      <c r="FR64" s="362"/>
      <c r="FS64" s="362"/>
      <c r="FT64" s="362"/>
      <c r="FU64" s="362"/>
      <c r="FV64" s="362"/>
      <c r="FW64" s="362"/>
      <c r="FX64" s="362"/>
      <c r="FY64" s="362"/>
      <c r="FZ64" s="362"/>
      <c r="GA64" s="362"/>
      <c r="GB64" s="362"/>
      <c r="GC64" s="362"/>
      <c r="GD64" s="362"/>
      <c r="GE64" s="362"/>
      <c r="GF64" s="362"/>
      <c r="GG64" s="362"/>
      <c r="GH64" s="362"/>
      <c r="GI64" s="362"/>
      <c r="GJ64" s="362"/>
      <c r="GK64" s="362"/>
      <c r="GL64" s="362"/>
      <c r="GM64" s="362"/>
      <c r="GN64" s="362"/>
      <c r="GO64" s="362"/>
      <c r="GP64" s="362"/>
      <c r="GQ64" s="362"/>
      <c r="GR64" s="362"/>
      <c r="GS64" s="362"/>
      <c r="GT64" s="362"/>
      <c r="GU64" s="362"/>
      <c r="GV64" s="362"/>
      <c r="GW64" s="362"/>
      <c r="GX64" s="362"/>
      <c r="GY64" s="362"/>
      <c r="GZ64" s="362"/>
      <c r="HA64" s="362"/>
      <c r="HB64" s="362"/>
      <c r="HC64" s="362"/>
      <c r="HD64" s="362"/>
      <c r="HE64" s="362"/>
      <c r="HF64" s="362"/>
      <c r="HG64" s="362"/>
      <c r="HH64" s="362"/>
      <c r="HI64" s="362"/>
      <c r="HJ64" s="362"/>
      <c r="HK64" s="362"/>
      <c r="HL64" s="362"/>
      <c r="HM64" s="362"/>
      <c r="HN64" s="362"/>
      <c r="HO64" s="362"/>
      <c r="HP64" s="362"/>
      <c r="HQ64" s="362"/>
      <c r="HR64" s="362"/>
      <c r="HS64" s="362"/>
      <c r="HT64" s="362"/>
      <c r="HU64" s="362"/>
      <c r="HV64" s="362"/>
      <c r="HW64" s="362"/>
      <c r="HX64" s="362"/>
      <c r="HY64" s="362"/>
      <c r="HZ64" s="362"/>
      <c r="IA64" s="362"/>
      <c r="IB64" s="362"/>
      <c r="IC64" s="362"/>
      <c r="ID64" s="362"/>
      <c r="IE64" s="362"/>
      <c r="IF64" s="362"/>
      <c r="IG64" s="362"/>
      <c r="IH64" s="362"/>
      <c r="II64" s="362"/>
      <c r="IJ64" s="362"/>
      <c r="IK64" s="362"/>
      <c r="IL64" s="362"/>
      <c r="IM64" s="362"/>
      <c r="IN64" s="362"/>
      <c r="IO64" s="362"/>
      <c r="IP64" s="362"/>
      <c r="IQ64" s="362"/>
      <c r="IR64" s="362"/>
      <c r="IS64" s="362"/>
      <c r="IT64" s="362"/>
      <c r="IU64" s="362"/>
    </row>
    <row r="65" spans="1:255" ht="15" thickBot="1" x14ac:dyDescent="0.2">
      <c r="B65" s="204"/>
      <c r="C65" s="209">
        <f>IF(K2=O2,IF(E2=B93,R119,R118),IF(K2=O3,Q117,IF(K2=O6,Q117,IF(K2=O4,Q116,IF(K2=O5,Q116,IF($K$2=O7,Q120,0))))))</f>
        <v>12775</v>
      </c>
      <c r="D65" s="205"/>
      <c r="E65" s="206"/>
      <c r="F65" s="207"/>
      <c r="G65" s="205"/>
      <c r="H65" s="207">
        <f>IF($C$64="NÃO CABE",0,IF($C$65&gt;0,ROUNDDOWN($C$65/365,0),0))</f>
        <v>35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  <c r="AC65" s="1074"/>
      <c r="AD65" s="362"/>
      <c r="AE65" s="362"/>
      <c r="AF65" s="362"/>
      <c r="AG65" s="362"/>
      <c r="AH65" s="362"/>
      <c r="AI65" s="362"/>
      <c r="AJ65" s="362"/>
      <c r="AK65" s="362"/>
      <c r="AL65" s="362"/>
      <c r="AM65" s="362"/>
      <c r="AN65" s="362"/>
      <c r="AO65" s="362"/>
      <c r="AP65" s="362"/>
      <c r="AQ65" s="362"/>
      <c r="AR65" s="362"/>
      <c r="AS65" s="362"/>
      <c r="AT65" s="362"/>
      <c r="AU65" s="362"/>
      <c r="AV65" s="362"/>
      <c r="AW65" s="362"/>
      <c r="AX65" s="2"/>
      <c r="AY65" s="2"/>
      <c r="AZ65" s="2"/>
      <c r="BA65" s="1076"/>
      <c r="BB65" s="362"/>
      <c r="BC65" s="362"/>
      <c r="BD65" s="362"/>
      <c r="BE65" s="362"/>
      <c r="BF65" s="362"/>
      <c r="BG65" s="362"/>
      <c r="BH65" s="362"/>
      <c r="BI65" s="362"/>
      <c r="BJ65" s="362"/>
      <c r="BK65" s="362"/>
      <c r="BL65" s="362"/>
      <c r="BM65" s="362"/>
      <c r="BN65" s="362"/>
      <c r="BO65" s="362"/>
      <c r="BP65" s="362"/>
      <c r="BQ65" s="362"/>
      <c r="BR65" s="362"/>
      <c r="BS65" s="362"/>
      <c r="BT65" s="362"/>
      <c r="BU65" s="362"/>
      <c r="BV65" s="362"/>
      <c r="BW65" s="362"/>
      <c r="BX65" s="362"/>
      <c r="BY65" s="362"/>
      <c r="BZ65" s="362"/>
      <c r="CA65" s="362"/>
      <c r="CB65" s="362"/>
      <c r="CC65" s="362"/>
      <c r="CD65" s="362"/>
      <c r="CE65" s="362"/>
      <c r="CF65" s="362"/>
      <c r="CG65" s="362"/>
      <c r="CH65" s="362"/>
      <c r="CI65" s="362"/>
      <c r="CJ65" s="362"/>
      <c r="CK65" s="362"/>
      <c r="CL65" s="362"/>
      <c r="CM65" s="362"/>
      <c r="CN65" s="362"/>
      <c r="CO65" s="362"/>
      <c r="CP65" s="362"/>
      <c r="CQ65" s="362"/>
      <c r="CR65" s="362"/>
      <c r="CS65" s="362"/>
      <c r="CT65" s="362"/>
      <c r="CU65" s="362"/>
      <c r="CV65" s="362"/>
      <c r="CW65" s="362"/>
      <c r="CX65" s="362"/>
      <c r="CY65" s="362"/>
      <c r="CZ65" s="362"/>
      <c r="DA65" s="362"/>
      <c r="DB65" s="362"/>
      <c r="DC65" s="362"/>
      <c r="DD65" s="362"/>
      <c r="DE65" s="362"/>
      <c r="DF65" s="362"/>
      <c r="DG65" s="362"/>
      <c r="DH65" s="362"/>
      <c r="DI65" s="362"/>
      <c r="DJ65" s="362"/>
      <c r="DK65" s="362"/>
      <c r="DL65" s="362"/>
      <c r="DM65" s="362"/>
      <c r="DN65" s="362"/>
      <c r="DO65" s="362"/>
      <c r="DP65" s="362"/>
      <c r="DQ65" s="362"/>
      <c r="DR65" s="362"/>
      <c r="DS65" s="362"/>
      <c r="DT65" s="362"/>
      <c r="DU65" s="362"/>
      <c r="DV65" s="362"/>
      <c r="DW65" s="362"/>
      <c r="DX65" s="362"/>
      <c r="DY65" s="362"/>
      <c r="DZ65" s="362"/>
      <c r="EA65" s="362"/>
      <c r="EB65" s="362"/>
      <c r="EC65" s="362"/>
      <c r="ED65" s="362"/>
      <c r="EE65" s="362"/>
      <c r="EF65" s="362"/>
      <c r="EG65" s="362"/>
      <c r="EH65" s="362"/>
      <c r="EI65" s="362"/>
      <c r="EJ65" s="362"/>
      <c r="EK65" s="362"/>
      <c r="EL65" s="362"/>
      <c r="EM65" s="362"/>
      <c r="EN65" s="362"/>
      <c r="EO65" s="362"/>
      <c r="EP65" s="362"/>
      <c r="EQ65" s="362"/>
      <c r="ER65" s="362"/>
      <c r="ES65" s="362"/>
      <c r="ET65" s="362"/>
      <c r="EU65" s="362"/>
      <c r="EV65" s="362"/>
      <c r="EW65" s="362"/>
      <c r="EX65" s="362"/>
      <c r="EY65" s="362"/>
      <c r="EZ65" s="362"/>
      <c r="FA65" s="362"/>
      <c r="FB65" s="362"/>
      <c r="FC65" s="362"/>
      <c r="FD65" s="362"/>
      <c r="FE65" s="362"/>
      <c r="FF65" s="362"/>
      <c r="FG65" s="362"/>
      <c r="FH65" s="362"/>
      <c r="FI65" s="362"/>
      <c r="FJ65" s="362"/>
      <c r="FK65" s="362"/>
      <c r="FL65" s="362"/>
      <c r="FM65" s="362"/>
      <c r="FN65" s="362"/>
      <c r="FO65" s="362"/>
      <c r="FP65" s="362"/>
      <c r="FQ65" s="362"/>
      <c r="FR65" s="362"/>
      <c r="FS65" s="362"/>
      <c r="FT65" s="362"/>
      <c r="FU65" s="362"/>
      <c r="FV65" s="362"/>
      <c r="FW65" s="362"/>
      <c r="FX65" s="362"/>
      <c r="FY65" s="362"/>
      <c r="FZ65" s="362"/>
      <c r="GA65" s="362"/>
      <c r="GB65" s="362"/>
      <c r="GC65" s="362"/>
      <c r="GD65" s="362"/>
      <c r="GE65" s="362"/>
      <c r="GF65" s="362"/>
      <c r="GG65" s="362"/>
      <c r="GH65" s="362"/>
      <c r="GI65" s="362"/>
      <c r="GJ65" s="362"/>
      <c r="GK65" s="362"/>
      <c r="GL65" s="362"/>
      <c r="GM65" s="362"/>
      <c r="GN65" s="362"/>
      <c r="GO65" s="362"/>
      <c r="GP65" s="362"/>
      <c r="GQ65" s="362"/>
      <c r="GR65" s="362"/>
      <c r="GS65" s="362"/>
      <c r="GT65" s="362"/>
      <c r="GU65" s="362"/>
      <c r="GV65" s="362"/>
      <c r="GW65" s="362"/>
      <c r="GX65" s="362"/>
      <c r="GY65" s="362"/>
      <c r="GZ65" s="362"/>
      <c r="HA65" s="362"/>
      <c r="HB65" s="362"/>
      <c r="HC65" s="362"/>
      <c r="HD65" s="362"/>
      <c r="HE65" s="362"/>
      <c r="HF65" s="362"/>
      <c r="HG65" s="362"/>
      <c r="HH65" s="362"/>
      <c r="HI65" s="362"/>
      <c r="HJ65" s="362"/>
      <c r="HK65" s="362"/>
      <c r="HL65" s="362"/>
      <c r="HM65" s="362"/>
      <c r="HN65" s="362"/>
      <c r="HO65" s="362"/>
      <c r="HP65" s="362"/>
      <c r="HQ65" s="362"/>
      <c r="HR65" s="362"/>
      <c r="HS65" s="362"/>
      <c r="HT65" s="362"/>
      <c r="HU65" s="362"/>
      <c r="HV65" s="362"/>
      <c r="HW65" s="362"/>
      <c r="HX65" s="362"/>
      <c r="HY65" s="362"/>
      <c r="HZ65" s="362"/>
      <c r="IA65" s="362"/>
      <c r="IB65" s="362"/>
      <c r="IC65" s="362"/>
      <c r="ID65" s="362"/>
      <c r="IE65" s="362"/>
      <c r="IF65" s="362"/>
      <c r="IG65" s="362"/>
      <c r="IH65" s="362"/>
      <c r="II65" s="362"/>
      <c r="IJ65" s="362"/>
      <c r="IK65" s="362"/>
      <c r="IL65" s="362"/>
      <c r="IM65" s="362"/>
      <c r="IN65" s="362"/>
      <c r="IO65" s="362"/>
      <c r="IP65" s="362"/>
      <c r="IQ65" s="362"/>
      <c r="IR65" s="362"/>
      <c r="IS65" s="362"/>
      <c r="IT65" s="362"/>
      <c r="IU65" s="362"/>
    </row>
    <row r="66" spans="1:255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105" t="s">
        <v>698</v>
      </c>
      <c r="Q66" s="1084">
        <v>3</v>
      </c>
      <c r="R66" s="1084">
        <v>6</v>
      </c>
      <c r="S66" s="1084">
        <v>9</v>
      </c>
      <c r="T66" s="1084">
        <v>12</v>
      </c>
      <c r="U66" s="1084">
        <v>15</v>
      </c>
      <c r="V66" s="1084">
        <v>18</v>
      </c>
      <c r="W66" s="1084">
        <v>21</v>
      </c>
      <c r="X66" s="1097">
        <v>24</v>
      </c>
      <c r="Y66" s="2"/>
      <c r="Z66" s="2"/>
      <c r="AA66" s="2"/>
      <c r="AB66" s="2"/>
      <c r="AC66" s="2"/>
      <c r="AD66" s="362"/>
      <c r="AE66" s="362"/>
      <c r="AF66" s="362"/>
      <c r="AG66" s="362"/>
      <c r="AH66" s="362"/>
      <c r="AI66" s="362"/>
      <c r="AJ66" s="362"/>
      <c r="AK66" s="362"/>
      <c r="AL66" s="362"/>
      <c r="AM66" s="362"/>
      <c r="AN66" s="362"/>
      <c r="AO66" s="362"/>
      <c r="AP66" s="362"/>
      <c r="AQ66" s="362"/>
      <c r="AR66" s="362"/>
      <c r="AS66" s="362"/>
      <c r="AT66" s="362"/>
      <c r="AU66" s="362"/>
      <c r="AV66" s="362"/>
      <c r="AW66" s="362"/>
      <c r="AX66" s="2"/>
      <c r="AY66" s="2"/>
      <c r="AZ66" s="2"/>
      <c r="BA66" s="1076"/>
      <c r="BB66" s="362"/>
      <c r="BC66" s="362"/>
      <c r="BD66" s="362"/>
      <c r="BE66" s="362"/>
      <c r="BF66" s="362"/>
      <c r="BG66" s="362"/>
      <c r="BH66" s="362"/>
      <c r="BI66" s="362"/>
      <c r="BJ66" s="362"/>
      <c r="BK66" s="362"/>
      <c r="BL66" s="362"/>
      <c r="BM66" s="362"/>
      <c r="BN66" s="362"/>
      <c r="BO66" s="362"/>
      <c r="BP66" s="362"/>
      <c r="BQ66" s="362"/>
      <c r="BR66" s="362"/>
      <c r="BS66" s="362"/>
      <c r="BT66" s="362"/>
      <c r="BU66" s="362"/>
      <c r="BV66" s="362"/>
      <c r="BW66" s="362"/>
      <c r="BX66" s="362"/>
      <c r="BY66" s="362"/>
      <c r="BZ66" s="362"/>
      <c r="CA66" s="362"/>
      <c r="CB66" s="362"/>
      <c r="CC66" s="362"/>
      <c r="CD66" s="362"/>
      <c r="CE66" s="362"/>
      <c r="CF66" s="362"/>
      <c r="CG66" s="362"/>
      <c r="CH66" s="362"/>
      <c r="CI66" s="362"/>
      <c r="CJ66" s="362"/>
      <c r="CK66" s="362"/>
      <c r="CL66" s="362"/>
      <c r="CM66" s="362"/>
      <c r="CN66" s="362"/>
      <c r="CO66" s="362"/>
      <c r="CP66" s="362"/>
      <c r="CQ66" s="362"/>
      <c r="CR66" s="362"/>
      <c r="CS66" s="362"/>
      <c r="CT66" s="362"/>
      <c r="CU66" s="362"/>
      <c r="CV66" s="362"/>
      <c r="CW66" s="362"/>
      <c r="CX66" s="362"/>
      <c r="CY66" s="362"/>
      <c r="CZ66" s="362"/>
      <c r="DA66" s="362"/>
      <c r="DB66" s="362"/>
      <c r="DC66" s="362"/>
      <c r="DD66" s="362"/>
      <c r="DE66" s="362"/>
      <c r="DF66" s="362"/>
      <c r="DG66" s="362"/>
      <c r="DH66" s="362"/>
      <c r="DI66" s="362"/>
      <c r="DJ66" s="362"/>
      <c r="DK66" s="362"/>
      <c r="DL66" s="362"/>
      <c r="DM66" s="362"/>
      <c r="DN66" s="362"/>
      <c r="DO66" s="362"/>
      <c r="DP66" s="362"/>
      <c r="DQ66" s="362"/>
      <c r="DR66" s="362"/>
      <c r="DS66" s="362"/>
      <c r="DT66" s="362"/>
      <c r="DU66" s="362"/>
      <c r="DV66" s="362"/>
      <c r="DW66" s="362"/>
      <c r="DX66" s="362"/>
      <c r="DY66" s="362"/>
      <c r="DZ66" s="362"/>
      <c r="EA66" s="362"/>
      <c r="EB66" s="362"/>
      <c r="EC66" s="362"/>
      <c r="ED66" s="362"/>
      <c r="EE66" s="362"/>
      <c r="EF66" s="362"/>
      <c r="EG66" s="362"/>
      <c r="EH66" s="362"/>
      <c r="EI66" s="362"/>
      <c r="EJ66" s="362"/>
      <c r="EK66" s="362"/>
      <c r="EL66" s="362"/>
      <c r="EM66" s="362"/>
      <c r="EN66" s="362"/>
      <c r="EO66" s="362"/>
      <c r="EP66" s="362"/>
      <c r="EQ66" s="362"/>
      <c r="ER66" s="362"/>
      <c r="ES66" s="362"/>
      <c r="ET66" s="362"/>
      <c r="EU66" s="362"/>
      <c r="EV66" s="362"/>
      <c r="EW66" s="362"/>
      <c r="EX66" s="362"/>
      <c r="EY66" s="362"/>
      <c r="EZ66" s="362"/>
      <c r="FA66" s="362"/>
      <c r="FB66" s="362"/>
      <c r="FC66" s="362"/>
      <c r="FD66" s="362"/>
      <c r="FE66" s="362"/>
      <c r="FF66" s="362"/>
      <c r="FG66" s="362"/>
      <c r="FH66" s="362"/>
      <c r="FI66" s="362"/>
      <c r="FJ66" s="362"/>
      <c r="FK66" s="362"/>
      <c r="FL66" s="362"/>
      <c r="FM66" s="362"/>
      <c r="FN66" s="362"/>
      <c r="FO66" s="362"/>
      <c r="FP66" s="362"/>
      <c r="FQ66" s="362"/>
      <c r="FR66" s="362"/>
      <c r="FS66" s="362"/>
      <c r="FT66" s="362"/>
      <c r="FU66" s="362"/>
      <c r="FV66" s="362"/>
      <c r="FW66" s="362"/>
      <c r="FX66" s="362"/>
      <c r="FY66" s="362"/>
      <c r="FZ66" s="362"/>
      <c r="GA66" s="362"/>
      <c r="GB66" s="362"/>
      <c r="GC66" s="362"/>
      <c r="GD66" s="362"/>
      <c r="GE66" s="362"/>
      <c r="GF66" s="362"/>
      <c r="GG66" s="362"/>
      <c r="GH66" s="362"/>
      <c r="GI66" s="362"/>
      <c r="GJ66" s="362"/>
      <c r="GK66" s="362"/>
      <c r="GL66" s="362"/>
      <c r="GM66" s="362"/>
      <c r="GN66" s="362"/>
      <c r="GO66" s="362"/>
      <c r="GP66" s="362"/>
      <c r="GQ66" s="362"/>
      <c r="GR66" s="362"/>
      <c r="GS66" s="362"/>
      <c r="GT66" s="362"/>
      <c r="GU66" s="362"/>
      <c r="GV66" s="362"/>
      <c r="GW66" s="362"/>
      <c r="GX66" s="362"/>
      <c r="GY66" s="362"/>
      <c r="GZ66" s="362"/>
      <c r="HA66" s="362"/>
      <c r="HB66" s="362"/>
      <c r="HC66" s="362"/>
      <c r="HD66" s="362"/>
      <c r="HE66" s="362"/>
      <c r="HF66" s="362"/>
      <c r="HG66" s="362"/>
      <c r="HH66" s="362"/>
      <c r="HI66" s="362"/>
      <c r="HJ66" s="362"/>
      <c r="HK66" s="362"/>
      <c r="HL66" s="362"/>
      <c r="HM66" s="362"/>
      <c r="HN66" s="362"/>
      <c r="HO66" s="362"/>
      <c r="HP66" s="362"/>
      <c r="HQ66" s="362"/>
      <c r="HR66" s="362"/>
      <c r="HS66" s="362"/>
      <c r="HT66" s="362"/>
      <c r="HU66" s="362"/>
      <c r="HV66" s="362"/>
      <c r="HW66" s="362"/>
      <c r="HX66" s="362"/>
      <c r="HY66" s="362"/>
      <c r="HZ66" s="362"/>
      <c r="IA66" s="362"/>
      <c r="IB66" s="362"/>
      <c r="IC66" s="362"/>
      <c r="ID66" s="362"/>
      <c r="IE66" s="362"/>
      <c r="IF66" s="362"/>
      <c r="IG66" s="362"/>
      <c r="IH66" s="362"/>
      <c r="II66" s="362"/>
      <c r="IJ66" s="362"/>
      <c r="IK66" s="362"/>
      <c r="IL66" s="362"/>
      <c r="IM66" s="362"/>
      <c r="IN66" s="362"/>
      <c r="IO66" s="362"/>
      <c r="IP66" s="362"/>
      <c r="IQ66" s="362"/>
      <c r="IR66" s="362"/>
      <c r="IS66" s="362"/>
      <c r="IT66" s="362"/>
      <c r="IU66" s="362"/>
    </row>
    <row r="67" spans="1:255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IF($O$10&lt;$D$127,VLOOKUP($E$6,$B$128:$Q$225,3,FALSE),IF($O$10&lt;$E$127,VLOOKUP($E$6,$B$128:$Q$225,4,FALSE),VLOOKUP($E$6,$B$128:$Q$225,5,FALSE)))</f>
        <v>0</v>
      </c>
      <c r="P67" s="1093" t="s">
        <v>351</v>
      </c>
      <c r="Q67" s="1094">
        <v>0.05</v>
      </c>
      <c r="R67" s="1094">
        <v>0.1</v>
      </c>
      <c r="S67" s="1094">
        <v>0.15</v>
      </c>
      <c r="T67" s="1094">
        <v>0.25</v>
      </c>
      <c r="U67" s="1094">
        <v>0.35</v>
      </c>
      <c r="V67" s="1094">
        <v>0.45</v>
      </c>
      <c r="W67" s="1094">
        <v>0.55000000000000004</v>
      </c>
      <c r="X67" s="1095">
        <v>0.65</v>
      </c>
      <c r="Y67" s="1096"/>
      <c r="Z67" s="1096"/>
      <c r="AA67" s="1096"/>
      <c r="AB67" s="1096"/>
      <c r="AC67" s="1096"/>
      <c r="AD67" s="1075"/>
      <c r="AE67" s="1075"/>
      <c r="AF67" s="1075"/>
      <c r="AG67" s="1074"/>
      <c r="AH67" s="362"/>
      <c r="AI67" s="362"/>
      <c r="AJ67" s="362"/>
      <c r="AK67" s="362"/>
      <c r="AL67" s="362"/>
      <c r="AM67" s="362"/>
      <c r="AN67" s="362"/>
      <c r="AO67" s="362"/>
      <c r="AP67" s="362"/>
      <c r="AQ67" s="362"/>
      <c r="AR67" s="362"/>
      <c r="AS67" s="362"/>
      <c r="AT67" s="362"/>
      <c r="AU67" s="362"/>
      <c r="AV67" s="362"/>
      <c r="AW67" s="362"/>
      <c r="AX67" s="2"/>
      <c r="AY67" s="2"/>
      <c r="AZ67" s="2"/>
      <c r="BA67" s="1076"/>
      <c r="BB67" s="362"/>
      <c r="BC67" s="362"/>
      <c r="BD67" s="362"/>
      <c r="BE67" s="362"/>
      <c r="BF67" s="362"/>
      <c r="BG67" s="362"/>
      <c r="BH67" s="362"/>
      <c r="BI67" s="362"/>
      <c r="BJ67" s="362"/>
      <c r="BK67" s="362"/>
      <c r="BL67" s="362"/>
      <c r="BM67" s="362"/>
      <c r="BN67" s="362"/>
      <c r="BO67" s="362"/>
      <c r="BP67" s="362"/>
      <c r="BQ67" s="362"/>
      <c r="BR67" s="362"/>
      <c r="BS67" s="362"/>
      <c r="BT67" s="362"/>
      <c r="BU67" s="362"/>
      <c r="BV67" s="362"/>
      <c r="BW67" s="362"/>
      <c r="BX67" s="362"/>
      <c r="BY67" s="362"/>
      <c r="BZ67" s="362"/>
      <c r="CA67" s="362"/>
      <c r="CB67" s="362"/>
      <c r="CC67" s="362"/>
      <c r="CD67" s="362"/>
      <c r="CE67" s="362"/>
      <c r="CF67" s="362"/>
      <c r="CG67" s="362"/>
      <c r="CH67" s="362"/>
      <c r="CI67" s="362"/>
      <c r="CJ67" s="362"/>
      <c r="CK67" s="362"/>
      <c r="CL67" s="362"/>
      <c r="CM67" s="362"/>
      <c r="CN67" s="362"/>
      <c r="CO67" s="362"/>
      <c r="CP67" s="362"/>
      <c r="CQ67" s="362"/>
      <c r="CR67" s="362"/>
      <c r="CS67" s="362"/>
      <c r="CT67" s="362"/>
      <c r="CU67" s="362"/>
      <c r="CV67" s="362"/>
      <c r="CW67" s="362"/>
      <c r="CX67" s="362"/>
      <c r="CY67" s="362"/>
      <c r="CZ67" s="362"/>
      <c r="DA67" s="362"/>
      <c r="DB67" s="362"/>
      <c r="DC67" s="362"/>
      <c r="DD67" s="362"/>
      <c r="DE67" s="362"/>
      <c r="DF67" s="362"/>
      <c r="DG67" s="362"/>
      <c r="DH67" s="362"/>
      <c r="DI67" s="362"/>
      <c r="DJ67" s="362"/>
      <c r="DK67" s="362"/>
      <c r="DL67" s="362"/>
      <c r="DM67" s="362"/>
      <c r="DN67" s="362"/>
      <c r="DO67" s="362"/>
      <c r="DP67" s="362"/>
      <c r="DQ67" s="362"/>
      <c r="DR67" s="362"/>
      <c r="DS67" s="362"/>
      <c r="DT67" s="362"/>
      <c r="DU67" s="362"/>
      <c r="DV67" s="362"/>
      <c r="DW67" s="362"/>
      <c r="DX67" s="362"/>
      <c r="DY67" s="362"/>
      <c r="DZ67" s="362"/>
      <c r="EA67" s="362"/>
      <c r="EB67" s="362"/>
      <c r="EC67" s="362"/>
      <c r="ED67" s="362"/>
      <c r="EE67" s="362"/>
      <c r="EF67" s="362"/>
      <c r="EG67" s="362"/>
      <c r="EH67" s="362"/>
      <c r="EI67" s="362"/>
      <c r="EJ67" s="362"/>
      <c r="EK67" s="362"/>
      <c r="EL67" s="362"/>
      <c r="EM67" s="362"/>
      <c r="EN67" s="362"/>
      <c r="EO67" s="362"/>
      <c r="EP67" s="362"/>
      <c r="EQ67" s="362"/>
      <c r="ER67" s="362"/>
      <c r="ES67" s="362"/>
      <c r="ET67" s="362"/>
      <c r="EU67" s="362"/>
      <c r="EV67" s="362"/>
      <c r="EW67" s="362"/>
      <c r="EX67" s="362"/>
      <c r="EY67" s="362"/>
      <c r="EZ67" s="362"/>
      <c r="FA67" s="362"/>
      <c r="FB67" s="362"/>
      <c r="FC67" s="362"/>
      <c r="FD67" s="362"/>
      <c r="FE67" s="362"/>
      <c r="FF67" s="362"/>
      <c r="FG67" s="362"/>
      <c r="FH67" s="362"/>
      <c r="FI67" s="362"/>
      <c r="FJ67" s="362"/>
      <c r="FK67" s="362"/>
      <c r="FL67" s="362"/>
      <c r="FM67" s="362"/>
      <c r="FN67" s="362"/>
      <c r="FO67" s="362"/>
      <c r="FP67" s="362"/>
      <c r="FQ67" s="362"/>
      <c r="FR67" s="362"/>
      <c r="FS67" s="362"/>
      <c r="FT67" s="362"/>
      <c r="FU67" s="362"/>
      <c r="FV67" s="362"/>
      <c r="FW67" s="362"/>
      <c r="FX67" s="362"/>
      <c r="FY67" s="362"/>
      <c r="FZ67" s="362"/>
      <c r="GA67" s="362"/>
      <c r="GB67" s="362"/>
      <c r="GC67" s="362"/>
      <c r="GD67" s="362"/>
      <c r="GE67" s="362"/>
      <c r="GF67" s="362"/>
      <c r="GG67" s="362"/>
      <c r="GH67" s="362"/>
      <c r="GI67" s="362"/>
      <c r="GJ67" s="362"/>
      <c r="GK67" s="362"/>
      <c r="GL67" s="362"/>
      <c r="GM67" s="362"/>
      <c r="GN67" s="362"/>
      <c r="GO67" s="362"/>
      <c r="GP67" s="362"/>
      <c r="GQ67" s="362"/>
      <c r="GR67" s="362"/>
      <c r="GS67" s="362"/>
      <c r="GT67" s="362"/>
      <c r="GU67" s="362"/>
      <c r="GV67" s="362"/>
      <c r="GW67" s="362"/>
      <c r="GX67" s="362"/>
      <c r="GY67" s="362"/>
      <c r="GZ67" s="362"/>
      <c r="HA67" s="362"/>
      <c r="HB67" s="362"/>
      <c r="HC67" s="362"/>
      <c r="HD67" s="362"/>
      <c r="HE67" s="362"/>
      <c r="HF67" s="362"/>
      <c r="HG67" s="362"/>
      <c r="HH67" s="362"/>
      <c r="HI67" s="362"/>
      <c r="HJ67" s="362"/>
      <c r="HK67" s="362"/>
      <c r="HL67" s="362"/>
      <c r="HM67" s="362"/>
      <c r="HN67" s="362"/>
      <c r="HO67" s="362"/>
      <c r="HP67" s="362"/>
      <c r="HQ67" s="362"/>
      <c r="HR67" s="362"/>
      <c r="HS67" s="362"/>
      <c r="HT67" s="362"/>
      <c r="HU67" s="362"/>
      <c r="HV67" s="362"/>
      <c r="HW67" s="362"/>
      <c r="HX67" s="362"/>
      <c r="HY67" s="362"/>
      <c r="HZ67" s="362"/>
      <c r="IA67" s="362"/>
      <c r="IB67" s="362"/>
      <c r="IC67" s="362"/>
      <c r="ID67" s="362"/>
      <c r="IE67" s="362"/>
      <c r="IF67" s="362"/>
      <c r="IG67" s="362"/>
      <c r="IH67" s="362"/>
      <c r="II67" s="362"/>
      <c r="IJ67" s="362"/>
      <c r="IK67" s="362"/>
      <c r="IL67" s="362"/>
      <c r="IM67" s="362"/>
      <c r="IN67" s="362"/>
      <c r="IO67" s="362"/>
      <c r="IP67" s="362"/>
      <c r="IQ67" s="362"/>
      <c r="IR67" s="362"/>
      <c r="IS67" s="362"/>
      <c r="IT67" s="362"/>
      <c r="IU67" s="362"/>
    </row>
    <row r="68" spans="1:255" x14ac:dyDescent="0.15">
      <c r="B68" s="219" t="s">
        <v>360</v>
      </c>
      <c r="C68" s="45"/>
      <c r="D68" s="45"/>
      <c r="E68" s="220" t="e">
        <f>IF($BC$86&lt;=#REF!,VLOOKUP($C$8,$BB$87:$BH$126,2,FALSE),IF($BC$86&lt;=#REF!,VLOOKUP($C$8,$BB$87:$BH$126,3,FALSE),IF($BC$86&lt;=#REF!,VLOOKUP($C$8,$BB$87:$BH$126,4,FALSE),IF($BC$86&lt;=#REF!,VLOOKUP($C$8,$BB$87:$BH$126,5,FALSE),IF($BC$86&lt;=#REF!,VLOOKUP($C$8,$BB$87:$BH$126,6,FALSE),VLOOKUP($C$8,$BB$87:$BH$126,7,FALSE))))))</f>
        <v>#REF!</v>
      </c>
      <c r="F68" s="150"/>
      <c r="G68" s="150"/>
      <c r="H68" s="150"/>
      <c r="I68" s="221"/>
      <c r="J68" s="222" t="e">
        <f>IF(#REF!&lt;=#REF!,VLOOKUP($C$8,$BB$87:$BH$126,2,FALSE),IF(#REF!&lt;=#REF!,VLOOKUP($C$8,$BB$87:$BH$126,3,FALSE),IF(#REF!&lt;=#REF!,VLOOKUP($C$8,$BB$87:$BH$126,4,FALSE),IF(#REF!&lt;=#REF!,VLOOKUP($C$8,$BB$87:$BH$126,5,FALSE),IF(#REF!&lt;=#REF!,VLOOKUP($C$8,$BB$87:$BH$126,6,FALSE),VLOOKUP($C$8,$BB$87:$BH$126,7,FALSE))))))</f>
        <v>#REF!</v>
      </c>
      <c r="K68" s="150" t="s">
        <v>448</v>
      </c>
      <c r="L68" s="153"/>
      <c r="M68" s="150"/>
      <c r="N68" s="223" t="str">
        <f>IF($K$2=$O$2,J98,IF($K$2=$O$3,J99,IF($K$2=$O$4,J100,IF($K$2=$O$5,J101,"NÃO CABE"))))</f>
        <v>NÃO CABE</v>
      </c>
      <c r="O68" s="254" t="str">
        <f>VLOOKUP($E$6,$B$128:$C$225,2,FALSE)</f>
        <v>TRIÊNIO</v>
      </c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1090"/>
      <c r="AD68" s="1075"/>
      <c r="AE68" s="1075"/>
      <c r="AF68" s="1075"/>
      <c r="AG68" s="1074"/>
      <c r="AH68" s="362"/>
      <c r="AI68" s="362"/>
      <c r="AJ68" s="362"/>
      <c r="AK68" s="362"/>
      <c r="AL68" s="362"/>
      <c r="AM68" s="362"/>
      <c r="AN68" s="362"/>
      <c r="AO68" s="362"/>
      <c r="AP68" s="362"/>
      <c r="AQ68" s="362"/>
      <c r="AR68" s="362"/>
      <c r="AS68" s="362"/>
      <c r="AT68" s="362"/>
      <c r="AU68" s="362"/>
      <c r="AV68" s="362"/>
      <c r="AW68" s="362"/>
      <c r="AX68" s="2"/>
      <c r="AY68" s="2"/>
      <c r="AZ68" s="2"/>
      <c r="BA68" s="1076"/>
      <c r="BB68" s="362"/>
      <c r="BC68" s="362"/>
      <c r="BD68" s="362"/>
      <c r="BE68" s="362"/>
      <c r="BF68" s="362"/>
      <c r="BG68" s="362"/>
      <c r="BH68" s="362"/>
      <c r="BI68" s="362"/>
      <c r="BJ68" s="362"/>
      <c r="BK68" s="362"/>
      <c r="BL68" s="362"/>
      <c r="BM68" s="362"/>
      <c r="BN68" s="362"/>
      <c r="BO68" s="362"/>
      <c r="BP68" s="362"/>
      <c r="BQ68" s="362"/>
      <c r="BR68" s="362"/>
      <c r="BS68" s="362"/>
      <c r="BT68" s="362"/>
      <c r="BU68" s="362"/>
      <c r="BV68" s="362"/>
      <c r="BW68" s="362"/>
      <c r="BX68" s="362"/>
      <c r="BY68" s="362"/>
      <c r="BZ68" s="362"/>
      <c r="CA68" s="362"/>
      <c r="CB68" s="362"/>
      <c r="CC68" s="362"/>
      <c r="CD68" s="362"/>
      <c r="CE68" s="362"/>
      <c r="CF68" s="362"/>
      <c r="CG68" s="362"/>
      <c r="CH68" s="362"/>
      <c r="CI68" s="362"/>
      <c r="CJ68" s="362"/>
      <c r="CK68" s="362"/>
      <c r="CL68" s="362"/>
      <c r="CM68" s="362"/>
      <c r="CN68" s="362"/>
      <c r="CO68" s="362"/>
      <c r="CP68" s="362"/>
      <c r="CQ68" s="362"/>
      <c r="CR68" s="362"/>
      <c r="CS68" s="362"/>
      <c r="CT68" s="362"/>
      <c r="CU68" s="362"/>
      <c r="CV68" s="362"/>
      <c r="CW68" s="362"/>
      <c r="CX68" s="362"/>
      <c r="CY68" s="362"/>
      <c r="CZ68" s="362"/>
      <c r="DA68" s="362"/>
      <c r="DB68" s="362"/>
      <c r="DC68" s="362"/>
      <c r="DD68" s="362"/>
      <c r="DE68" s="362"/>
      <c r="DF68" s="362"/>
      <c r="DG68" s="362"/>
      <c r="DH68" s="362"/>
      <c r="DI68" s="362"/>
      <c r="DJ68" s="362"/>
      <c r="DK68" s="362"/>
      <c r="DL68" s="362"/>
      <c r="DM68" s="362"/>
      <c r="DN68" s="362"/>
      <c r="DO68" s="362"/>
      <c r="DP68" s="362"/>
      <c r="DQ68" s="362"/>
      <c r="DR68" s="362"/>
      <c r="DS68" s="362"/>
      <c r="DT68" s="362"/>
      <c r="DU68" s="362"/>
      <c r="DV68" s="362"/>
      <c r="DW68" s="362"/>
      <c r="DX68" s="362"/>
      <c r="DY68" s="362"/>
      <c r="DZ68" s="362"/>
      <c r="EA68" s="362"/>
      <c r="EB68" s="362"/>
      <c r="EC68" s="362"/>
      <c r="ED68" s="362"/>
      <c r="EE68" s="362"/>
      <c r="EF68" s="362"/>
      <c r="EG68" s="362"/>
      <c r="EH68" s="362"/>
      <c r="EI68" s="362"/>
      <c r="EJ68" s="362"/>
      <c r="EK68" s="362"/>
      <c r="EL68" s="362"/>
      <c r="EM68" s="362"/>
      <c r="EN68" s="362"/>
      <c r="EO68" s="362"/>
      <c r="EP68" s="362"/>
      <c r="EQ68" s="362"/>
      <c r="ER68" s="362"/>
      <c r="ES68" s="362"/>
      <c r="ET68" s="362"/>
      <c r="EU68" s="362"/>
      <c r="EV68" s="362"/>
      <c r="EW68" s="362"/>
      <c r="EX68" s="362"/>
      <c r="EY68" s="362"/>
      <c r="EZ68" s="362"/>
      <c r="FA68" s="362"/>
      <c r="FB68" s="362"/>
      <c r="FC68" s="362"/>
      <c r="FD68" s="362"/>
      <c r="FE68" s="362"/>
      <c r="FF68" s="362"/>
      <c r="FG68" s="362"/>
      <c r="FH68" s="362"/>
      <c r="FI68" s="362"/>
      <c r="FJ68" s="362"/>
      <c r="FK68" s="362"/>
      <c r="FL68" s="362"/>
      <c r="FM68" s="362"/>
      <c r="FN68" s="362"/>
      <c r="FO68" s="362"/>
      <c r="FP68" s="362"/>
      <c r="FQ68" s="362"/>
      <c r="FR68" s="362"/>
      <c r="FS68" s="362"/>
      <c r="FT68" s="362"/>
      <c r="FU68" s="362"/>
      <c r="FV68" s="362"/>
      <c r="FW68" s="362"/>
      <c r="FX68" s="362"/>
      <c r="FY68" s="362"/>
      <c r="FZ68" s="362"/>
      <c r="GA68" s="362"/>
      <c r="GB68" s="362"/>
      <c r="GC68" s="362"/>
      <c r="GD68" s="362"/>
      <c r="GE68" s="362"/>
      <c r="GF68" s="362"/>
      <c r="GG68" s="362"/>
      <c r="GH68" s="362"/>
      <c r="GI68" s="362"/>
      <c r="GJ68" s="362"/>
      <c r="GK68" s="362"/>
      <c r="GL68" s="362"/>
      <c r="GM68" s="362"/>
      <c r="GN68" s="362"/>
      <c r="GO68" s="362"/>
      <c r="GP68" s="362"/>
      <c r="GQ68" s="362"/>
      <c r="GR68" s="362"/>
      <c r="GS68" s="362"/>
      <c r="GT68" s="362"/>
      <c r="GU68" s="362"/>
      <c r="GV68" s="362"/>
      <c r="GW68" s="362"/>
      <c r="GX68" s="362"/>
      <c r="GY68" s="362"/>
      <c r="GZ68" s="362"/>
      <c r="HA68" s="362"/>
      <c r="HB68" s="362"/>
      <c r="HC68" s="362"/>
      <c r="HD68" s="362"/>
      <c r="HE68" s="362"/>
      <c r="HF68" s="362"/>
      <c r="HG68" s="362"/>
      <c r="HH68" s="362"/>
      <c r="HI68" s="362"/>
      <c r="HJ68" s="362"/>
      <c r="HK68" s="362"/>
      <c r="HL68" s="362"/>
      <c r="HM68" s="362"/>
      <c r="HN68" s="362"/>
      <c r="HO68" s="362"/>
      <c r="HP68" s="362"/>
      <c r="HQ68" s="362"/>
      <c r="HR68" s="362"/>
      <c r="HS68" s="362"/>
      <c r="HT68" s="362"/>
      <c r="HU68" s="362"/>
      <c r="HV68" s="362"/>
      <c r="HW68" s="362"/>
      <c r="HX68" s="362"/>
      <c r="HY68" s="362"/>
      <c r="HZ68" s="362"/>
      <c r="IA68" s="362"/>
      <c r="IB68" s="362"/>
      <c r="IC68" s="362"/>
      <c r="ID68" s="362"/>
      <c r="IE68" s="362"/>
      <c r="IF68" s="362"/>
      <c r="IG68" s="362"/>
      <c r="IH68" s="362"/>
      <c r="II68" s="362"/>
      <c r="IJ68" s="362"/>
      <c r="IK68" s="362"/>
      <c r="IL68" s="362"/>
      <c r="IM68" s="362"/>
      <c r="IN68" s="362"/>
      <c r="IO68" s="362"/>
      <c r="IP68" s="362"/>
      <c r="IQ68" s="362"/>
      <c r="IR68" s="362"/>
      <c r="IS68" s="362"/>
      <c r="IT68" s="362"/>
      <c r="IU68" s="362"/>
    </row>
    <row r="69" spans="1:255" x14ac:dyDescent="0.15">
      <c r="A69" s="295"/>
      <c r="B69" s="219" t="s">
        <v>505</v>
      </c>
      <c r="C69" s="150"/>
      <c r="D69" s="224"/>
      <c r="E69" s="31" t="str">
        <f>K2</f>
        <v>REGRA PERMANENTE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083" t="s">
        <v>700</v>
      </c>
      <c r="Q69" s="1084">
        <v>3</v>
      </c>
      <c r="R69" s="1084">
        <v>6</v>
      </c>
      <c r="S69" s="1084">
        <v>9</v>
      </c>
      <c r="T69" s="1084">
        <v>12</v>
      </c>
      <c r="U69" s="1084">
        <v>15</v>
      </c>
      <c r="V69" s="1084">
        <v>18</v>
      </c>
      <c r="W69" s="1084">
        <v>21</v>
      </c>
      <c r="X69" s="1084">
        <v>24</v>
      </c>
      <c r="Y69" s="1084">
        <v>27</v>
      </c>
      <c r="Z69" s="1084">
        <v>30</v>
      </c>
      <c r="AA69" s="1084">
        <v>33</v>
      </c>
      <c r="AB69" s="1084">
        <v>36</v>
      </c>
      <c r="AC69" s="1097">
        <v>39</v>
      </c>
      <c r="AD69" s="1075"/>
      <c r="AE69" s="1075"/>
      <c r="AF69" s="1075"/>
      <c r="AG69" s="1074"/>
      <c r="AH69" s="362"/>
      <c r="AI69" s="362"/>
      <c r="AJ69" s="362"/>
      <c r="AK69" s="362"/>
      <c r="AL69" s="362"/>
      <c r="AM69" s="362"/>
      <c r="AN69" s="362"/>
      <c r="AO69" s="362"/>
      <c r="AP69" s="362"/>
      <c r="AQ69" s="362"/>
      <c r="AR69" s="362"/>
      <c r="AS69" s="362"/>
      <c r="AT69" s="362"/>
      <c r="AU69" s="362"/>
      <c r="AV69" s="362"/>
      <c r="AW69" s="362"/>
      <c r="AX69" s="2"/>
      <c r="AY69" s="2"/>
      <c r="AZ69" s="2"/>
      <c r="BA69" s="1076"/>
      <c r="BB69" s="362"/>
      <c r="BC69" s="362"/>
      <c r="BD69" s="362"/>
      <c r="BE69" s="362"/>
      <c r="BF69" s="362"/>
      <c r="BG69" s="362"/>
      <c r="BH69" s="362"/>
      <c r="BI69" s="362"/>
      <c r="BJ69" s="362"/>
      <c r="BK69" s="362"/>
      <c r="BL69" s="362"/>
      <c r="BM69" s="362"/>
      <c r="BN69" s="362"/>
      <c r="BO69" s="362"/>
      <c r="BP69" s="362"/>
      <c r="BQ69" s="362"/>
      <c r="BR69" s="362"/>
      <c r="BS69" s="362"/>
      <c r="BT69" s="362"/>
      <c r="BU69" s="362"/>
      <c r="BV69" s="362"/>
      <c r="BW69" s="362"/>
      <c r="BX69" s="362"/>
      <c r="BY69" s="362"/>
      <c r="BZ69" s="362"/>
      <c r="CA69" s="362"/>
      <c r="CB69" s="362"/>
      <c r="CC69" s="362"/>
      <c r="CD69" s="362"/>
      <c r="CE69" s="362"/>
      <c r="CF69" s="362"/>
      <c r="CG69" s="362"/>
      <c r="CH69" s="362"/>
      <c r="CI69" s="362"/>
      <c r="CJ69" s="362"/>
      <c r="CK69" s="362"/>
      <c r="CL69" s="362"/>
      <c r="CM69" s="362"/>
      <c r="CN69" s="362"/>
      <c r="CO69" s="362"/>
      <c r="CP69" s="362"/>
      <c r="CQ69" s="362"/>
      <c r="CR69" s="362"/>
      <c r="CS69" s="362"/>
      <c r="CT69" s="362"/>
      <c r="CU69" s="362"/>
      <c r="CV69" s="362"/>
      <c r="CW69" s="362"/>
      <c r="CX69" s="362"/>
      <c r="CY69" s="362"/>
      <c r="CZ69" s="362"/>
      <c r="DA69" s="362"/>
      <c r="DB69" s="362"/>
      <c r="DC69" s="362"/>
      <c r="DD69" s="362"/>
      <c r="DE69" s="362"/>
      <c r="DF69" s="362"/>
      <c r="DG69" s="362"/>
      <c r="DH69" s="362"/>
      <c r="DI69" s="362"/>
      <c r="DJ69" s="362"/>
      <c r="DK69" s="362"/>
      <c r="DL69" s="362"/>
      <c r="DM69" s="362"/>
      <c r="DN69" s="362"/>
      <c r="DO69" s="362"/>
      <c r="DP69" s="362"/>
      <c r="DQ69" s="362"/>
      <c r="DR69" s="362"/>
      <c r="DS69" s="362"/>
      <c r="DT69" s="362"/>
      <c r="DU69" s="362"/>
      <c r="DV69" s="362"/>
      <c r="DW69" s="362"/>
      <c r="DX69" s="362"/>
      <c r="DY69" s="362"/>
      <c r="DZ69" s="362"/>
      <c r="EA69" s="362"/>
      <c r="EB69" s="362"/>
      <c r="EC69" s="362"/>
      <c r="ED69" s="362"/>
      <c r="EE69" s="362"/>
      <c r="EF69" s="362"/>
      <c r="EG69" s="362"/>
      <c r="EH69" s="362"/>
      <c r="EI69" s="362"/>
      <c r="EJ69" s="362"/>
      <c r="EK69" s="362"/>
      <c r="EL69" s="362"/>
      <c r="EM69" s="362"/>
      <c r="EN69" s="362"/>
      <c r="EO69" s="362"/>
      <c r="EP69" s="362"/>
      <c r="EQ69" s="362"/>
      <c r="ER69" s="362"/>
      <c r="ES69" s="362"/>
      <c r="ET69" s="362"/>
      <c r="EU69" s="362"/>
      <c r="EV69" s="362"/>
      <c r="EW69" s="362"/>
      <c r="EX69" s="362"/>
      <c r="EY69" s="362"/>
      <c r="EZ69" s="362"/>
      <c r="FA69" s="362"/>
      <c r="FB69" s="362"/>
      <c r="FC69" s="362"/>
      <c r="FD69" s="362"/>
      <c r="FE69" s="362"/>
      <c r="FF69" s="362"/>
      <c r="FG69" s="362"/>
      <c r="FH69" s="362"/>
      <c r="FI69" s="362"/>
      <c r="FJ69" s="362"/>
      <c r="FK69" s="362"/>
      <c r="FL69" s="362"/>
      <c r="FM69" s="362"/>
      <c r="FN69" s="362"/>
      <c r="FO69" s="362"/>
      <c r="FP69" s="362"/>
      <c r="FQ69" s="362"/>
      <c r="FR69" s="362"/>
      <c r="FS69" s="362"/>
      <c r="FT69" s="362"/>
      <c r="FU69" s="362"/>
      <c r="FV69" s="362"/>
      <c r="FW69" s="362"/>
      <c r="FX69" s="362"/>
      <c r="FY69" s="362"/>
      <c r="FZ69" s="362"/>
      <c r="GA69" s="362"/>
      <c r="GB69" s="362"/>
      <c r="GC69" s="362"/>
      <c r="GD69" s="362"/>
      <c r="GE69" s="362"/>
      <c r="GF69" s="362"/>
      <c r="GG69" s="362"/>
      <c r="GH69" s="362"/>
      <c r="GI69" s="362"/>
      <c r="GJ69" s="362"/>
      <c r="GK69" s="362"/>
      <c r="GL69" s="362"/>
      <c r="GM69" s="362"/>
      <c r="GN69" s="362"/>
      <c r="GO69" s="362"/>
      <c r="GP69" s="362"/>
      <c r="GQ69" s="362"/>
      <c r="GR69" s="362"/>
      <c r="GS69" s="362"/>
      <c r="GT69" s="362"/>
      <c r="GU69" s="362"/>
      <c r="GV69" s="362"/>
      <c r="GW69" s="362"/>
      <c r="GX69" s="362"/>
      <c r="GY69" s="362"/>
      <c r="GZ69" s="362"/>
      <c r="HA69" s="362"/>
      <c r="HB69" s="362"/>
      <c r="HC69" s="362"/>
      <c r="HD69" s="362"/>
      <c r="HE69" s="362"/>
      <c r="HF69" s="362"/>
      <c r="HG69" s="362"/>
      <c r="HH69" s="362"/>
      <c r="HI69" s="362"/>
      <c r="HJ69" s="362"/>
      <c r="HK69" s="362"/>
      <c r="HL69" s="362"/>
      <c r="HM69" s="362"/>
      <c r="HN69" s="362"/>
      <c r="HO69" s="362"/>
      <c r="HP69" s="362"/>
      <c r="HQ69" s="362"/>
      <c r="HR69" s="362"/>
      <c r="HS69" s="362"/>
      <c r="HT69" s="362"/>
      <c r="HU69" s="362"/>
      <c r="HV69" s="362"/>
      <c r="HW69" s="362"/>
      <c r="HX69" s="362"/>
      <c r="HY69" s="362"/>
      <c r="HZ69" s="362"/>
      <c r="IA69" s="362"/>
      <c r="IB69" s="362"/>
      <c r="IC69" s="362"/>
      <c r="ID69" s="362"/>
      <c r="IE69" s="362"/>
      <c r="IF69" s="362"/>
      <c r="IG69" s="362"/>
      <c r="IH69" s="362"/>
      <c r="II69" s="362"/>
      <c r="IJ69" s="362"/>
      <c r="IK69" s="362"/>
      <c r="IL69" s="362"/>
      <c r="IM69" s="362"/>
      <c r="IN69" s="362"/>
      <c r="IO69" s="362"/>
      <c r="IP69" s="362"/>
      <c r="IQ69" s="362"/>
      <c r="IR69" s="362"/>
      <c r="IS69" s="362"/>
      <c r="IT69" s="362"/>
      <c r="IU69" s="362"/>
    </row>
    <row r="70" spans="1:255" x14ac:dyDescent="0.15">
      <c r="A70" s="295"/>
      <c r="B70" s="219" t="s">
        <v>506</v>
      </c>
      <c r="C70" s="150"/>
      <c r="D70" s="45"/>
      <c r="E70" s="31" t="str">
        <f>E2</f>
        <v>VOLUNTÁRIA INTEGRAL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IF(K2=O3,IF(M100&gt;=N100,N99,"NÃO CABE"),"NÃO CABE")</f>
        <v>NÃO CABE</v>
      </c>
      <c r="O70" s="1064"/>
      <c r="P70" s="1093" t="s">
        <v>351</v>
      </c>
      <c r="Q70" s="1098">
        <v>6.5000000000000002E-2</v>
      </c>
      <c r="R70" s="1098">
        <v>0.13</v>
      </c>
      <c r="S70" s="1098">
        <v>0.19500000000000001</v>
      </c>
      <c r="T70" s="1098">
        <v>0.26</v>
      </c>
      <c r="U70" s="1098">
        <v>0.32500000000000001</v>
      </c>
      <c r="V70" s="1098">
        <v>0.39</v>
      </c>
      <c r="W70" s="1098">
        <v>0.45500000000000002</v>
      </c>
      <c r="X70" s="1098">
        <v>0.52</v>
      </c>
      <c r="Y70" s="1098">
        <v>0.58499999999999996</v>
      </c>
      <c r="Z70" s="1098">
        <v>0.65</v>
      </c>
      <c r="AA70" s="1098">
        <v>0.71499999999999997</v>
      </c>
      <c r="AB70" s="1098">
        <v>0.78</v>
      </c>
      <c r="AC70" s="1106">
        <v>0.84499999999999997</v>
      </c>
      <c r="AD70" s="1075"/>
      <c r="AE70" s="1075"/>
      <c r="AF70" s="1075"/>
      <c r="AG70" s="1074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2"/>
      <c r="AY70" s="2"/>
      <c r="AZ70" s="3"/>
      <c r="BA70" s="1107"/>
      <c r="BB70" s="362"/>
      <c r="BC70" s="362"/>
      <c r="BD70" s="362"/>
      <c r="BE70" s="362"/>
      <c r="BF70" s="362"/>
      <c r="BG70" s="362"/>
      <c r="BH70" s="362"/>
      <c r="BI70" s="362"/>
      <c r="BJ70" s="362"/>
      <c r="BK70" s="362"/>
      <c r="BL70" s="362"/>
      <c r="BM70" s="362"/>
      <c r="BN70" s="362"/>
      <c r="BO70" s="362"/>
      <c r="BP70" s="362"/>
      <c r="BQ70" s="362"/>
      <c r="BR70" s="362"/>
      <c r="BS70" s="362"/>
      <c r="BT70" s="362"/>
      <c r="BU70" s="362"/>
      <c r="BV70" s="362"/>
      <c r="BW70" s="362"/>
      <c r="BX70" s="362"/>
      <c r="BY70" s="362"/>
      <c r="BZ70" s="362"/>
      <c r="CA70" s="362"/>
      <c r="CB70" s="362"/>
      <c r="CC70" s="362"/>
      <c r="CD70" s="362"/>
      <c r="CE70" s="362"/>
      <c r="CF70" s="362"/>
      <c r="CG70" s="362"/>
      <c r="CH70" s="362"/>
      <c r="CI70" s="362"/>
      <c r="CJ70" s="362"/>
      <c r="CK70" s="362"/>
      <c r="CL70" s="362"/>
      <c r="CM70" s="362"/>
      <c r="CN70" s="362"/>
      <c r="CO70" s="362"/>
      <c r="CP70" s="362"/>
      <c r="CQ70" s="362"/>
      <c r="CR70" s="362"/>
      <c r="CS70" s="362"/>
      <c r="CT70" s="362"/>
      <c r="CU70" s="362"/>
      <c r="CV70" s="362"/>
      <c r="CW70" s="362"/>
      <c r="CX70" s="362"/>
      <c r="CY70" s="362"/>
      <c r="CZ70" s="362"/>
      <c r="DA70" s="362"/>
      <c r="DB70" s="362"/>
      <c r="DC70" s="362"/>
      <c r="DD70" s="362"/>
      <c r="DE70" s="362"/>
      <c r="DF70" s="362"/>
      <c r="DG70" s="362"/>
      <c r="DH70" s="362"/>
      <c r="DI70" s="362"/>
      <c r="DJ70" s="362"/>
      <c r="DK70" s="362"/>
      <c r="DL70" s="362"/>
      <c r="DM70" s="362"/>
      <c r="DN70" s="362"/>
      <c r="DO70" s="362"/>
      <c r="DP70" s="362"/>
      <c r="DQ70" s="362"/>
      <c r="DR70" s="362"/>
      <c r="DS70" s="362"/>
      <c r="DT70" s="362"/>
      <c r="DU70" s="362"/>
      <c r="DV70" s="362"/>
      <c r="DW70" s="362"/>
      <c r="DX70" s="362"/>
      <c r="DY70" s="362"/>
      <c r="DZ70" s="362"/>
      <c r="EA70" s="362"/>
      <c r="EB70" s="362"/>
      <c r="EC70" s="362"/>
      <c r="ED70" s="362"/>
      <c r="EE70" s="362"/>
      <c r="EF70" s="362"/>
      <c r="EG70" s="362"/>
      <c r="EH70" s="362"/>
      <c r="EI70" s="362"/>
      <c r="EJ70" s="362"/>
      <c r="EK70" s="362"/>
      <c r="EL70" s="362"/>
      <c r="EM70" s="362"/>
      <c r="EN70" s="362"/>
      <c r="EO70" s="362"/>
      <c r="EP70" s="362"/>
      <c r="EQ70" s="362"/>
      <c r="ER70" s="362"/>
      <c r="ES70" s="362"/>
      <c r="ET70" s="362"/>
      <c r="EU70" s="362"/>
      <c r="EV70" s="362"/>
      <c r="EW70" s="362"/>
      <c r="EX70" s="362"/>
      <c r="EY70" s="362"/>
      <c r="EZ70" s="362"/>
      <c r="FA70" s="362"/>
      <c r="FB70" s="362"/>
      <c r="FC70" s="362"/>
      <c r="FD70" s="362"/>
      <c r="FE70" s="362"/>
      <c r="FF70" s="362"/>
      <c r="FG70" s="362"/>
      <c r="FH70" s="362"/>
      <c r="FI70" s="362"/>
      <c r="FJ70" s="362"/>
      <c r="FK70" s="362"/>
      <c r="FL70" s="362"/>
      <c r="FM70" s="362"/>
      <c r="FN70" s="362"/>
      <c r="FO70" s="362"/>
      <c r="FP70" s="362"/>
      <c r="FQ70" s="362"/>
      <c r="FR70" s="362"/>
      <c r="FS70" s="362"/>
      <c r="FT70" s="362"/>
      <c r="FU70" s="362"/>
      <c r="FV70" s="362"/>
      <c r="FW70" s="362"/>
      <c r="FX70" s="362"/>
      <c r="FY70" s="362"/>
      <c r="FZ70" s="362"/>
      <c r="GA70" s="362"/>
      <c r="GB70" s="362"/>
      <c r="GC70" s="362"/>
      <c r="GD70" s="362"/>
      <c r="GE70" s="362"/>
      <c r="GF70" s="362"/>
      <c r="GG70" s="362"/>
      <c r="GH70" s="362"/>
      <c r="GI70" s="362"/>
      <c r="GJ70" s="362"/>
      <c r="GK70" s="362"/>
      <c r="GL70" s="362"/>
      <c r="GM70" s="362"/>
      <c r="GN70" s="362"/>
      <c r="GO70" s="362"/>
      <c r="GP70" s="362"/>
      <c r="GQ70" s="362"/>
      <c r="GR70" s="362"/>
      <c r="GS70" s="362"/>
      <c r="GT70" s="362"/>
      <c r="GU70" s="362"/>
      <c r="GV70" s="362"/>
      <c r="GW70" s="362"/>
      <c r="GX70" s="362"/>
      <c r="GY70" s="362"/>
      <c r="GZ70" s="362"/>
      <c r="HA70" s="362"/>
      <c r="HB70" s="362"/>
      <c r="HC70" s="362"/>
      <c r="HD70" s="362"/>
      <c r="HE70" s="362"/>
      <c r="HF70" s="362"/>
      <c r="HG70" s="362"/>
      <c r="HH70" s="362"/>
      <c r="HI70" s="362"/>
      <c r="HJ70" s="362"/>
      <c r="HK70" s="362"/>
      <c r="HL70" s="362"/>
      <c r="HM70" s="362"/>
      <c r="HN70" s="362"/>
      <c r="HO70" s="362"/>
      <c r="HP70" s="362"/>
      <c r="HQ70" s="362"/>
      <c r="HR70" s="362"/>
      <c r="HS70" s="362"/>
      <c r="HT70" s="362"/>
      <c r="HU70" s="362"/>
      <c r="HV70" s="362"/>
      <c r="HW70" s="362"/>
      <c r="HX70" s="362"/>
      <c r="HY70" s="362"/>
      <c r="HZ70" s="362"/>
      <c r="IA70" s="362"/>
      <c r="IB70" s="362"/>
      <c r="IC70" s="362"/>
      <c r="ID70" s="362"/>
      <c r="IE70" s="362"/>
      <c r="IF70" s="362"/>
      <c r="IG70" s="362"/>
      <c r="IH70" s="362"/>
      <c r="II70" s="362"/>
      <c r="IJ70" s="362"/>
      <c r="IK70" s="362"/>
      <c r="IL70" s="362"/>
      <c r="IM70" s="362"/>
      <c r="IN70" s="362"/>
      <c r="IO70" s="362"/>
      <c r="IP70" s="362"/>
      <c r="IQ70" s="362"/>
      <c r="IR70" s="362"/>
      <c r="IS70" s="362"/>
      <c r="IT70" s="362"/>
      <c r="IU70" s="362"/>
    </row>
    <row r="71" spans="1:255" x14ac:dyDescent="0.15">
      <c r="A71" s="295"/>
      <c r="B71" s="219" t="s">
        <v>501</v>
      </c>
      <c r="C71" s="150"/>
      <c r="D71" s="227"/>
      <c r="E71" s="29" t="str">
        <f>IF($E$2=$L$107,$O$107,IF($E$2=$L$108,$O$108,IF($E$2=$L$109,$O$109,IF($E$2=$L$110,$O$110,IF($E$2=$L$111,$O$111,$O$112)))))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  <c r="AC71" s="1090"/>
      <c r="AD71" s="1075"/>
      <c r="AE71" s="1075"/>
      <c r="AF71" s="1075"/>
      <c r="AG71" s="1074"/>
      <c r="AH71" s="362"/>
      <c r="AI71" s="362"/>
      <c r="AJ71" s="362"/>
      <c r="AK71" s="362"/>
      <c r="AL71" s="362"/>
      <c r="AM71" s="362"/>
      <c r="AN71" s="362"/>
      <c r="AO71" s="362"/>
      <c r="AP71" s="362"/>
      <c r="AQ71" s="362"/>
      <c r="AR71" s="362"/>
      <c r="AS71" s="362"/>
      <c r="AT71" s="362"/>
      <c r="AU71" s="362"/>
      <c r="AV71" s="362"/>
      <c r="AW71" s="362"/>
      <c r="AX71" s="2"/>
      <c r="AY71" s="2"/>
      <c r="AZ71" s="3"/>
      <c r="BA71" s="1107"/>
      <c r="BB71" s="362"/>
      <c r="BC71" s="362"/>
      <c r="BD71" s="362"/>
      <c r="BE71" s="362"/>
      <c r="BF71" s="362"/>
      <c r="BG71" s="362"/>
      <c r="BH71" s="362"/>
      <c r="BI71" s="362"/>
      <c r="BJ71" s="362"/>
      <c r="BK71" s="362"/>
      <c r="BL71" s="362"/>
      <c r="BM71" s="362"/>
      <c r="BN71" s="362"/>
      <c r="BO71" s="362"/>
      <c r="BP71" s="362"/>
      <c r="BQ71" s="362"/>
      <c r="BR71" s="362"/>
      <c r="BS71" s="362"/>
      <c r="BT71" s="362"/>
      <c r="BU71" s="362"/>
      <c r="BV71" s="362"/>
      <c r="BW71" s="362"/>
      <c r="BX71" s="362"/>
      <c r="BY71" s="362"/>
      <c r="BZ71" s="362"/>
      <c r="CA71" s="362"/>
      <c r="CB71" s="362"/>
      <c r="CC71" s="362"/>
      <c r="CD71" s="362"/>
      <c r="CE71" s="362"/>
      <c r="CF71" s="362"/>
      <c r="CG71" s="362"/>
      <c r="CH71" s="362"/>
      <c r="CI71" s="362"/>
      <c r="CJ71" s="362"/>
      <c r="CK71" s="362"/>
      <c r="CL71" s="362"/>
      <c r="CM71" s="362"/>
      <c r="CN71" s="362"/>
      <c r="CO71" s="362"/>
      <c r="CP71" s="362"/>
      <c r="CQ71" s="362"/>
      <c r="CR71" s="362"/>
      <c r="CS71" s="362"/>
      <c r="CT71" s="362"/>
      <c r="CU71" s="362"/>
      <c r="CV71" s="362"/>
      <c r="CW71" s="362"/>
      <c r="CX71" s="362"/>
      <c r="CY71" s="362"/>
      <c r="CZ71" s="362"/>
      <c r="DA71" s="362"/>
      <c r="DB71" s="362"/>
      <c r="DC71" s="362"/>
      <c r="DD71" s="362"/>
      <c r="DE71" s="362"/>
      <c r="DF71" s="362"/>
      <c r="DG71" s="362"/>
      <c r="DH71" s="362"/>
      <c r="DI71" s="362"/>
      <c r="DJ71" s="362"/>
      <c r="DK71" s="362"/>
      <c r="DL71" s="362"/>
      <c r="DM71" s="362"/>
      <c r="DN71" s="362"/>
      <c r="DO71" s="362"/>
      <c r="DP71" s="362"/>
      <c r="DQ71" s="362"/>
      <c r="DR71" s="362"/>
      <c r="DS71" s="362"/>
      <c r="DT71" s="362"/>
      <c r="DU71" s="362"/>
      <c r="DV71" s="362"/>
      <c r="DW71" s="362"/>
      <c r="DX71" s="362"/>
      <c r="DY71" s="362"/>
      <c r="DZ71" s="362"/>
      <c r="EA71" s="362"/>
      <c r="EB71" s="362"/>
      <c r="EC71" s="362"/>
      <c r="ED71" s="362"/>
      <c r="EE71" s="362"/>
      <c r="EF71" s="362"/>
      <c r="EG71" s="362"/>
      <c r="EH71" s="362"/>
      <c r="EI71" s="362"/>
      <c r="EJ71" s="362"/>
      <c r="EK71" s="362"/>
      <c r="EL71" s="362"/>
      <c r="EM71" s="362"/>
      <c r="EN71" s="362"/>
      <c r="EO71" s="362"/>
      <c r="EP71" s="362"/>
      <c r="EQ71" s="362"/>
      <c r="ER71" s="362"/>
      <c r="ES71" s="362"/>
      <c r="ET71" s="362"/>
      <c r="EU71" s="362"/>
      <c r="EV71" s="362"/>
      <c r="EW71" s="362"/>
      <c r="EX71" s="362"/>
      <c r="EY71" s="362"/>
      <c r="EZ71" s="362"/>
      <c r="FA71" s="362"/>
      <c r="FB71" s="362"/>
      <c r="FC71" s="362"/>
      <c r="FD71" s="362"/>
      <c r="FE71" s="362"/>
      <c r="FF71" s="362"/>
      <c r="FG71" s="362"/>
      <c r="FH71" s="362"/>
      <c r="FI71" s="362"/>
      <c r="FJ71" s="362"/>
      <c r="FK71" s="362"/>
      <c r="FL71" s="362"/>
      <c r="FM71" s="362"/>
      <c r="FN71" s="362"/>
      <c r="FO71" s="362"/>
      <c r="FP71" s="362"/>
      <c r="FQ71" s="362"/>
      <c r="FR71" s="362"/>
      <c r="FS71" s="362"/>
      <c r="FT71" s="362"/>
      <c r="FU71" s="362"/>
      <c r="FV71" s="362"/>
      <c r="FW71" s="362"/>
      <c r="FX71" s="362"/>
      <c r="FY71" s="362"/>
      <c r="FZ71" s="362"/>
      <c r="GA71" s="362"/>
      <c r="GB71" s="362"/>
      <c r="GC71" s="362"/>
      <c r="GD71" s="362"/>
      <c r="GE71" s="362"/>
      <c r="GF71" s="362"/>
      <c r="GG71" s="362"/>
      <c r="GH71" s="362"/>
      <c r="GI71" s="362"/>
      <c r="GJ71" s="362"/>
      <c r="GK71" s="362"/>
      <c r="GL71" s="362"/>
      <c r="GM71" s="362"/>
      <c r="GN71" s="362"/>
      <c r="GO71" s="362"/>
      <c r="GP71" s="362"/>
      <c r="GQ71" s="362"/>
      <c r="GR71" s="362"/>
      <c r="GS71" s="362"/>
      <c r="GT71" s="362"/>
      <c r="GU71" s="362"/>
      <c r="GV71" s="362"/>
      <c r="GW71" s="362"/>
      <c r="GX71" s="362"/>
      <c r="GY71" s="362"/>
      <c r="GZ71" s="362"/>
      <c r="HA71" s="362"/>
      <c r="HB71" s="362"/>
      <c r="HC71" s="362"/>
      <c r="HD71" s="362"/>
      <c r="HE71" s="362"/>
      <c r="HF71" s="362"/>
      <c r="HG71" s="362"/>
      <c r="HH71" s="362"/>
      <c r="HI71" s="362"/>
      <c r="HJ71" s="362"/>
      <c r="HK71" s="362"/>
      <c r="HL71" s="362"/>
      <c r="HM71" s="362"/>
      <c r="HN71" s="362"/>
      <c r="HO71" s="362"/>
      <c r="HP71" s="362"/>
      <c r="HQ71" s="362"/>
      <c r="HR71" s="362"/>
      <c r="HS71" s="362"/>
      <c r="HT71" s="362"/>
      <c r="HU71" s="362"/>
      <c r="HV71" s="362"/>
      <c r="HW71" s="362"/>
      <c r="HX71" s="362"/>
      <c r="HY71" s="362"/>
      <c r="HZ71" s="362"/>
      <c r="IA71" s="362"/>
      <c r="IB71" s="362"/>
      <c r="IC71" s="362"/>
      <c r="ID71" s="362"/>
      <c r="IE71" s="362"/>
      <c r="IF71" s="362"/>
      <c r="IG71" s="362"/>
      <c r="IH71" s="362"/>
      <c r="II71" s="362"/>
      <c r="IJ71" s="362"/>
      <c r="IK71" s="362"/>
      <c r="IL71" s="362"/>
      <c r="IM71" s="362"/>
      <c r="IN71" s="362"/>
      <c r="IO71" s="362"/>
      <c r="IP71" s="362"/>
      <c r="IQ71" s="362"/>
      <c r="IR71" s="362"/>
      <c r="IS71" s="362"/>
      <c r="IT71" s="362"/>
      <c r="IU71" s="362"/>
    </row>
    <row r="72" spans="1:255" x14ac:dyDescent="0.15">
      <c r="A72" s="295"/>
      <c r="B72" s="219" t="s">
        <v>502</v>
      </c>
      <c r="C72" s="29"/>
      <c r="D72" s="227"/>
      <c r="E72" s="232"/>
      <c r="F72" s="72">
        <f>C64</f>
        <v>12775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083" t="s">
        <v>604</v>
      </c>
      <c r="Q72" s="1084"/>
      <c r="R72" s="1084"/>
      <c r="S72" s="1084"/>
      <c r="T72" s="1084"/>
      <c r="U72" s="1084"/>
      <c r="V72" s="1084"/>
      <c r="W72" s="1084"/>
      <c r="X72" s="1084"/>
      <c r="Y72" s="1084"/>
      <c r="Z72" s="1084"/>
      <c r="AA72" s="1108"/>
      <c r="AB72" s="1097"/>
      <c r="AC72" s="1074"/>
      <c r="AD72" s="362"/>
      <c r="AE72" s="362"/>
      <c r="AF72" s="362"/>
      <c r="AG72" s="362"/>
      <c r="AH72" s="362"/>
      <c r="AI72" s="362"/>
      <c r="AJ72" s="362"/>
      <c r="AK72" s="362"/>
      <c r="AL72" s="362"/>
      <c r="AM72" s="362"/>
      <c r="AN72" s="362"/>
      <c r="AO72" s="362"/>
      <c r="AP72" s="362"/>
      <c r="AQ72" s="362"/>
      <c r="AR72" s="362"/>
      <c r="AS72" s="362"/>
      <c r="AT72" s="362"/>
      <c r="AU72" s="362"/>
      <c r="AV72" s="362"/>
      <c r="AW72" s="362"/>
      <c r="AX72" s="3"/>
      <c r="AY72" s="3"/>
      <c r="AZ72" s="3"/>
      <c r="BA72" s="1107"/>
      <c r="BB72" s="362"/>
      <c r="BC72" s="362"/>
      <c r="BD72" s="362"/>
      <c r="BE72" s="362"/>
      <c r="BF72" s="362"/>
      <c r="BG72" s="362"/>
      <c r="BH72" s="362"/>
      <c r="BI72" s="362"/>
      <c r="BJ72" s="362"/>
      <c r="BK72" s="362"/>
      <c r="BL72" s="362"/>
      <c r="BM72" s="362"/>
      <c r="BN72" s="362"/>
      <c r="BO72" s="362"/>
      <c r="BP72" s="362"/>
      <c r="BQ72" s="362"/>
      <c r="BR72" s="362"/>
      <c r="BS72" s="362"/>
      <c r="BT72" s="362"/>
      <c r="BU72" s="362"/>
      <c r="BV72" s="362"/>
      <c r="BW72" s="362"/>
      <c r="BX72" s="362"/>
      <c r="BY72" s="362"/>
      <c r="BZ72" s="362"/>
      <c r="CA72" s="362"/>
      <c r="CB72" s="362"/>
      <c r="CC72" s="362"/>
      <c r="CD72" s="362"/>
      <c r="CE72" s="362"/>
      <c r="CF72" s="362"/>
      <c r="CG72" s="362"/>
      <c r="CH72" s="362"/>
      <c r="CI72" s="362"/>
      <c r="CJ72" s="362"/>
      <c r="CK72" s="362"/>
      <c r="CL72" s="362"/>
      <c r="CM72" s="362"/>
      <c r="CN72" s="362"/>
      <c r="CO72" s="362"/>
      <c r="CP72" s="362"/>
      <c r="CQ72" s="362"/>
      <c r="CR72" s="362"/>
      <c r="CS72" s="362"/>
      <c r="CT72" s="362"/>
      <c r="CU72" s="362"/>
      <c r="CV72" s="362"/>
      <c r="CW72" s="362"/>
      <c r="CX72" s="362"/>
      <c r="CY72" s="362"/>
      <c r="CZ72" s="362"/>
      <c r="DA72" s="362"/>
      <c r="DB72" s="362"/>
      <c r="DC72" s="362"/>
      <c r="DD72" s="362"/>
      <c r="DE72" s="362"/>
      <c r="DF72" s="362"/>
      <c r="DG72" s="362"/>
      <c r="DH72" s="362"/>
      <c r="DI72" s="362"/>
      <c r="DJ72" s="362"/>
      <c r="DK72" s="362"/>
      <c r="DL72" s="362"/>
      <c r="DM72" s="362"/>
      <c r="DN72" s="362"/>
      <c r="DO72" s="362"/>
      <c r="DP72" s="362"/>
      <c r="DQ72" s="362"/>
      <c r="DR72" s="362"/>
      <c r="DS72" s="362"/>
      <c r="DT72" s="362"/>
      <c r="DU72" s="362"/>
      <c r="DV72" s="362"/>
      <c r="DW72" s="362"/>
      <c r="DX72" s="362"/>
      <c r="DY72" s="362"/>
      <c r="DZ72" s="362"/>
      <c r="EA72" s="362"/>
      <c r="EB72" s="362"/>
      <c r="EC72" s="362"/>
      <c r="ED72" s="362"/>
      <c r="EE72" s="362"/>
      <c r="EF72" s="362"/>
      <c r="EG72" s="362"/>
      <c r="EH72" s="362"/>
      <c r="EI72" s="362"/>
      <c r="EJ72" s="362"/>
      <c r="EK72" s="362"/>
      <c r="EL72" s="362"/>
      <c r="EM72" s="362"/>
      <c r="EN72" s="362"/>
      <c r="EO72" s="362"/>
      <c r="EP72" s="362"/>
      <c r="EQ72" s="362"/>
      <c r="ER72" s="362"/>
      <c r="ES72" s="362"/>
      <c r="ET72" s="362"/>
      <c r="EU72" s="362"/>
      <c r="EV72" s="362"/>
      <c r="EW72" s="362"/>
      <c r="EX72" s="362"/>
      <c r="EY72" s="362"/>
      <c r="EZ72" s="362"/>
      <c r="FA72" s="362"/>
      <c r="FB72" s="362"/>
      <c r="FC72" s="362"/>
      <c r="FD72" s="362"/>
      <c r="FE72" s="362"/>
      <c r="FF72" s="362"/>
      <c r="FG72" s="362"/>
      <c r="FH72" s="362"/>
      <c r="FI72" s="362"/>
      <c r="FJ72" s="362"/>
      <c r="FK72" s="362"/>
      <c r="FL72" s="362"/>
      <c r="FM72" s="362"/>
      <c r="FN72" s="362"/>
      <c r="FO72" s="362"/>
      <c r="FP72" s="362"/>
      <c r="FQ72" s="362"/>
      <c r="FR72" s="362"/>
      <c r="FS72" s="362"/>
      <c r="FT72" s="362"/>
      <c r="FU72" s="362"/>
      <c r="FV72" s="362"/>
      <c r="FW72" s="362"/>
      <c r="FX72" s="362"/>
      <c r="FY72" s="362"/>
      <c r="FZ72" s="362"/>
      <c r="GA72" s="362"/>
      <c r="GB72" s="362"/>
      <c r="GC72" s="362"/>
      <c r="GD72" s="362"/>
      <c r="GE72" s="362"/>
      <c r="GF72" s="362"/>
      <c r="GG72" s="362"/>
      <c r="GH72" s="362"/>
      <c r="GI72" s="362"/>
      <c r="GJ72" s="362"/>
      <c r="GK72" s="362"/>
      <c r="GL72" s="362"/>
      <c r="GM72" s="362"/>
      <c r="GN72" s="362"/>
      <c r="GO72" s="362"/>
      <c r="GP72" s="362"/>
      <c r="GQ72" s="362"/>
      <c r="GR72" s="362"/>
      <c r="GS72" s="362"/>
      <c r="GT72" s="362"/>
      <c r="GU72" s="362"/>
      <c r="GV72" s="362"/>
      <c r="GW72" s="362"/>
      <c r="GX72" s="362"/>
      <c r="GY72" s="362"/>
      <c r="GZ72" s="362"/>
      <c r="HA72" s="362"/>
      <c r="HB72" s="362"/>
      <c r="HC72" s="362"/>
      <c r="HD72" s="362"/>
      <c r="HE72" s="362"/>
      <c r="HF72" s="362"/>
      <c r="HG72" s="362"/>
      <c r="HH72" s="362"/>
      <c r="HI72" s="362"/>
      <c r="HJ72" s="362"/>
      <c r="HK72" s="362"/>
      <c r="HL72" s="362"/>
      <c r="HM72" s="362"/>
      <c r="HN72" s="362"/>
      <c r="HO72" s="362"/>
      <c r="HP72" s="362"/>
      <c r="HQ72" s="362"/>
      <c r="HR72" s="362"/>
      <c r="HS72" s="362"/>
      <c r="HT72" s="362"/>
      <c r="HU72" s="362"/>
      <c r="HV72" s="362"/>
      <c r="HW72" s="362"/>
      <c r="HX72" s="362"/>
      <c r="HY72" s="362"/>
      <c r="HZ72" s="362"/>
      <c r="IA72" s="362"/>
      <c r="IB72" s="362"/>
      <c r="IC72" s="362"/>
      <c r="ID72" s="362"/>
      <c r="IE72" s="362"/>
      <c r="IF72" s="362"/>
      <c r="IG72" s="362"/>
      <c r="IH72" s="362"/>
      <c r="II72" s="362"/>
      <c r="IJ72" s="362"/>
      <c r="IK72" s="362"/>
      <c r="IL72" s="362"/>
      <c r="IM72" s="362"/>
      <c r="IN72" s="362"/>
      <c r="IO72" s="362"/>
      <c r="IP72" s="362"/>
      <c r="IQ72" s="362"/>
      <c r="IR72" s="362"/>
      <c r="IS72" s="362"/>
      <c r="IT72" s="362"/>
      <c r="IU72" s="362"/>
    </row>
    <row r="73" spans="1:255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089" t="s">
        <v>349</v>
      </c>
      <c r="Q73" s="2">
        <v>5</v>
      </c>
      <c r="R73" s="2">
        <v>10</v>
      </c>
      <c r="S73" s="2">
        <v>15</v>
      </c>
      <c r="T73" s="2">
        <v>20</v>
      </c>
      <c r="U73" s="2">
        <v>25</v>
      </c>
      <c r="V73" s="2">
        <v>30</v>
      </c>
      <c r="W73" s="2">
        <v>35</v>
      </c>
      <c r="X73" s="2">
        <v>40</v>
      </c>
      <c r="Y73" s="2">
        <v>45</v>
      </c>
      <c r="Z73" s="2">
        <v>50</v>
      </c>
      <c r="AA73" s="2">
        <v>55</v>
      </c>
      <c r="AB73" s="243">
        <v>60</v>
      </c>
      <c r="AC73" s="1074"/>
      <c r="AD73" s="362"/>
      <c r="AE73" s="362"/>
      <c r="AF73" s="362"/>
      <c r="AG73" s="362"/>
      <c r="AH73" s="362"/>
      <c r="AI73" s="362"/>
      <c r="AJ73" s="362"/>
      <c r="AK73" s="362"/>
      <c r="AL73" s="362"/>
      <c r="AM73" s="362"/>
      <c r="AN73" s="362"/>
      <c r="AO73" s="362"/>
      <c r="AP73" s="362"/>
      <c r="AQ73" s="362"/>
      <c r="AR73" s="362"/>
      <c r="AS73" s="2"/>
      <c r="AT73" s="2"/>
      <c r="AU73" s="2"/>
      <c r="AV73" s="2"/>
      <c r="AW73" s="2"/>
      <c r="AX73" s="2"/>
      <c r="AY73" s="2"/>
      <c r="AZ73" s="3"/>
      <c r="BA73" s="1107"/>
      <c r="BB73" s="362"/>
      <c r="BC73" s="362"/>
      <c r="BD73" s="362"/>
      <c r="BE73" s="362"/>
      <c r="BF73" s="362"/>
      <c r="BG73" s="362"/>
      <c r="BH73" s="362"/>
      <c r="BI73" s="362"/>
      <c r="BJ73" s="362"/>
      <c r="BK73" s="362"/>
      <c r="BL73" s="362"/>
      <c r="BM73" s="362"/>
      <c r="BN73" s="362"/>
      <c r="BO73" s="362"/>
      <c r="BP73" s="362"/>
      <c r="BQ73" s="362"/>
      <c r="BR73" s="362"/>
      <c r="BS73" s="362"/>
      <c r="BT73" s="362"/>
      <c r="BU73" s="362"/>
      <c r="BV73" s="362"/>
      <c r="BW73" s="362"/>
      <c r="BX73" s="362"/>
      <c r="BY73" s="362"/>
      <c r="BZ73" s="362"/>
      <c r="CA73" s="362"/>
      <c r="CB73" s="362"/>
      <c r="CC73" s="362"/>
      <c r="CD73" s="362"/>
      <c r="CE73" s="362"/>
      <c r="CF73" s="362"/>
      <c r="CG73" s="362"/>
      <c r="CH73" s="362"/>
      <c r="CI73" s="362"/>
      <c r="CJ73" s="362"/>
      <c r="CK73" s="362"/>
      <c r="CL73" s="362"/>
      <c r="CM73" s="362"/>
      <c r="CN73" s="362"/>
      <c r="CO73" s="362"/>
      <c r="CP73" s="362"/>
      <c r="CQ73" s="362"/>
      <c r="CR73" s="362"/>
      <c r="CS73" s="362"/>
      <c r="CT73" s="362"/>
      <c r="CU73" s="362"/>
      <c r="CV73" s="362"/>
      <c r="CW73" s="362"/>
      <c r="CX73" s="362"/>
      <c r="CY73" s="362"/>
      <c r="CZ73" s="362"/>
      <c r="DA73" s="362"/>
      <c r="DB73" s="362"/>
      <c r="DC73" s="362"/>
      <c r="DD73" s="362"/>
      <c r="DE73" s="362"/>
      <c r="DF73" s="362"/>
      <c r="DG73" s="362"/>
      <c r="DH73" s="362"/>
      <c r="DI73" s="362"/>
      <c r="DJ73" s="362"/>
      <c r="DK73" s="362"/>
      <c r="DL73" s="362"/>
      <c r="DM73" s="362"/>
      <c r="DN73" s="362"/>
      <c r="DO73" s="362"/>
      <c r="DP73" s="362"/>
      <c r="DQ73" s="362"/>
      <c r="DR73" s="362"/>
      <c r="DS73" s="362"/>
      <c r="DT73" s="362"/>
      <c r="DU73" s="362"/>
      <c r="DV73" s="362"/>
      <c r="DW73" s="362"/>
      <c r="DX73" s="362"/>
      <c r="DY73" s="362"/>
      <c r="DZ73" s="362"/>
      <c r="EA73" s="362"/>
      <c r="EB73" s="362"/>
      <c r="EC73" s="362"/>
      <c r="ED73" s="362"/>
      <c r="EE73" s="362"/>
      <c r="EF73" s="362"/>
      <c r="EG73" s="362"/>
      <c r="EH73" s="362"/>
      <c r="EI73" s="362"/>
      <c r="EJ73" s="362"/>
      <c r="EK73" s="362"/>
      <c r="EL73" s="362"/>
      <c r="EM73" s="362"/>
      <c r="EN73" s="362"/>
      <c r="EO73" s="362"/>
      <c r="EP73" s="362"/>
      <c r="EQ73" s="362"/>
      <c r="ER73" s="362"/>
      <c r="ES73" s="362"/>
      <c r="ET73" s="362"/>
      <c r="EU73" s="362"/>
      <c r="EV73" s="362"/>
      <c r="EW73" s="362"/>
      <c r="EX73" s="362"/>
      <c r="EY73" s="362"/>
      <c r="EZ73" s="362"/>
      <c r="FA73" s="362"/>
      <c r="FB73" s="362"/>
      <c r="FC73" s="362"/>
      <c r="FD73" s="362"/>
      <c r="FE73" s="362"/>
      <c r="FF73" s="362"/>
      <c r="FG73" s="362"/>
      <c r="FH73" s="362"/>
      <c r="FI73" s="362"/>
      <c r="FJ73" s="362"/>
      <c r="FK73" s="362"/>
      <c r="FL73" s="362"/>
      <c r="FM73" s="362"/>
      <c r="FN73" s="362"/>
      <c r="FO73" s="362"/>
      <c r="FP73" s="362"/>
      <c r="FQ73" s="362"/>
      <c r="FR73" s="362"/>
      <c r="FS73" s="362"/>
      <c r="FT73" s="362"/>
      <c r="FU73" s="362"/>
      <c r="FV73" s="362"/>
      <c r="FW73" s="362"/>
      <c r="FX73" s="362"/>
      <c r="FY73" s="362"/>
      <c r="FZ73" s="362"/>
      <c r="GA73" s="362"/>
      <c r="GB73" s="362"/>
      <c r="GC73" s="362"/>
      <c r="GD73" s="362"/>
      <c r="GE73" s="362"/>
      <c r="GF73" s="362"/>
      <c r="GG73" s="362"/>
      <c r="GH73" s="362"/>
      <c r="GI73" s="362"/>
      <c r="GJ73" s="362"/>
      <c r="GK73" s="362"/>
      <c r="GL73" s="362"/>
      <c r="GM73" s="362"/>
      <c r="GN73" s="362"/>
      <c r="GO73" s="362"/>
      <c r="GP73" s="362"/>
      <c r="GQ73" s="362"/>
      <c r="GR73" s="362"/>
      <c r="GS73" s="362"/>
      <c r="GT73" s="362"/>
      <c r="GU73" s="362"/>
      <c r="GV73" s="362"/>
      <c r="GW73" s="362"/>
      <c r="GX73" s="362"/>
      <c r="GY73" s="362"/>
      <c r="GZ73" s="362"/>
      <c r="HA73" s="362"/>
      <c r="HB73" s="362"/>
      <c r="HC73" s="362"/>
      <c r="HD73" s="362"/>
      <c r="HE73" s="362"/>
      <c r="HF73" s="362"/>
      <c r="HG73" s="362"/>
      <c r="HH73" s="362"/>
      <c r="HI73" s="362"/>
      <c r="HJ73" s="362"/>
      <c r="HK73" s="362"/>
      <c r="HL73" s="362"/>
      <c r="HM73" s="362"/>
      <c r="HN73" s="362"/>
      <c r="HO73" s="362"/>
      <c r="HP73" s="362"/>
      <c r="HQ73" s="362"/>
      <c r="HR73" s="362"/>
      <c r="HS73" s="362"/>
      <c r="HT73" s="362"/>
      <c r="HU73" s="362"/>
      <c r="HV73" s="362"/>
      <c r="HW73" s="362"/>
      <c r="HX73" s="362"/>
      <c r="HY73" s="362"/>
      <c r="HZ73" s="362"/>
      <c r="IA73" s="362"/>
      <c r="IB73" s="362"/>
      <c r="IC73" s="362"/>
      <c r="ID73" s="362"/>
      <c r="IE73" s="362"/>
      <c r="IF73" s="362"/>
      <c r="IG73" s="362"/>
      <c r="IH73" s="362"/>
      <c r="II73" s="362"/>
      <c r="IJ73" s="362"/>
      <c r="IK73" s="362"/>
      <c r="IL73" s="362"/>
      <c r="IM73" s="362"/>
      <c r="IN73" s="362"/>
      <c r="IO73" s="362"/>
      <c r="IP73" s="362"/>
      <c r="IQ73" s="362"/>
      <c r="IR73" s="362"/>
      <c r="IS73" s="362"/>
      <c r="IT73" s="362"/>
      <c r="IU73" s="362"/>
    </row>
    <row r="74" spans="1:255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093" t="s">
        <v>351</v>
      </c>
      <c r="Q74" s="1094">
        <v>0.05</v>
      </c>
      <c r="R74" s="1094">
        <v>0.1</v>
      </c>
      <c r="S74" s="1094">
        <v>0.15</v>
      </c>
      <c r="T74" s="1094">
        <v>0.2</v>
      </c>
      <c r="U74" s="1094">
        <v>0.25</v>
      </c>
      <c r="V74" s="1094">
        <v>0.3</v>
      </c>
      <c r="W74" s="1094">
        <v>0.35</v>
      </c>
      <c r="X74" s="1094">
        <v>0.4</v>
      </c>
      <c r="Y74" s="1094">
        <v>0.45</v>
      </c>
      <c r="Z74" s="1094">
        <v>0.5</v>
      </c>
      <c r="AA74" s="1094">
        <v>0.55000000000000004</v>
      </c>
      <c r="AB74" s="1095">
        <v>0.6</v>
      </c>
      <c r="AC74" s="1074"/>
      <c r="AD74" s="362"/>
      <c r="AE74" s="362"/>
      <c r="AF74" s="362"/>
      <c r="AG74" s="362"/>
      <c r="AH74" s="362"/>
      <c r="AI74" s="362"/>
      <c r="AJ74" s="362"/>
      <c r="AK74" s="362"/>
      <c r="AL74" s="362"/>
      <c r="AM74" s="362"/>
      <c r="AN74" s="362"/>
      <c r="AO74" s="362"/>
      <c r="AP74" s="362"/>
      <c r="AQ74" s="362"/>
      <c r="AR74" s="362"/>
      <c r="AS74" s="1096"/>
      <c r="AT74" s="1096"/>
      <c r="AU74" s="1096"/>
      <c r="AV74" s="1096"/>
      <c r="AW74" s="1096"/>
      <c r="AX74" s="1096"/>
      <c r="AY74" s="1096"/>
      <c r="AZ74" s="3"/>
      <c r="BA74" s="1107"/>
      <c r="BB74" s="362"/>
      <c r="BC74" s="362"/>
      <c r="BD74" s="362"/>
      <c r="BE74" s="362"/>
      <c r="BF74" s="362"/>
      <c r="BG74" s="362"/>
      <c r="BH74" s="362"/>
      <c r="BI74" s="362"/>
      <c r="BJ74" s="362"/>
      <c r="BK74" s="362"/>
      <c r="BL74" s="362"/>
      <c r="BM74" s="362"/>
      <c r="BN74" s="362"/>
      <c r="BO74" s="362"/>
      <c r="BP74" s="362"/>
      <c r="BQ74" s="362"/>
      <c r="BR74" s="362"/>
      <c r="BS74" s="362"/>
      <c r="BT74" s="362"/>
      <c r="BU74" s="362"/>
      <c r="BV74" s="362"/>
      <c r="BW74" s="362"/>
      <c r="BX74" s="362"/>
      <c r="BY74" s="362"/>
      <c r="BZ74" s="362"/>
      <c r="CA74" s="362"/>
      <c r="CB74" s="362"/>
      <c r="CC74" s="362"/>
      <c r="CD74" s="362"/>
      <c r="CE74" s="362"/>
      <c r="CF74" s="362"/>
      <c r="CG74" s="362"/>
      <c r="CH74" s="362"/>
      <c r="CI74" s="362"/>
      <c r="CJ74" s="362"/>
      <c r="CK74" s="362"/>
      <c r="CL74" s="362"/>
      <c r="CM74" s="362"/>
      <c r="CN74" s="362"/>
      <c r="CO74" s="362"/>
      <c r="CP74" s="362"/>
      <c r="CQ74" s="362"/>
      <c r="CR74" s="362"/>
      <c r="CS74" s="362"/>
      <c r="CT74" s="362"/>
      <c r="CU74" s="362"/>
      <c r="CV74" s="362"/>
      <c r="CW74" s="362"/>
      <c r="CX74" s="362"/>
      <c r="CY74" s="362"/>
      <c r="CZ74" s="362"/>
      <c r="DA74" s="362"/>
      <c r="DB74" s="362"/>
      <c r="DC74" s="362"/>
      <c r="DD74" s="362"/>
      <c r="DE74" s="362"/>
      <c r="DF74" s="362"/>
      <c r="DG74" s="362"/>
      <c r="DH74" s="362"/>
      <c r="DI74" s="362"/>
      <c r="DJ74" s="362"/>
      <c r="DK74" s="362"/>
      <c r="DL74" s="362"/>
      <c r="DM74" s="362"/>
      <c r="DN74" s="362"/>
      <c r="DO74" s="362"/>
      <c r="DP74" s="362"/>
      <c r="DQ74" s="362"/>
      <c r="DR74" s="362"/>
      <c r="DS74" s="362"/>
      <c r="DT74" s="362"/>
      <c r="DU74" s="362"/>
      <c r="DV74" s="362"/>
      <c r="DW74" s="362"/>
      <c r="DX74" s="362"/>
      <c r="DY74" s="362"/>
      <c r="DZ74" s="362"/>
      <c r="EA74" s="362"/>
      <c r="EB74" s="362"/>
      <c r="EC74" s="362"/>
      <c r="ED74" s="362"/>
      <c r="EE74" s="362"/>
      <c r="EF74" s="362"/>
      <c r="EG74" s="362"/>
      <c r="EH74" s="362"/>
      <c r="EI74" s="362"/>
      <c r="EJ74" s="362"/>
      <c r="EK74" s="362"/>
      <c r="EL74" s="362"/>
      <c r="EM74" s="362"/>
      <c r="EN74" s="362"/>
      <c r="EO74" s="362"/>
      <c r="EP74" s="362"/>
      <c r="EQ74" s="362"/>
      <c r="ER74" s="362"/>
      <c r="ES74" s="362"/>
      <c r="ET74" s="362"/>
      <c r="EU74" s="362"/>
      <c r="EV74" s="362"/>
      <c r="EW74" s="362"/>
      <c r="EX74" s="362"/>
      <c r="EY74" s="362"/>
      <c r="EZ74" s="362"/>
      <c r="FA74" s="362"/>
      <c r="FB74" s="362"/>
      <c r="FC74" s="362"/>
      <c r="FD74" s="362"/>
      <c r="FE74" s="362"/>
      <c r="FF74" s="362"/>
      <c r="FG74" s="362"/>
      <c r="FH74" s="362"/>
      <c r="FI74" s="362"/>
      <c r="FJ74" s="362"/>
      <c r="FK74" s="362"/>
      <c r="FL74" s="362"/>
      <c r="FM74" s="362"/>
      <c r="FN74" s="362"/>
      <c r="FO74" s="362"/>
      <c r="FP74" s="362"/>
      <c r="FQ74" s="362"/>
      <c r="FR74" s="362"/>
      <c r="FS74" s="362"/>
      <c r="FT74" s="362"/>
      <c r="FU74" s="362"/>
      <c r="FV74" s="362"/>
      <c r="FW74" s="362"/>
      <c r="FX74" s="362"/>
      <c r="FY74" s="362"/>
      <c r="FZ74" s="362"/>
      <c r="GA74" s="362"/>
      <c r="GB74" s="362"/>
      <c r="GC74" s="362"/>
      <c r="GD74" s="362"/>
      <c r="GE74" s="362"/>
      <c r="GF74" s="362"/>
      <c r="GG74" s="362"/>
      <c r="GH74" s="362"/>
      <c r="GI74" s="362"/>
      <c r="GJ74" s="362"/>
      <c r="GK74" s="362"/>
      <c r="GL74" s="362"/>
      <c r="GM74" s="362"/>
      <c r="GN74" s="362"/>
      <c r="GO74" s="362"/>
      <c r="GP74" s="362"/>
      <c r="GQ74" s="362"/>
      <c r="GR74" s="362"/>
      <c r="GS74" s="362"/>
      <c r="GT74" s="362"/>
      <c r="GU74" s="362"/>
      <c r="GV74" s="362"/>
      <c r="GW74" s="362"/>
      <c r="GX74" s="362"/>
      <c r="GY74" s="362"/>
      <c r="GZ74" s="362"/>
      <c r="HA74" s="362"/>
      <c r="HB74" s="362"/>
      <c r="HC74" s="362"/>
      <c r="HD74" s="362"/>
      <c r="HE74" s="362"/>
      <c r="HF74" s="362"/>
      <c r="HG74" s="362"/>
      <c r="HH74" s="362"/>
      <c r="HI74" s="362"/>
      <c r="HJ74" s="362"/>
      <c r="HK74" s="362"/>
      <c r="HL74" s="362"/>
      <c r="HM74" s="362"/>
      <c r="HN74" s="362"/>
      <c r="HO74" s="362"/>
      <c r="HP74" s="362"/>
      <c r="HQ74" s="362"/>
      <c r="HR74" s="362"/>
      <c r="HS74" s="362"/>
      <c r="HT74" s="362"/>
      <c r="HU74" s="362"/>
      <c r="HV74" s="362"/>
      <c r="HW74" s="362"/>
      <c r="HX74" s="362"/>
      <c r="HY74" s="362"/>
      <c r="HZ74" s="362"/>
      <c r="IA74" s="362"/>
      <c r="IB74" s="362"/>
      <c r="IC74" s="362"/>
      <c r="ID74" s="362"/>
      <c r="IE74" s="362"/>
      <c r="IF74" s="362"/>
      <c r="IG74" s="362"/>
      <c r="IH74" s="362"/>
      <c r="II74" s="362"/>
      <c r="IJ74" s="362"/>
      <c r="IK74" s="362"/>
      <c r="IL74" s="362"/>
      <c r="IM74" s="362"/>
      <c r="IN74" s="362"/>
      <c r="IO74" s="362"/>
      <c r="IP74" s="362"/>
      <c r="IQ74" s="362"/>
      <c r="IR74" s="362"/>
      <c r="IS74" s="362"/>
      <c r="IT74" s="362"/>
      <c r="IU74" s="362"/>
    </row>
    <row r="75" spans="1:255" ht="15" thickBot="1" x14ac:dyDescent="0.2">
      <c r="A75" s="295"/>
      <c r="B75" s="237" t="s">
        <v>452</v>
      </c>
      <c r="C75" s="238"/>
      <c r="D75" s="239">
        <f>IF(OR(E6=B196,E6=B208,E6=B219),IF(L208&gt;=25,"FAZ JUS A 1/6 DA REMUNERAÇÃO",IF(L219&gt;=25,"FAZ JUS A 1/6 DA REMUNERAÇÃO",IF(L196&gt;=25,"FAZ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CUMPRE</v>
      </c>
      <c r="P75" s="1109" t="s">
        <v>359</v>
      </c>
      <c r="Q75" s="1110"/>
      <c r="R75" s="1111"/>
      <c r="S75" s="1112">
        <f>IF(ISERROR(HLOOKUP($J$173,$Q$73:$W$74,2)),0,HLOOKUP($J$173,$Q$73:$W$74,2))</f>
        <v>0</v>
      </c>
      <c r="T75" s="1113" t="s">
        <v>451</v>
      </c>
      <c r="U75" s="1112"/>
      <c r="V75" s="1113"/>
      <c r="W75" s="1112">
        <f>IF(ISERROR(HLOOKUP($K$173,$Q$73:$W$74,2)),0,HLOOKUP($K$173,$Q$73:$W$74,2))</f>
        <v>0</v>
      </c>
      <c r="X75" s="1112" t="s">
        <v>507</v>
      </c>
      <c r="Y75" s="1114"/>
      <c r="Z75" s="1111"/>
      <c r="AA75" s="1112"/>
      <c r="AB75" s="1115">
        <f>IF(ISERROR(HLOOKUP($L$173,$Q$73:$W$74,2)),0,HLOOKUP($L$173,$Q$73:$W$74,2))</f>
        <v>0</v>
      </c>
      <c r="AC75" s="1090"/>
      <c r="AD75" s="1075"/>
      <c r="AE75" s="1075"/>
      <c r="AF75" s="1075"/>
      <c r="AG75" s="1074"/>
      <c r="AH75" s="362"/>
      <c r="AI75" s="362"/>
      <c r="AJ75" s="362"/>
      <c r="AK75" s="362"/>
      <c r="AL75" s="362"/>
      <c r="AM75" s="362"/>
      <c r="AN75" s="362"/>
      <c r="AO75" s="362"/>
      <c r="AP75" s="362"/>
      <c r="AQ75" s="362"/>
      <c r="AR75" s="362"/>
      <c r="AS75" s="362"/>
      <c r="AT75" s="362"/>
      <c r="AU75" s="362"/>
      <c r="AV75" s="362"/>
      <c r="AW75" s="362"/>
      <c r="AX75" s="3"/>
      <c r="AY75" s="3"/>
      <c r="AZ75" s="3"/>
      <c r="BA75" s="1107"/>
      <c r="BB75" s="362"/>
      <c r="BC75" s="362"/>
      <c r="BD75" s="362"/>
      <c r="BE75" s="362"/>
      <c r="BF75" s="362"/>
      <c r="BG75" s="362"/>
      <c r="BH75" s="362"/>
      <c r="BI75" s="362"/>
      <c r="BJ75" s="362"/>
      <c r="BK75" s="362"/>
      <c r="BL75" s="362"/>
      <c r="BM75" s="362"/>
      <c r="BN75" s="362"/>
      <c r="BO75" s="362"/>
      <c r="BP75" s="362"/>
      <c r="BQ75" s="362"/>
      <c r="BR75" s="362"/>
      <c r="BS75" s="362"/>
      <c r="BT75" s="362"/>
      <c r="BU75" s="362"/>
      <c r="BV75" s="362"/>
      <c r="BW75" s="362"/>
      <c r="BX75" s="362"/>
      <c r="BY75" s="362"/>
      <c r="BZ75" s="362"/>
      <c r="CA75" s="362"/>
      <c r="CB75" s="362"/>
      <c r="CC75" s="362"/>
      <c r="CD75" s="362"/>
      <c r="CE75" s="362"/>
      <c r="CF75" s="362"/>
      <c r="CG75" s="362"/>
      <c r="CH75" s="362"/>
      <c r="CI75" s="362"/>
      <c r="CJ75" s="362"/>
      <c r="CK75" s="362"/>
      <c r="CL75" s="362"/>
      <c r="CM75" s="362"/>
      <c r="CN75" s="362"/>
      <c r="CO75" s="362"/>
      <c r="CP75" s="362"/>
      <c r="CQ75" s="362"/>
      <c r="CR75" s="362"/>
      <c r="CS75" s="362"/>
      <c r="CT75" s="362"/>
      <c r="CU75" s="362"/>
      <c r="CV75" s="362"/>
      <c r="CW75" s="362"/>
      <c r="CX75" s="362"/>
      <c r="CY75" s="362"/>
      <c r="CZ75" s="362"/>
      <c r="DA75" s="362"/>
      <c r="DB75" s="362"/>
      <c r="DC75" s="362"/>
      <c r="DD75" s="362"/>
      <c r="DE75" s="362"/>
      <c r="DF75" s="362"/>
      <c r="DG75" s="362"/>
      <c r="DH75" s="362"/>
      <c r="DI75" s="362"/>
      <c r="DJ75" s="362"/>
      <c r="DK75" s="362"/>
      <c r="DL75" s="362"/>
      <c r="DM75" s="362"/>
      <c r="DN75" s="362"/>
      <c r="DO75" s="362"/>
      <c r="DP75" s="362"/>
      <c r="DQ75" s="362"/>
      <c r="DR75" s="362"/>
      <c r="DS75" s="362"/>
      <c r="DT75" s="362"/>
      <c r="DU75" s="362"/>
      <c r="DV75" s="362"/>
      <c r="DW75" s="362"/>
      <c r="DX75" s="362"/>
      <c r="DY75" s="362"/>
      <c r="DZ75" s="362"/>
      <c r="EA75" s="362"/>
      <c r="EB75" s="362"/>
      <c r="EC75" s="362"/>
      <c r="ED75" s="362"/>
      <c r="EE75" s="362"/>
      <c r="EF75" s="362"/>
      <c r="EG75" s="362"/>
      <c r="EH75" s="362"/>
      <c r="EI75" s="362"/>
      <c r="EJ75" s="362"/>
      <c r="EK75" s="362"/>
      <c r="EL75" s="362"/>
      <c r="EM75" s="362"/>
      <c r="EN75" s="362"/>
      <c r="EO75" s="362"/>
      <c r="EP75" s="362"/>
      <c r="EQ75" s="362"/>
      <c r="ER75" s="362"/>
      <c r="ES75" s="362"/>
      <c r="ET75" s="362"/>
      <c r="EU75" s="362"/>
      <c r="EV75" s="362"/>
      <c r="EW75" s="362"/>
      <c r="EX75" s="362"/>
      <c r="EY75" s="362"/>
      <c r="EZ75" s="362"/>
      <c r="FA75" s="362"/>
      <c r="FB75" s="362"/>
      <c r="FC75" s="362"/>
      <c r="FD75" s="362"/>
      <c r="FE75" s="362"/>
      <c r="FF75" s="362"/>
      <c r="FG75" s="362"/>
      <c r="FH75" s="362"/>
      <c r="FI75" s="362"/>
      <c r="FJ75" s="362"/>
      <c r="FK75" s="362"/>
      <c r="FL75" s="362"/>
      <c r="FM75" s="362"/>
      <c r="FN75" s="362"/>
      <c r="FO75" s="362"/>
      <c r="FP75" s="362"/>
      <c r="FQ75" s="362"/>
      <c r="FR75" s="362"/>
      <c r="FS75" s="362"/>
      <c r="FT75" s="362"/>
      <c r="FU75" s="362"/>
      <c r="FV75" s="362"/>
      <c r="FW75" s="362"/>
      <c r="FX75" s="362"/>
      <c r="FY75" s="362"/>
      <c r="FZ75" s="362"/>
      <c r="GA75" s="362"/>
      <c r="GB75" s="362"/>
      <c r="GC75" s="362"/>
      <c r="GD75" s="362"/>
      <c r="GE75" s="362"/>
      <c r="GF75" s="362"/>
      <c r="GG75" s="362"/>
      <c r="GH75" s="362"/>
      <c r="GI75" s="362"/>
      <c r="GJ75" s="362"/>
      <c r="GK75" s="362"/>
      <c r="GL75" s="362"/>
      <c r="GM75" s="362"/>
      <c r="GN75" s="362"/>
      <c r="GO75" s="362"/>
      <c r="GP75" s="362"/>
      <c r="GQ75" s="362"/>
      <c r="GR75" s="362"/>
      <c r="GS75" s="362"/>
      <c r="GT75" s="362"/>
      <c r="GU75" s="362"/>
      <c r="GV75" s="362"/>
      <c r="GW75" s="362"/>
      <c r="GX75" s="362"/>
      <c r="GY75" s="362"/>
      <c r="GZ75" s="362"/>
      <c r="HA75" s="362"/>
      <c r="HB75" s="362"/>
      <c r="HC75" s="362"/>
      <c r="HD75" s="362"/>
      <c r="HE75" s="362"/>
      <c r="HF75" s="362"/>
      <c r="HG75" s="362"/>
      <c r="HH75" s="362"/>
      <c r="HI75" s="362"/>
      <c r="HJ75" s="362"/>
      <c r="HK75" s="362"/>
      <c r="HL75" s="362"/>
      <c r="HM75" s="362"/>
      <c r="HN75" s="362"/>
      <c r="HO75" s="362"/>
      <c r="HP75" s="362"/>
      <c r="HQ75" s="362"/>
      <c r="HR75" s="362"/>
      <c r="HS75" s="362"/>
      <c r="HT75" s="362"/>
      <c r="HU75" s="362"/>
      <c r="HV75" s="362"/>
      <c r="HW75" s="362"/>
      <c r="HX75" s="362"/>
      <c r="HY75" s="362"/>
      <c r="HZ75" s="362"/>
      <c r="IA75" s="362"/>
      <c r="IB75" s="362"/>
      <c r="IC75" s="362"/>
      <c r="ID75" s="362"/>
      <c r="IE75" s="362"/>
      <c r="IF75" s="362"/>
      <c r="IG75" s="362"/>
      <c r="IH75" s="362"/>
      <c r="II75" s="362"/>
      <c r="IJ75" s="362"/>
      <c r="IK75" s="362"/>
      <c r="IL75" s="362"/>
      <c r="IM75" s="362"/>
      <c r="IN75" s="362"/>
      <c r="IO75" s="362"/>
      <c r="IP75" s="362"/>
      <c r="IQ75" s="362"/>
      <c r="IR75" s="362"/>
      <c r="IS75" s="362"/>
      <c r="IT75" s="362"/>
      <c r="IU75" s="362"/>
    </row>
    <row r="76" spans="1:255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2" t="str">
        <f>IF($F$72="NADA A CUMPRIR","OK",IF($F$72="NÃO CABE","NÃO CABE","NÃO CUMPRE"))</f>
        <v>NÃO CUMPRE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255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255" ht="13.5" hidden="1" x14ac:dyDescent="0.15">
      <c r="A78" s="295"/>
      <c r="B78" s="35" t="s">
        <v>450</v>
      </c>
      <c r="C78" s="414" t="str">
        <f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>IF(OR($F$72="NADA A CUMPRIR",$F$72="NÃO CABE"),"SIM","NÃO")</f>
        <v>NÃO</v>
      </c>
      <c r="I78" s="413" t="str">
        <f>IF(N78="SIM","SIM","NÃO")</f>
        <v>NÃO</v>
      </c>
      <c r="J78" s="414" t="str">
        <f>IF(OR($M$73="NÃO CABE",$M$73="ATENDE"),"SIM","NÃO")</f>
        <v>NÃO</v>
      </c>
      <c r="K78" s="414" t="str">
        <f>IF(OR($M$74="NÃO CABE",$M$74="ATENDE"),"SIM","NÃO")</f>
        <v>SIM</v>
      </c>
      <c r="L78" s="412"/>
      <c r="M78" s="414" t="str">
        <f>IF(OR($M$75="ATENDE",$M$75="OK"),"SIM","NÃO")</f>
        <v>NÃO</v>
      </c>
      <c r="N78" s="414" t="str">
        <f>IF(AND(C78="SIM",H78="SIM",J78="SIM",K78="SIM",M78="SIM"),"SIM","NÃO")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255" ht="13.5" hidden="1" x14ac:dyDescent="0.15">
      <c r="A79" s="295"/>
      <c r="B79" s="610" t="s">
        <v>450</v>
      </c>
      <c r="C79" s="588" t="str">
        <f>IF(OR($E$71="NADA A CRITICAR",$E$71="ATENDE LIMITE MÍNIMO DE IDADE"),"SIM","NÃO")</f>
        <v>NÃO</v>
      </c>
      <c r="D79" s="587"/>
      <c r="E79" s="611" t="s">
        <v>485</v>
      </c>
      <c r="F79" s="612">
        <f>I67</f>
        <v>0</v>
      </c>
      <c r="G79" s="611"/>
      <c r="H79" s="588" t="str">
        <f>IF(OR($F$72="NADA A CUMPRIR",$F$72="NÃO CABE"),"SIM","NÃO")</f>
        <v>NÃO</v>
      </c>
      <c r="I79" s="613" t="str">
        <f>IF($D$14="X",IF($N$79="SIM","SIM","NÃO"),"NÃO")</f>
        <v>NÃO</v>
      </c>
      <c r="J79" s="588" t="str">
        <f>IF(OR($M$73="NÃO CABE",$M$73="ATENDE"),"SIM","NÃO")</f>
        <v>NÃO</v>
      </c>
      <c r="K79" s="588" t="str">
        <f>IF(OR($M$74="NÃO CABE",$M$74="ATENDE"),"SIM","NÃO")</f>
        <v>SIM</v>
      </c>
      <c r="L79" s="614"/>
      <c r="M79" s="588" t="str">
        <f>IF(OR($M$75="ATENDE",$M$75="OK"),"SIM","NÃO")</f>
        <v>NÃO</v>
      </c>
      <c r="N79" s="619" t="str">
        <f>IF($N$8&gt;=37986,"NÃO",IF(AND(C79="SIM",H79="SIM",J79="SIM",K79="SIM",M79="SIM"),"SIM","NÃO"))</f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255" ht="13.5" hidden="1" x14ac:dyDescent="0.15">
      <c r="A80" s="295"/>
      <c r="B80" s="35" t="s">
        <v>450</v>
      </c>
      <c r="C80" s="414" t="str">
        <f>IF(OR($E$71="NADA A CRITICAR",$E$71="ATENDE LIMITE MÍNIMO DE IDADE"),"SIM","NÃO")</f>
        <v>NÃO</v>
      </c>
      <c r="D80" s="415"/>
      <c r="E80" s="18" t="s">
        <v>752</v>
      </c>
      <c r="F80" s="18"/>
      <c r="G80" s="18"/>
      <c r="H80" s="414" t="str">
        <f>IF(OR($F$72="NADA A CUMPRIR",$F$72="NÃO CABE"),"SIM","NÃO")</f>
        <v>NÃO</v>
      </c>
      <c r="I80" s="413" t="str">
        <f>IF(N80="SIM","SIM","NÃO")</f>
        <v>NÃO</v>
      </c>
      <c r="J80" s="414" t="str">
        <f>IF(OR($M$73="NÃO CABE",$M$73="ATENDE"),"SIM","NÃO")</f>
        <v>NÃO</v>
      </c>
      <c r="K80" s="414" t="str">
        <f>IF(OR($M$74="NÃO CABE",$M$74="ATENDE"),"SIM","NÃO")</f>
        <v>SIM</v>
      </c>
      <c r="L80" s="412"/>
      <c r="M80" s="414" t="str">
        <f>IF(OR($M$75="ATENDE",$M$75="OK"),"SIM","NÃO")</f>
        <v>NÃO</v>
      </c>
      <c r="N80" s="414" t="str">
        <f>IF(AND(C80="SIM",H80="SIM",J80="SIM",K80="SIM",M80="SIM"),"SIM","NÃO")</f>
        <v>NÃO</v>
      </c>
      <c r="O80" s="2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AC80" s="69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>IF(OR($E$71="NADA A CRITICAR",$E$71="ATENDE LIMITE MÍNIMO DE IDADE"),"SIM","NÃO")</f>
        <v>NÃO</v>
      </c>
      <c r="D81" s="415"/>
      <c r="E81" s="18" t="s">
        <v>753</v>
      </c>
      <c r="F81" s="18"/>
      <c r="G81" s="18"/>
      <c r="H81" s="414" t="str">
        <f>IF(OR($F$72="NADA A CUMPRIR",$F$72="NÃO CABE"),"SIM","NÃO")</f>
        <v>NÃO</v>
      </c>
      <c r="I81" s="413" t="str">
        <f>IF(N81="SIM","SIM","NÃO")</f>
        <v>NÃO</v>
      </c>
      <c r="J81" s="414" t="str">
        <f>IF(OR($M$73="NÃO CABE",$M$73="ATENDE"),"SIM","NÃO")</f>
        <v>NÃO</v>
      </c>
      <c r="K81" s="414" t="str">
        <f>IF(OR($M$74="NÃO CABE",$M$74="ATENDE"),"SIM","NÃO")</f>
        <v>SIM</v>
      </c>
      <c r="L81" s="412"/>
      <c r="M81" s="414" t="str">
        <f>IF(OR($M$75="ATENDE",$M$75="OK"),"SIM","NÃO")</f>
        <v>NÃO</v>
      </c>
      <c r="N81" s="414" t="str">
        <f>IF(AND(C81="SIM",H81="SIM",J81="SIM",K81="SIM",M81="SIM"),"SIM","NÃO")</f>
        <v>NÃO</v>
      </c>
      <c r="O81" s="2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>IF(OR($E$71="NADA A CRITICAR",$E$71="ATENDE LIMITE MÍNIMO DE IDADE"),"SIM","NÃO")</f>
        <v>NÃO</v>
      </c>
      <c r="D82" s="415"/>
      <c r="E82" s="18" t="s">
        <v>754</v>
      </c>
      <c r="F82" s="18"/>
      <c r="G82" s="18"/>
      <c r="H82" s="414" t="str">
        <f>IF(OR($F$72="NADA A CUMPRIR",$F$72="NÃO CABE"),"SIM","NÃO")</f>
        <v>NÃO</v>
      </c>
      <c r="I82" s="413" t="str">
        <f>IF(N82="SIM","SIM","NÃO")</f>
        <v>NÃO</v>
      </c>
      <c r="J82" s="414" t="str">
        <f>IF(OR($M$73="NÃO CABE",$M$73="ATENDE"),"SIM","NÃO")</f>
        <v>NÃO</v>
      </c>
      <c r="K82" s="414" t="str">
        <f>IF(OR($M$74="NÃO CABE",$M$74="ATENDE"),"SIM","NÃO")</f>
        <v>SIM</v>
      </c>
      <c r="L82" s="412"/>
      <c r="M82" s="414" t="str">
        <f>IF(OR($M$75="ATENDE",$M$75="OK"),"SIM","NÃO")</f>
        <v>NÃO</v>
      </c>
      <c r="N82" s="414" t="str">
        <f>IF(AND(C82="SIM",H82="SIM",J82="SIM",K82="SIM",M82="SIM"),"SIM","NÃO")</f>
        <v>NÃO</v>
      </c>
      <c r="O82" s="2"/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30"/>
      <c r="C83" s="5"/>
      <c r="D83" s="5"/>
      <c r="E83" s="5"/>
      <c r="F83" s="5"/>
      <c r="G83" s="5"/>
      <c r="H83" s="5"/>
      <c r="I83" s="5"/>
      <c r="J83" s="5"/>
      <c r="K83" s="5"/>
      <c r="L83" s="5"/>
      <c r="M83" s="2"/>
      <c r="N83" s="5"/>
      <c r="O83" s="2"/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idden="1" thickBot="1" x14ac:dyDescent="0.2">
      <c r="B84" s="30"/>
      <c r="C84" s="5"/>
      <c r="D84" s="5"/>
      <c r="E84" s="5"/>
      <c r="F84" s="5"/>
      <c r="G84" s="5"/>
      <c r="H84" s="5"/>
      <c r="I84" s="5"/>
      <c r="J84" s="5"/>
      <c r="K84" s="5"/>
      <c r="L84" s="5"/>
      <c r="M84" s="2"/>
      <c r="N84" s="5"/>
      <c r="O84" s="255"/>
      <c r="AC84" s="69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X84" s="11"/>
      <c r="AY84" s="11"/>
      <c r="AZ84" s="11"/>
      <c r="BA84" s="85"/>
    </row>
    <row r="85" spans="1:64" ht="15.95" hidden="1" customHeight="1" thickBot="1" x14ac:dyDescent="0.2">
      <c r="B85" s="88" t="s">
        <v>449</v>
      </c>
      <c r="C85" s="89"/>
      <c r="D85" s="97" t="s">
        <v>546</v>
      </c>
      <c r="E85" s="98"/>
      <c r="F85" s="99"/>
      <c r="G85" s="5"/>
      <c r="H85" s="5"/>
      <c r="I85" s="5"/>
      <c r="J85" s="5"/>
      <c r="K85" s="5"/>
      <c r="L85" s="5"/>
      <c r="M85" s="2"/>
      <c r="N85" s="5"/>
      <c r="O85" s="255"/>
      <c r="X85" s="5"/>
      <c r="Y85" s="5"/>
      <c r="Z85" s="5"/>
      <c r="AA85" s="5"/>
      <c r="AB85" s="5"/>
      <c r="AC85" s="69"/>
      <c r="AD85" s="70"/>
      <c r="AE85" s="70"/>
      <c r="AF85" s="70"/>
      <c r="AG85" s="69"/>
      <c r="AZ85" s="11"/>
      <c r="BA85" s="85"/>
      <c r="BB85" s="692"/>
      <c r="BC85" s="693"/>
      <c r="BD85" s="693"/>
      <c r="BE85" s="693"/>
      <c r="BF85" s="693"/>
      <c r="BG85" s="694"/>
      <c r="BH85" s="694"/>
      <c r="BI85" s="695"/>
      <c r="BJ85" s="696"/>
      <c r="BK85" s="697"/>
      <c r="BL85" s="698"/>
    </row>
    <row r="86" spans="1:64" ht="15.95" hidden="1" customHeight="1" thickBot="1" x14ac:dyDescent="0.2">
      <c r="B86" s="91" t="s">
        <v>450</v>
      </c>
      <c r="C86" s="90"/>
      <c r="D86" s="90"/>
      <c r="E86" s="90"/>
      <c r="F86" s="92"/>
      <c r="G86" s="5"/>
      <c r="H86" s="5"/>
      <c r="I86" s="5"/>
      <c r="J86" s="5"/>
      <c r="K86" s="5"/>
      <c r="L86" s="5"/>
      <c r="M86" s="2"/>
      <c r="N86" s="5"/>
      <c r="O86" s="255"/>
      <c r="X86" s="26"/>
      <c r="Y86" s="26"/>
      <c r="Z86" s="26"/>
      <c r="AA86" s="26"/>
      <c r="AB86" s="26"/>
      <c r="AC86" s="69"/>
      <c r="AD86" s="21"/>
      <c r="AE86" s="21"/>
      <c r="AF86" s="21"/>
      <c r="AZ86" s="11"/>
      <c r="BA86" s="85"/>
      <c r="BB86" s="699"/>
      <c r="BC86" s="700" t="e">
        <f>(#REF!+F45+F59)/365</f>
        <v>#REF!</v>
      </c>
      <c r="BD86" s="701"/>
      <c r="BE86" s="701"/>
      <c r="BF86" s="701"/>
      <c r="BG86" s="701"/>
      <c r="BH86" s="701"/>
      <c r="BI86" s="702">
        <v>0.45</v>
      </c>
      <c r="BJ86" s="703"/>
      <c r="BK86" s="704"/>
      <c r="BL86" s="705" t="s">
        <v>368</v>
      </c>
    </row>
    <row r="87" spans="1:64" ht="15.95" hidden="1" customHeight="1" x14ac:dyDescent="0.15">
      <c r="B87" s="91" t="s">
        <v>455</v>
      </c>
      <c r="C87" s="90"/>
      <c r="D87" s="90"/>
      <c r="E87" s="90"/>
      <c r="F87" s="92"/>
      <c r="G87" s="5"/>
      <c r="H87" s="5"/>
      <c r="I87" s="5"/>
      <c r="J87" s="5"/>
      <c r="K87" s="5"/>
      <c r="L87" s="5"/>
      <c r="M87" s="2"/>
      <c r="N87" s="5"/>
      <c r="O87" s="255"/>
      <c r="AD87" s="70"/>
      <c r="AE87" s="70"/>
      <c r="AF87" s="70"/>
      <c r="AG87" s="69"/>
      <c r="AZ87" s="11"/>
      <c r="BA87" s="85"/>
      <c r="BB87" s="706" t="s">
        <v>369</v>
      </c>
      <c r="BC87" s="707" t="s">
        <v>370</v>
      </c>
      <c r="BD87" s="708" t="s">
        <v>371</v>
      </c>
      <c r="BE87" s="708" t="s">
        <v>372</v>
      </c>
      <c r="BF87" s="708" t="s">
        <v>373</v>
      </c>
      <c r="BG87" s="708" t="s">
        <v>374</v>
      </c>
      <c r="BH87" s="709" t="s">
        <v>375</v>
      </c>
      <c r="BI87" s="710" t="e">
        <f>#REF!*1.45</f>
        <v>#REF!</v>
      </c>
      <c r="BJ87" s="711">
        <v>80.64</v>
      </c>
      <c r="BK87" s="712">
        <v>100</v>
      </c>
      <c r="BL87" s="713">
        <v>112</v>
      </c>
    </row>
    <row r="88" spans="1:64" ht="15.95" hidden="1" customHeight="1" x14ac:dyDescent="0.15">
      <c r="B88" s="91" t="s">
        <v>467</v>
      </c>
      <c r="C88" s="90"/>
      <c r="D88" s="90"/>
      <c r="E88" s="90"/>
      <c r="F88" s="92"/>
      <c r="G88" s="5"/>
      <c r="H88" s="5"/>
      <c r="I88" s="5"/>
      <c r="J88" s="5"/>
      <c r="K88" s="5"/>
      <c r="L88" s="5"/>
      <c r="M88" s="2"/>
      <c r="N88" s="5"/>
      <c r="O88" s="255"/>
      <c r="AD88" s="70"/>
      <c r="AE88" s="70"/>
      <c r="AF88" s="70"/>
      <c r="AG88" s="69"/>
      <c r="AZ88" s="11"/>
      <c r="BA88" s="85"/>
      <c r="BB88" s="714" t="s">
        <v>376</v>
      </c>
      <c r="BC88" s="715" t="s">
        <v>370</v>
      </c>
      <c r="BD88" s="716" t="s">
        <v>371</v>
      </c>
      <c r="BE88" s="716" t="s">
        <v>372</v>
      </c>
      <c r="BF88" s="716" t="s">
        <v>373</v>
      </c>
      <c r="BG88" s="716" t="s">
        <v>374</v>
      </c>
      <c r="BH88" s="717" t="s">
        <v>375</v>
      </c>
      <c r="BI88" s="718" t="e">
        <f>#REF!*1.45</f>
        <v>#REF!</v>
      </c>
      <c r="BJ88" s="719">
        <v>90.32</v>
      </c>
      <c r="BK88" s="720">
        <v>100</v>
      </c>
      <c r="BL88" s="721">
        <v>125.44</v>
      </c>
    </row>
    <row r="89" spans="1:64" ht="15.95" hidden="1" customHeight="1" x14ac:dyDescent="0.15">
      <c r="B89" s="91" t="s">
        <v>468</v>
      </c>
      <c r="C89" s="90"/>
      <c r="D89" s="90"/>
      <c r="E89" s="90"/>
      <c r="F89" s="92"/>
      <c r="G89" s="5"/>
      <c r="H89" s="5"/>
      <c r="I89" s="5"/>
      <c r="J89" s="5"/>
      <c r="K89" s="5"/>
      <c r="L89" s="5"/>
      <c r="M89" s="2"/>
      <c r="N89" s="5"/>
      <c r="O89" s="255"/>
      <c r="AD89" s="70"/>
      <c r="AE89" s="70"/>
      <c r="AF89" s="70"/>
      <c r="AG89" s="69"/>
      <c r="AZ89" s="11"/>
      <c r="BA89" s="85"/>
      <c r="BB89" s="714" t="s">
        <v>377</v>
      </c>
      <c r="BC89" s="715" t="s">
        <v>371</v>
      </c>
      <c r="BD89" s="716" t="s">
        <v>372</v>
      </c>
      <c r="BE89" s="716" t="s">
        <v>373</v>
      </c>
      <c r="BF89" s="716" t="s">
        <v>374</v>
      </c>
      <c r="BG89" s="716" t="s">
        <v>375</v>
      </c>
      <c r="BH89" s="717" t="s">
        <v>378</v>
      </c>
      <c r="BI89" s="718" t="e">
        <f>#REF!*1.45</f>
        <v>#REF!</v>
      </c>
      <c r="BJ89" s="719">
        <v>101.15</v>
      </c>
      <c r="BK89" s="720">
        <v>101.15</v>
      </c>
      <c r="BL89" s="721">
        <v>140.4</v>
      </c>
    </row>
    <row r="90" spans="1:64" ht="15.95" hidden="1" customHeight="1" x14ac:dyDescent="0.15">
      <c r="B90" s="91" t="s">
        <v>470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D90" s="70"/>
      <c r="AE90" s="70"/>
      <c r="AF90" s="70"/>
      <c r="AG90" s="69"/>
      <c r="AZ90" s="11"/>
      <c r="BA90" s="85"/>
      <c r="BB90" s="714" t="s">
        <v>379</v>
      </c>
      <c r="BC90" s="715" t="s">
        <v>371</v>
      </c>
      <c r="BD90" s="716" t="s">
        <v>372</v>
      </c>
      <c r="BE90" s="716" t="s">
        <v>373</v>
      </c>
      <c r="BF90" s="716" t="s">
        <v>374</v>
      </c>
      <c r="BG90" s="716" t="s">
        <v>375</v>
      </c>
      <c r="BH90" s="717" t="s">
        <v>378</v>
      </c>
      <c r="BI90" s="718" t="e">
        <f>#REF!*1.45</f>
        <v>#REF!</v>
      </c>
      <c r="BJ90" s="719">
        <v>113.29</v>
      </c>
      <c r="BK90" s="720">
        <v>113.29</v>
      </c>
      <c r="BL90" s="721">
        <v>157.35</v>
      </c>
    </row>
    <row r="91" spans="1:64" ht="15.95" hidden="1" customHeight="1" x14ac:dyDescent="0.15">
      <c r="B91" s="91" t="s">
        <v>471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14" t="s">
        <v>380</v>
      </c>
      <c r="BC91" s="715" t="s">
        <v>372</v>
      </c>
      <c r="BD91" s="716" t="s">
        <v>373</v>
      </c>
      <c r="BE91" s="716" t="s">
        <v>374</v>
      </c>
      <c r="BF91" s="716" t="s">
        <v>375</v>
      </c>
      <c r="BG91" s="716" t="s">
        <v>378</v>
      </c>
      <c r="BH91" s="717" t="s">
        <v>381</v>
      </c>
      <c r="BI91" s="718" t="e">
        <f>#REF!*1.45</f>
        <v>#REF!</v>
      </c>
      <c r="BJ91" s="719">
        <v>126.89</v>
      </c>
      <c r="BK91" s="720">
        <v>129.88999999999999</v>
      </c>
      <c r="BL91" s="721">
        <v>176.23</v>
      </c>
    </row>
    <row r="92" spans="1:64" ht="15.95" hidden="1" customHeight="1" x14ac:dyDescent="0.15">
      <c r="B92" s="93" t="s">
        <v>472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328</v>
      </c>
      <c r="BC92" s="715" t="s">
        <v>372</v>
      </c>
      <c r="BD92" s="716" t="s">
        <v>373</v>
      </c>
      <c r="BE92" s="716" t="s">
        <v>374</v>
      </c>
      <c r="BF92" s="716" t="s">
        <v>375</v>
      </c>
      <c r="BG92" s="716" t="s">
        <v>378</v>
      </c>
      <c r="BH92" s="717" t="s">
        <v>381</v>
      </c>
      <c r="BI92" s="718">
        <f>A125*1.45</f>
        <v>0</v>
      </c>
      <c r="BJ92" s="719">
        <v>80.64</v>
      </c>
      <c r="BK92" s="720">
        <v>100</v>
      </c>
      <c r="BL92" s="721">
        <v>112</v>
      </c>
    </row>
    <row r="93" spans="1:64" ht="15.95" hidden="1" customHeight="1" x14ac:dyDescent="0.15">
      <c r="B93" s="93" t="s">
        <v>487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382</v>
      </c>
      <c r="BC93" s="715" t="s">
        <v>372</v>
      </c>
      <c r="BD93" s="716" t="s">
        <v>373</v>
      </c>
      <c r="BE93" s="716" t="s">
        <v>374</v>
      </c>
      <c r="BF93" s="716" t="s">
        <v>375</v>
      </c>
      <c r="BG93" s="716" t="s">
        <v>378</v>
      </c>
      <c r="BH93" s="717" t="s">
        <v>381</v>
      </c>
      <c r="BI93" s="718">
        <f>A126*1.45</f>
        <v>0</v>
      </c>
      <c r="BJ93" s="719">
        <v>90.32</v>
      </c>
      <c r="BK93" s="720">
        <v>100</v>
      </c>
      <c r="BL93" s="721">
        <v>125.44</v>
      </c>
    </row>
    <row r="94" spans="1:64" ht="15.95" hidden="1" customHeight="1" thickBot="1" x14ac:dyDescent="0.2">
      <c r="B94" s="94" t="s">
        <v>484</v>
      </c>
      <c r="C94" s="95"/>
      <c r="D94" s="95"/>
      <c r="E94" s="95"/>
      <c r="F94" s="96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383</v>
      </c>
      <c r="BC94" s="715" t="s">
        <v>372</v>
      </c>
      <c r="BD94" s="716" t="s">
        <v>373</v>
      </c>
      <c r="BE94" s="716" t="s">
        <v>374</v>
      </c>
      <c r="BF94" s="716" t="s">
        <v>375</v>
      </c>
      <c r="BG94" s="716" t="s">
        <v>378</v>
      </c>
      <c r="BH94" s="717" t="s">
        <v>381</v>
      </c>
      <c r="BI94" s="718">
        <f>A127*1.45</f>
        <v>0</v>
      </c>
      <c r="BJ94" s="719">
        <v>101.15</v>
      </c>
      <c r="BK94" s="720">
        <v>101.15</v>
      </c>
      <c r="BL94" s="721">
        <v>140.4</v>
      </c>
    </row>
    <row r="95" spans="1:64" ht="15.95" hidden="1" customHeight="1" x14ac:dyDescent="0.15">
      <c r="B95" s="30"/>
      <c r="C95" s="5"/>
      <c r="D95" s="5"/>
      <c r="E95" s="5"/>
      <c r="F95" s="5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384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>
        <f>A128*1.45</f>
        <v>1.45</v>
      </c>
      <c r="BJ95" s="719">
        <v>113.29</v>
      </c>
      <c r="BK95" s="720">
        <v>113.29</v>
      </c>
      <c r="BL95" s="721">
        <v>157.35</v>
      </c>
    </row>
    <row r="96" spans="1:64" ht="13.5" hidden="1" x14ac:dyDescent="0.15">
      <c r="B96" s="30"/>
      <c r="C96" s="5"/>
      <c r="D96" s="5"/>
      <c r="E96" s="5"/>
      <c r="F96" s="5"/>
      <c r="G96" s="5"/>
      <c r="H96" s="5"/>
      <c r="I96" s="5"/>
      <c r="J96" s="74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385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A128*1.45</f>
        <v>1.45</v>
      </c>
      <c r="BJ96" s="719">
        <v>126.89</v>
      </c>
      <c r="BK96" s="720">
        <v>126.89</v>
      </c>
      <c r="BL96" s="721">
        <v>176.23</v>
      </c>
    </row>
    <row r="97" spans="2:64" ht="13.5" hidden="1" x14ac:dyDescent="0.15">
      <c r="B97" s="1849" t="s">
        <v>508</v>
      </c>
      <c r="C97" s="1849"/>
      <c r="D97" s="1849"/>
      <c r="E97" s="1849"/>
      <c r="H97" s="5"/>
      <c r="I97" s="37"/>
      <c r="J97" s="5"/>
      <c r="K97" s="27"/>
      <c r="L97" s="6"/>
      <c r="M97" s="27"/>
      <c r="N97" s="60"/>
      <c r="O97" s="255"/>
      <c r="AD97" s="70"/>
      <c r="AE97" s="70"/>
      <c r="AF97" s="70"/>
      <c r="AG97" s="69"/>
      <c r="AZ97" s="11"/>
      <c r="BA97" s="85"/>
      <c r="BB97" s="714" t="s">
        <v>386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A129*1.45</f>
        <v>2.9</v>
      </c>
      <c r="BJ97" s="719">
        <v>126.89</v>
      </c>
      <c r="BK97" s="720">
        <v>126.89</v>
      </c>
      <c r="BL97" s="721">
        <v>176.23</v>
      </c>
    </row>
    <row r="98" spans="2:64" hidden="1" thickBot="1" x14ac:dyDescent="0.2">
      <c r="B98" s="34" t="s">
        <v>463</v>
      </c>
      <c r="C98" s="17"/>
      <c r="D98" s="21"/>
      <c r="E98" s="36"/>
      <c r="F98" s="5"/>
      <c r="G98" s="28"/>
      <c r="H98" s="5"/>
      <c r="I98" s="17" t="s">
        <v>463</v>
      </c>
      <c r="J98" s="5" t="str">
        <f>IF(E2=B88,H99,IF(E2=B90,H99,IF(E2=B92,H99,IF(E2=B93,H99,"NÃO CABE"))))</f>
        <v>NÃO CABE</v>
      </c>
      <c r="K98" s="27"/>
      <c r="L98" s="6" t="s">
        <v>510</v>
      </c>
      <c r="M98" s="27"/>
      <c r="N98" s="60"/>
      <c r="O98" s="255"/>
      <c r="X98" s="11"/>
      <c r="Y98" s="11"/>
      <c r="Z98" s="11"/>
      <c r="AA98" s="11"/>
      <c r="AB98" s="11"/>
      <c r="AC98" s="69"/>
      <c r="AD98" s="70"/>
      <c r="AE98" s="70"/>
      <c r="AF98" s="70"/>
      <c r="AG98" s="69"/>
      <c r="AZ98" s="11"/>
      <c r="BA98" s="85"/>
      <c r="BB98" s="714" t="s">
        <v>387</v>
      </c>
      <c r="BC98" s="715" t="s">
        <v>373</v>
      </c>
      <c r="BD98" s="716" t="s">
        <v>374</v>
      </c>
      <c r="BE98" s="716" t="s">
        <v>375</v>
      </c>
      <c r="BF98" s="716" t="s">
        <v>378</v>
      </c>
      <c r="BG98" s="716" t="s">
        <v>381</v>
      </c>
      <c r="BH98" s="717" t="s">
        <v>388</v>
      </c>
      <c r="BI98" s="718" t="e">
        <f>A130*1.45</f>
        <v>#VALUE!</v>
      </c>
      <c r="BJ98" s="719">
        <v>142.12</v>
      </c>
      <c r="BK98" s="720">
        <v>142.12</v>
      </c>
      <c r="BL98" s="721">
        <v>197.38</v>
      </c>
    </row>
    <row r="99" spans="2:64" hidden="1" thickBot="1" x14ac:dyDescent="0.2">
      <c r="B99" s="34" t="s">
        <v>485</v>
      </c>
      <c r="C99" s="17"/>
      <c r="D99" s="16"/>
      <c r="E99" s="57" t="str">
        <f>IF($F$99="NÃO CABE","NÃO CABE",IF($G$10="X",$F$99/30,$F$99/35))</f>
        <v>NÃO CABE</v>
      </c>
      <c r="F99" s="10" t="str">
        <f>IF(E2="VOLUNTÁRIA ESPECIAL","NÃO CABE",IF(E2="VOLUNTÁRIA INTEGRAL","NÃO CABE",IF(E2="COMPULSÓRIA INTEGRAL","NÃO CABE",IF(E2="INVALIDEZ INTEGRAL","NÃO CABE",ROUNDDOWN(F61/365,0)))))</f>
        <v>NÃO CABE</v>
      </c>
      <c r="G99" s="28"/>
      <c r="H99" s="14">
        <f>IF(E99&gt;1,1,E99)</f>
        <v>1</v>
      </c>
      <c r="I99" s="17" t="s">
        <v>485</v>
      </c>
      <c r="J99" s="5" t="str">
        <f>IF($E$2=$B$88,H99,IF($E$2=$B$90,H99,IF($E$2=$B$92,H99,"NÃO CABE")))</f>
        <v>NÃO CABE</v>
      </c>
      <c r="K99" s="27"/>
      <c r="L99" s="57" t="str">
        <f>IF($F$99="NÃO CABE","NÃO CABE",IF($G$10="X",$F$61/10950,$F$61/12775))</f>
        <v>NÃO CABE</v>
      </c>
      <c r="M99" s="14">
        <f>IF(L99&gt;1,1,L99)</f>
        <v>1</v>
      </c>
      <c r="N99" s="5" t="str">
        <f>IF($E$2=$B$88,M99,IF($E$2=$B$90,M99,IF($E$2=$B$92,M99,"NÃO CABE")))</f>
        <v>NÃO CABE</v>
      </c>
      <c r="O99" s="255"/>
      <c r="X99" s="11"/>
      <c r="Y99" s="11"/>
      <c r="Z99" s="11"/>
      <c r="AA99" s="11"/>
      <c r="AB99" s="11"/>
      <c r="AC99" s="69"/>
      <c r="AD99" s="70"/>
      <c r="AE99" s="70"/>
      <c r="AF99" s="70"/>
      <c r="AG99" s="69"/>
      <c r="AZ99" s="11"/>
      <c r="BA99" s="85"/>
      <c r="BB99" s="714" t="s">
        <v>389</v>
      </c>
      <c r="BC99" s="715" t="s">
        <v>373</v>
      </c>
      <c r="BD99" s="716" t="s">
        <v>374</v>
      </c>
      <c r="BE99" s="716" t="s">
        <v>375</v>
      </c>
      <c r="BF99" s="716" t="s">
        <v>378</v>
      </c>
      <c r="BG99" s="716" t="s">
        <v>381</v>
      </c>
      <c r="BH99" s="717" t="s">
        <v>388</v>
      </c>
      <c r="BI99" s="718">
        <f>A132*1.45</f>
        <v>5.8</v>
      </c>
      <c r="BJ99" s="719">
        <v>90.32</v>
      </c>
      <c r="BK99" s="720">
        <v>100</v>
      </c>
      <c r="BL99" s="721">
        <v>125.44</v>
      </c>
    </row>
    <row r="100" spans="2:64" hidden="1" thickBot="1" x14ac:dyDescent="0.2">
      <c r="B100" s="34" t="s">
        <v>476</v>
      </c>
      <c r="C100" s="17"/>
      <c r="D100" s="16"/>
      <c r="E100" s="58" t="str">
        <f>IF(E2=B93,IF(C65&gt;0,"TEMPO A CUMPRIR",IF(F100=1,75%,IF(F100=2,80%,IF(F100=3,85%,IF(F100=4,90%,IF(F100=5,95%,IF(F100&gt;=6,100%,70%))))))),"NÃO CABE")</f>
        <v>NÃO CABE</v>
      </c>
      <c r="F100" s="10">
        <f>IF(G10="X",ROUNDDOWN((F61-(25*365+E43))/365,0),ROUNDDOWN((F61-(30*365+E43))/365,0))</f>
        <v>-30</v>
      </c>
      <c r="G100" s="28"/>
      <c r="I100" s="17" t="s">
        <v>476</v>
      </c>
      <c r="J100" s="5" t="str">
        <f>IF(E2=B93,E100,"NÃO CABE")</f>
        <v>NÃO CABE</v>
      </c>
      <c r="K100" s="27"/>
      <c r="L100" s="65"/>
      <c r="M100" s="66">
        <f>O10</f>
        <v>0</v>
      </c>
      <c r="N100" s="60">
        <v>38037</v>
      </c>
      <c r="O100" s="255"/>
      <c r="X100" s="11"/>
      <c r="Y100" s="11"/>
      <c r="Z100" s="11"/>
      <c r="AA100" s="11"/>
      <c r="AB100" s="11"/>
      <c r="AC100" s="69"/>
      <c r="AD100" s="70"/>
      <c r="AE100" s="70"/>
      <c r="AF100" s="70"/>
      <c r="AG100" s="69"/>
      <c r="AZ100" s="11"/>
      <c r="BA100" s="85"/>
      <c r="BB100" s="714" t="s">
        <v>390</v>
      </c>
      <c r="BC100" s="715" t="s">
        <v>373</v>
      </c>
      <c r="BD100" s="716" t="s">
        <v>374</v>
      </c>
      <c r="BE100" s="716" t="s">
        <v>375</v>
      </c>
      <c r="BF100" s="716" t="s">
        <v>378</v>
      </c>
      <c r="BG100" s="716" t="s">
        <v>381</v>
      </c>
      <c r="BH100" s="717" t="s">
        <v>388</v>
      </c>
      <c r="BI100" s="718"/>
      <c r="BJ100" s="719"/>
      <c r="BK100" s="720"/>
      <c r="BL100" s="721"/>
    </row>
    <row r="101" spans="2:64" hidden="1" thickBot="1" x14ac:dyDescent="0.2">
      <c r="B101" s="35" t="s">
        <v>464</v>
      </c>
      <c r="C101" s="33"/>
      <c r="D101" s="16"/>
      <c r="E101" s="36" t="s">
        <v>457</v>
      </c>
      <c r="F101" s="5">
        <f>IF($D$12="X",50-$N$11,55-$N$11)</f>
        <v>55</v>
      </c>
      <c r="G101" s="28"/>
      <c r="H101" s="59" t="str">
        <f>IF($G$10="X",IF($O$9&gt;=17532,IF($O$10&gt;=38718,1-($F$101*0.05),1-($F$101*0.035)),"NÃO CABE"),IF($O$9&gt;=19359,IF($O$10&gt;=38718,1-($F$102*0.05),1-($F$102*0.035)),"NÃO CABE"))</f>
        <v>NÃO CABE</v>
      </c>
      <c r="I101" s="33" t="s">
        <v>464</v>
      </c>
      <c r="J101" s="61" t="str">
        <f>IF(E2=B94,H102,"NÃO CABE")</f>
        <v>NÃO CABE</v>
      </c>
      <c r="K101" s="27"/>
      <c r="L101" s="6"/>
      <c r="M101" s="27"/>
      <c r="N101" s="60"/>
      <c r="O101" s="255"/>
      <c r="X101" s="11"/>
      <c r="Y101" s="11"/>
      <c r="Z101" s="11"/>
      <c r="AA101" s="11"/>
      <c r="AB101" s="11"/>
      <c r="AC101" s="69"/>
      <c r="AD101" s="70"/>
      <c r="AE101" s="70"/>
      <c r="AF101" s="70"/>
      <c r="AG101" s="69"/>
      <c r="AX101" s="11"/>
      <c r="AY101" s="11"/>
      <c r="AZ101" s="11"/>
      <c r="BA101" s="85"/>
      <c r="BB101" s="714" t="s">
        <v>391</v>
      </c>
      <c r="BC101" s="715" t="s">
        <v>373</v>
      </c>
      <c r="BD101" s="716" t="s">
        <v>374</v>
      </c>
      <c r="BE101" s="716" t="s">
        <v>375</v>
      </c>
      <c r="BF101" s="716" t="s">
        <v>378</v>
      </c>
      <c r="BG101" s="716" t="s">
        <v>381</v>
      </c>
      <c r="BH101" s="717" t="s">
        <v>388</v>
      </c>
      <c r="BI101" s="718" t="e">
        <f>A134*1.45</f>
        <v>#VALUE!</v>
      </c>
      <c r="BJ101" s="719">
        <v>101.15</v>
      </c>
      <c r="BK101" s="720">
        <v>101.15</v>
      </c>
      <c r="BL101" s="721">
        <v>140.4</v>
      </c>
    </row>
    <row r="102" spans="2:64" ht="13.5" hidden="1" x14ac:dyDescent="0.15">
      <c r="B102" s="39">
        <v>38717</v>
      </c>
      <c r="C102" s="11">
        <v>38717</v>
      </c>
      <c r="D102" s="16"/>
      <c r="E102" s="36" t="s">
        <v>456</v>
      </c>
      <c r="F102" s="5">
        <f>IF($D$12="X",55-$N$11,60-$N$11)</f>
        <v>60</v>
      </c>
      <c r="G102" s="28"/>
      <c r="H102" s="14">
        <f>IF(H101="NÃO CABE",0,IF(H101&gt;1,1,H101))</f>
        <v>0</v>
      </c>
      <c r="I102" s="18"/>
      <c r="J102" s="5"/>
      <c r="K102" s="27"/>
      <c r="L102" s="6"/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S102" s="69"/>
      <c r="AX102" s="11"/>
      <c r="AY102" s="11"/>
      <c r="AZ102" s="11"/>
      <c r="BA102" s="85"/>
      <c r="BB102" s="714" t="s">
        <v>392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/>
      <c r="BJ102" s="719"/>
      <c r="BK102" s="720"/>
      <c r="BL102" s="721"/>
    </row>
    <row r="103" spans="2:64" ht="13.5" hidden="1" x14ac:dyDescent="0.15">
      <c r="B103" s="39">
        <v>38718</v>
      </c>
      <c r="C103" s="11">
        <v>38718</v>
      </c>
      <c r="D103" s="8"/>
      <c r="E103" s="63"/>
      <c r="F103" s="6"/>
      <c r="G103" s="6"/>
      <c r="H103" s="6"/>
      <c r="I103" s="18"/>
      <c r="J103" s="9"/>
      <c r="K103" s="5"/>
      <c r="L103" s="6"/>
      <c r="M103" s="10"/>
      <c r="N103" s="11"/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X103" s="11"/>
      <c r="AY103" s="11"/>
      <c r="AZ103" s="11"/>
      <c r="BA103" s="85"/>
      <c r="BB103" s="714" t="s">
        <v>393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A135*1.45</f>
        <v>8.6999999999999993</v>
      </c>
      <c r="BJ103" s="719">
        <v>113.29</v>
      </c>
      <c r="BK103" s="720">
        <v>113.29</v>
      </c>
      <c r="BL103" s="721">
        <v>157.35</v>
      </c>
    </row>
    <row r="104" spans="2:64" ht="13.5" hidden="1" x14ac:dyDescent="0.15">
      <c r="B104" s="62"/>
      <c r="C104" s="38">
        <v>38097</v>
      </c>
      <c r="D104" s="8"/>
      <c r="E104" s="5"/>
      <c r="F104" s="6"/>
      <c r="G104" s="6"/>
      <c r="H104" s="6"/>
      <c r="I104" s="6"/>
      <c r="J104" s="9"/>
      <c r="K104" s="5"/>
      <c r="L104" s="6"/>
      <c r="M104" s="10"/>
      <c r="N104" s="11"/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X104" s="11"/>
      <c r="AY104" s="11"/>
      <c r="AZ104" s="11"/>
      <c r="BA104" s="85"/>
      <c r="BB104" s="714" t="s">
        <v>394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>
        <f>A136*1.45</f>
        <v>10.15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6"/>
      <c r="C105" s="38"/>
      <c r="D105" s="8"/>
      <c r="E105" s="5"/>
      <c r="F105" s="6"/>
      <c r="G105" s="6"/>
      <c r="H105" s="6"/>
      <c r="I105" s="6"/>
      <c r="J105" s="9"/>
      <c r="K105" s="5"/>
      <c r="L105" s="6"/>
      <c r="M105" s="10"/>
      <c r="N105" s="11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395</v>
      </c>
      <c r="BC105" s="715" t="s">
        <v>396</v>
      </c>
      <c r="BD105" s="716" t="s">
        <v>397</v>
      </c>
      <c r="BE105" s="716" t="s">
        <v>397</v>
      </c>
      <c r="BF105" s="716" t="s">
        <v>398</v>
      </c>
      <c r="BG105" s="716" t="s">
        <v>398</v>
      </c>
      <c r="BH105" s="716" t="s">
        <v>398</v>
      </c>
      <c r="BI105" s="718"/>
      <c r="BJ105" s="719"/>
      <c r="BK105" s="720"/>
      <c r="BL105" s="721"/>
    </row>
    <row r="106" spans="2:64" ht="13.5" hidden="1" x14ac:dyDescent="0.15">
      <c r="B106" s="1849" t="s">
        <v>477</v>
      </c>
      <c r="C106" s="1849"/>
      <c r="D106" s="1849"/>
      <c r="E106" s="1849"/>
      <c r="F106" s="1849"/>
      <c r="G106" s="1849"/>
      <c r="H106" s="1849"/>
      <c r="I106" s="1849"/>
      <c r="J106" s="1849"/>
      <c r="K106" s="1849" t="s">
        <v>477</v>
      </c>
      <c r="L106" s="1849"/>
      <c r="M106" s="1849"/>
      <c r="N106" s="1849"/>
      <c r="O106" s="1849"/>
      <c r="P106" s="1849"/>
      <c r="Q106" s="1849"/>
      <c r="R106" s="1849"/>
      <c r="S106" s="1849"/>
      <c r="T106" s="11"/>
      <c r="U106" s="11"/>
      <c r="V106" s="11"/>
      <c r="W106" s="11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X106" s="11"/>
      <c r="AY106" s="11"/>
      <c r="AZ106" s="11"/>
      <c r="BA106" s="85"/>
      <c r="BB106" s="714" t="s">
        <v>399</v>
      </c>
      <c r="BC106" s="715" t="s">
        <v>396</v>
      </c>
      <c r="BD106" s="716" t="s">
        <v>397</v>
      </c>
      <c r="BE106" s="716" t="s">
        <v>397</v>
      </c>
      <c r="BF106" s="716" t="s">
        <v>398</v>
      </c>
      <c r="BG106" s="716" t="s">
        <v>398</v>
      </c>
      <c r="BH106" s="716" t="s">
        <v>398</v>
      </c>
      <c r="BI106" s="718">
        <f>A139*1.45</f>
        <v>13.049999999999999</v>
      </c>
      <c r="BJ106" s="719">
        <v>126.89</v>
      </c>
      <c r="BK106" s="720">
        <v>126.89</v>
      </c>
      <c r="BL106" s="721">
        <v>176.23</v>
      </c>
    </row>
    <row r="107" spans="2:64" ht="13.5" hidden="1" x14ac:dyDescent="0.15">
      <c r="B107" s="19" t="s">
        <v>480</v>
      </c>
      <c r="C107" s="8"/>
      <c r="D107" s="8"/>
      <c r="E107" s="5"/>
      <c r="F107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07" s="6"/>
      <c r="H107" s="6"/>
      <c r="I107" s="6"/>
      <c r="J107" s="9"/>
      <c r="K107" s="5"/>
      <c r="L107" s="41" t="s">
        <v>450</v>
      </c>
      <c r="M107" s="10"/>
      <c r="N107" s="11"/>
      <c r="O107" s="255" t="str">
        <f>IF(E2=L107,IF(K2=O3,F107,IF(K2=O4,F109,IF(K2=O6,F107,IF(K2=O7,F108,IF(K2=O2,"NADA A CRITICAR","REANALISAR FUNDAMENTAÇÃO E/OU MODALIDADE"))))))</f>
        <v>NÃO ATENDE LIMITE MÍNIMO DE IDADE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400</v>
      </c>
      <c r="BC107" s="715" t="s">
        <v>396</v>
      </c>
      <c r="BD107" s="716" t="s">
        <v>397</v>
      </c>
      <c r="BE107" s="716" t="s">
        <v>397</v>
      </c>
      <c r="BF107" s="716" t="s">
        <v>398</v>
      </c>
      <c r="BG107" s="716" t="s">
        <v>398</v>
      </c>
      <c r="BH107" s="716" t="s">
        <v>398</v>
      </c>
      <c r="BI107" s="718"/>
      <c r="BJ107" s="719"/>
      <c r="BK107" s="720"/>
      <c r="BL107" s="721"/>
    </row>
    <row r="108" spans="2:64" ht="13.5" hidden="1" x14ac:dyDescent="0.15">
      <c r="B108" s="6" t="s">
        <v>481</v>
      </c>
      <c r="D108" s="10"/>
      <c r="E108" s="11"/>
      <c r="F108" s="6" t="str">
        <f>IF(G10="X",IF(O9&gt;=I121,"ATENDE LIMITE MÍNIMO DE IDADE","NÃO ATENDE LIMITE MÍNIMO DE IDADE"),IF(O9&gt;=J121,"ATENDE LIMITE MÍNIMO DE IDADE","NÃO ATENDE LIMITE MÍNIMO DE IDADE"))</f>
        <v>NÃO ATENDE LIMITE MÍNIMO DE IDADE</v>
      </c>
      <c r="G108" s="6"/>
      <c r="H108" s="6"/>
      <c r="I108" s="6"/>
      <c r="J108" s="9"/>
      <c r="L108" s="41" t="s">
        <v>455</v>
      </c>
      <c r="O108" s="255" t="str">
        <f>IF(E2=L108,IF(K2=O3,F110,IF(K2=O4,F113,IF(K2=O6,F110,IF(K2=O2,"NADA A CRITICAR","REANALISAR FUNDAMENTAÇÃO E/OU MODALIDADE")))),"REANALISAR FUNDAMENTAÇÃO E/OU MODALIDADE")</f>
        <v>REANALISAR FUNDAMENTAÇÃO E/OU MODALIDADE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401</v>
      </c>
      <c r="BC108" s="715" t="s">
        <v>396</v>
      </c>
      <c r="BD108" s="716" t="s">
        <v>397</v>
      </c>
      <c r="BE108" s="716" t="s">
        <v>397</v>
      </c>
      <c r="BF108" s="716" t="s">
        <v>398</v>
      </c>
      <c r="BG108" s="716" t="s">
        <v>398</v>
      </c>
      <c r="BH108" s="716" t="s">
        <v>398</v>
      </c>
      <c r="BI108" s="718">
        <f>A141*1.45</f>
        <v>15.95</v>
      </c>
      <c r="BJ108" s="719">
        <v>142.12</v>
      </c>
      <c r="BK108" s="720">
        <v>142.12</v>
      </c>
      <c r="BL108" s="721">
        <v>197.38</v>
      </c>
    </row>
    <row r="109" spans="2:64" ht="13.5" hidden="1" x14ac:dyDescent="0.15">
      <c r="B109" s="20" t="s">
        <v>482</v>
      </c>
      <c r="F109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09" s="5"/>
      <c r="L109" s="41" t="s">
        <v>467</v>
      </c>
      <c r="O109" s="254" t="str">
        <f>IF(E2=L109,IF(K2=O3,F111,IF(K2=O2,F111,"REANALISAR FUNDAMENTAÇÃO E/OU MODALIDADE")),"REANALISAR FUNDAMENTAÇÃO E/OU MODALIDADE")</f>
        <v>REANALISAR FUNDAMENTAÇÃO E/OU MODALIDADE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22" t="s">
        <v>402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6" t="s">
        <v>478</v>
      </c>
      <c r="C110" s="8"/>
      <c r="D110" s="8"/>
      <c r="E110" s="5"/>
      <c r="F110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0" s="6"/>
      <c r="H110" s="6"/>
      <c r="I110" s="6"/>
      <c r="J110" s="9"/>
      <c r="K110" s="5"/>
      <c r="L110" s="11" t="s">
        <v>487</v>
      </c>
      <c r="M110" s="10"/>
      <c r="N110" s="11"/>
      <c r="O110" s="255" t="str">
        <f>IF(E2=L110,IF(K2=O4,F112,IF(K2=O2,"NADA A CRITICAR","REANALISAR FUNDAMENTAÇÃO E/OU MODALIDADE")),"REANALISAR FUNDAMENTAÇÃO E/OU MODALIDADE")</f>
        <v>REANALISAR FUNDAMENTAÇÃO E/OU MODALIDADE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403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18.849999999999998</v>
      </c>
      <c r="BJ110" s="719">
        <v>159.16999999999999</v>
      </c>
      <c r="BK110" s="720">
        <v>159.16999999999999</v>
      </c>
      <c r="BL110" s="721">
        <v>221.06</v>
      </c>
    </row>
    <row r="111" spans="2:64" ht="13.5" hidden="1" x14ac:dyDescent="0.15">
      <c r="B111" s="6" t="s">
        <v>479</v>
      </c>
      <c r="C111" s="8"/>
      <c r="D111" s="8"/>
      <c r="E111" s="5"/>
      <c r="F111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2" t="s">
        <v>484</v>
      </c>
      <c r="M111" s="10"/>
      <c r="N111" s="11"/>
      <c r="O111" s="255" t="str">
        <f>IF(E2=L111,IF(K2=O5,F109,"REANALISAR FUNDAMENTAÇÃO E/OU MODALIDADE"),"REANALISAR FUNDAMENTAÇÃO E/OU MODALIDADE")</f>
        <v>REANALISAR FUNDAMENTAÇÃO E/OU MODALIDADE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404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>
        <f>A144*1.45</f>
        <v>20.3</v>
      </c>
      <c r="BJ111" s="719">
        <v>101.15</v>
      </c>
      <c r="BK111" s="720">
        <v>101.15</v>
      </c>
      <c r="BL111" s="721">
        <v>140.4</v>
      </c>
    </row>
    <row r="112" spans="2:64" hidden="1" x14ac:dyDescent="0.15">
      <c r="B112" s="20" t="s">
        <v>483</v>
      </c>
      <c r="C112" s="43"/>
      <c r="D112" s="43"/>
      <c r="E112" s="44"/>
      <c r="F112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2" s="44"/>
      <c r="H112" s="44"/>
      <c r="I112" s="44"/>
      <c r="J112" s="44"/>
      <c r="K112" s="45"/>
      <c r="L112" s="46" t="s">
        <v>488</v>
      </c>
      <c r="M112" s="46"/>
      <c r="N112" s="47"/>
      <c r="O112" s="255" t="str">
        <f>IF($K$2=$O$2,IF($E$2=$B$89,$F$114,IF(E2=$B$90,$F$114,IF($E$2=$B$91,"EX OFFICIO",IF($E$2=$B$92,"EX OFFICIO","REANALISAR FUNDAMENTAÇÃO E/OU MODALIDADE")))),IF($K$2=$O$3,IF($E$2=$B$89,$F$114,IF($E$2=$B$90,$F$114,IF($E$2=$B$91,"EX OFFICIO",IF($E$2=$B$92,"EX OFFICIO","REANALISAR FUNDAMENTAÇÃO E/OU MODADALIDADE"))))))</f>
        <v>REANALISAR FUNDAMENTAÇÃO E/OU MODADALIDADE</v>
      </c>
      <c r="P112" s="3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405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/>
      <c r="BJ112" s="719"/>
      <c r="BK112" s="720"/>
      <c r="BL112" s="721"/>
    </row>
    <row r="113" spans="1:64" ht="13.5" hidden="1" x14ac:dyDescent="0.15">
      <c r="B113" s="20" t="s">
        <v>486</v>
      </c>
      <c r="C113" s="43"/>
      <c r="D113" s="43"/>
      <c r="E113" s="44"/>
      <c r="F113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3" s="44"/>
      <c r="H113" s="44"/>
      <c r="I113" s="44"/>
      <c r="J113" s="44"/>
      <c r="K113" s="46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3" t="s">
        <v>406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1:64" ht="13.5" hidden="1" x14ac:dyDescent="0.15">
      <c r="B114" s="44" t="s">
        <v>503</v>
      </c>
      <c r="C114" s="43"/>
      <c r="D114" s="43"/>
      <c r="E114" s="44"/>
      <c r="F114" s="44" t="str">
        <f>IF($N$11&gt;=70,"ATENDE LIMITE MÍNIMO DE IDADE","NÃO ATENDE LIMITE MÍNIMO DE IDADE")</f>
        <v>NÃO ATENDE LIMITE MÍNIMO DE IDADE</v>
      </c>
      <c r="G114" s="44"/>
      <c r="H114" s="44"/>
      <c r="I114" s="44"/>
      <c r="J114" s="44"/>
      <c r="K114" s="46"/>
      <c r="L114" s="48"/>
      <c r="M114" s="48"/>
      <c r="N114" s="47"/>
      <c r="O114" s="255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23" t="s">
        <v>407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1:64" ht="13.5" hidden="1" x14ac:dyDescent="0.15">
      <c r="B115" s="44"/>
      <c r="C115" s="43"/>
      <c r="D115" s="43"/>
      <c r="E115" s="44"/>
      <c r="F115" s="44"/>
      <c r="G115" s="44"/>
      <c r="H115" s="44"/>
      <c r="I115" s="44"/>
      <c r="J115" s="44"/>
      <c r="K115" s="46"/>
      <c r="L115" s="49" t="s">
        <v>498</v>
      </c>
      <c r="M115" s="11"/>
      <c r="N115" s="11"/>
      <c r="O115" s="255"/>
      <c r="P115" s="79"/>
      <c r="Q115" s="79"/>
      <c r="R115" s="79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23" t="s">
        <v>408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/>
      <c r="BJ115" s="719"/>
      <c r="BK115" s="720"/>
      <c r="BL115" s="721"/>
    </row>
    <row r="116" spans="1:64" ht="13.5" hidden="1" x14ac:dyDescent="0.15">
      <c r="B116" s="50"/>
      <c r="C116" s="50"/>
      <c r="D116" s="50"/>
      <c r="E116" s="50"/>
      <c r="F116" s="50"/>
      <c r="G116" s="50"/>
      <c r="H116" s="50"/>
      <c r="I116" s="50"/>
      <c r="J116" s="50"/>
      <c r="K116" s="51"/>
      <c r="L116" s="11" t="s">
        <v>499</v>
      </c>
      <c r="M116" s="11"/>
      <c r="N116" s="11"/>
      <c r="O116" s="255"/>
      <c r="P116" s="79"/>
      <c r="Q116" s="86" t="b">
        <f>IF(K2=O4,IF(E2=B86,R116,IF(E2=B87,R116,IF(E2=B93,R116,IF(G10="X",(30*365)-F61,(35*365)-F61)))),IF(K2=O5,IF(E2=B94,R116,IF(G10="X",(30*365)-F61,(35*365)-F61))))</f>
        <v>0</v>
      </c>
      <c r="R116" s="86" t="b">
        <f>IF($K$2=$O$4,IF($F$61&gt;=($F$37+$E$44),0,($F$37+$E$44)-$F$61),IF($K$2=$O$5,IF($F$61&gt;=($F$37+$E$44),0,($F$37+$E$44)-$F$61)))</f>
        <v>0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23" t="s">
        <v>409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1:64" ht="13.5" hidden="1" x14ac:dyDescent="0.15">
      <c r="B117" s="52"/>
      <c r="C117" s="52"/>
      <c r="D117" s="52"/>
      <c r="E117" s="52"/>
      <c r="F117" s="52"/>
      <c r="G117" s="52"/>
      <c r="H117" s="52"/>
      <c r="I117" s="52"/>
      <c r="J117" s="52"/>
      <c r="K117" s="53"/>
      <c r="L117" s="42" t="s">
        <v>500</v>
      </c>
      <c r="M117" s="11"/>
      <c r="N117" s="11"/>
      <c r="O117" s="255"/>
      <c r="P117" s="79"/>
      <c r="Q117" s="86">
        <f>IF(E2="VOLUNTÁRIA ESPECIAL",IF(D12="X",IF(G10="X",(25*365)-F61,(30*365)-F61)),IF(G10="X",(30*365)-F61,(35*365)-F61))</f>
        <v>12775</v>
      </c>
      <c r="R117" s="79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410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1:64" ht="13.5" hidden="1" x14ac:dyDescent="0.15"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17" t="s">
        <v>463</v>
      </c>
      <c r="M118" s="11"/>
      <c r="N118" s="11"/>
      <c r="O118" s="255" t="s">
        <v>504</v>
      </c>
      <c r="P118" s="79"/>
      <c r="Q118" s="87"/>
      <c r="R118" s="86">
        <f>IF(E2="VOLUNTÁRIA ESPECIAL",IF(D12="X",IF(G10="X",(25*365)-$F$37,(30*365)-$F$37)),IF(G10="X",(30*365)-$F$37,(35*365)-$F$37))</f>
        <v>12775</v>
      </c>
      <c r="S118" s="11"/>
      <c r="T118" s="5"/>
      <c r="U118" s="5"/>
      <c r="V118" s="5"/>
      <c r="W118" s="5"/>
      <c r="X118" s="5"/>
      <c r="Y118" s="5"/>
      <c r="Z118" s="5"/>
      <c r="AA118" s="5"/>
      <c r="AB118" s="5"/>
      <c r="AC118" s="69"/>
      <c r="AD118" s="70"/>
      <c r="AE118" s="70"/>
      <c r="AF118" s="70"/>
      <c r="AG118" s="69"/>
      <c r="AX118" s="11"/>
      <c r="AY118" s="11"/>
      <c r="AZ118" s="5"/>
      <c r="BA118" s="724"/>
      <c r="BB118" s="723" t="s">
        <v>411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1:64" ht="13.5" hidden="1" customHeight="1" x14ac:dyDescent="0.15">
      <c r="B119" s="6"/>
      <c r="C119" s="1943" t="s">
        <v>459</v>
      </c>
      <c r="D119" s="1943"/>
      <c r="E119" s="1943"/>
      <c r="F119" s="1943" t="s">
        <v>460</v>
      </c>
      <c r="G119" s="1943"/>
      <c r="H119" s="1943"/>
      <c r="I119" s="1943" t="s">
        <v>461</v>
      </c>
      <c r="J119" s="1943"/>
      <c r="K119" s="51"/>
      <c r="L119" s="51"/>
      <c r="M119" s="54"/>
      <c r="N119" s="54"/>
      <c r="O119" s="255" t="s">
        <v>487</v>
      </c>
      <c r="P119" s="78"/>
      <c r="Q119" s="78"/>
      <c r="R119" s="86">
        <f>IF(E2=B93,IF(G10="X",(25*365)-$F$37,(30*365)-$F$37),IF(G10="X",(30*365)-$F$37,(35*365)-$F$37))</f>
        <v>12775</v>
      </c>
      <c r="AX119" s="11"/>
      <c r="AY119" s="11"/>
      <c r="BB119" s="723" t="s">
        <v>412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1:64" ht="12.75" hidden="1" customHeight="1" x14ac:dyDescent="0.15">
      <c r="B120" s="40" t="s">
        <v>454</v>
      </c>
      <c r="C120" s="40" t="s">
        <v>457</v>
      </c>
      <c r="D120" s="8"/>
      <c r="E120" s="5" t="s">
        <v>456</v>
      </c>
      <c r="F120" s="6" t="s">
        <v>457</v>
      </c>
      <c r="G120" s="6"/>
      <c r="H120" s="6" t="s">
        <v>456</v>
      </c>
      <c r="I120" s="8" t="s">
        <v>457</v>
      </c>
      <c r="J120" s="8" t="s">
        <v>456</v>
      </c>
      <c r="K120" s="51"/>
      <c r="L120" s="18" t="s">
        <v>466</v>
      </c>
      <c r="M120" s="54"/>
      <c r="N120" s="54"/>
      <c r="O120" s="255" t="s">
        <v>509</v>
      </c>
      <c r="P120" s="78"/>
      <c r="Q120" s="86">
        <f>IF(K2=O7,IF($E$2=B86,IF($G$10="X",(30*365)-$F$61,(35*365)-$F$61)),IF($G$10="X",(30*365)-$F$61,(35*365)-$F$61))</f>
        <v>12775</v>
      </c>
      <c r="R120" s="78"/>
      <c r="AX120" s="11"/>
      <c r="AY120" s="11"/>
      <c r="BB120" s="723" t="s">
        <v>413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1:64" ht="13.5" hidden="1" customHeight="1" x14ac:dyDescent="0.15">
      <c r="B121" s="16" t="s">
        <v>450</v>
      </c>
      <c r="C121" s="55">
        <f>30*365</f>
        <v>10950</v>
      </c>
      <c r="D121" s="55"/>
      <c r="E121" s="55">
        <f>35*365</f>
        <v>12775</v>
      </c>
      <c r="F121" s="55">
        <v>20089</v>
      </c>
      <c r="G121" s="55"/>
      <c r="H121" s="55">
        <v>21914</v>
      </c>
      <c r="I121" s="55">
        <f>F121-C124</f>
        <v>31039</v>
      </c>
      <c r="J121" s="55">
        <f>H121-E124</f>
        <v>34689</v>
      </c>
      <c r="K121" s="51"/>
      <c r="L121" s="51"/>
      <c r="M121" s="54"/>
      <c r="N121" s="54"/>
      <c r="P121" s="78"/>
      <c r="Q121" s="78"/>
      <c r="R121" s="78"/>
      <c r="AX121" s="11"/>
      <c r="AY121" s="11"/>
      <c r="BB121" s="723" t="s">
        <v>414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1:64" ht="12.75" hidden="1" customHeight="1" x14ac:dyDescent="0.15">
      <c r="B122" s="16" t="s">
        <v>455</v>
      </c>
      <c r="C122" s="47">
        <f>25*365</f>
        <v>9125</v>
      </c>
      <c r="D122" s="47"/>
      <c r="E122" s="47">
        <f>30*365</f>
        <v>10950</v>
      </c>
      <c r="F122" s="55">
        <v>18264</v>
      </c>
      <c r="G122" s="55"/>
      <c r="H122" s="55">
        <v>20089</v>
      </c>
      <c r="I122" s="47">
        <f>ROUNDDOWN(I121/365,0)</f>
        <v>85</v>
      </c>
      <c r="J122" s="47">
        <f>ROUNDDOWN(J121/365,0)</f>
        <v>95</v>
      </c>
      <c r="K122" s="51"/>
      <c r="L122" s="51"/>
      <c r="M122" s="54"/>
      <c r="N122" s="54"/>
      <c r="P122" s="78"/>
      <c r="Q122" s="78"/>
      <c r="R122" s="78"/>
      <c r="AX122" s="11"/>
      <c r="AY122" s="11"/>
      <c r="BB122" s="723" t="s">
        <v>415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1:64" ht="12.75" hidden="1" customHeight="1" x14ac:dyDescent="0.15">
      <c r="B123" s="48"/>
      <c r="C123" s="48"/>
      <c r="D123" s="48"/>
      <c r="E123" s="46"/>
      <c r="F123" s="48"/>
      <c r="G123" s="48"/>
      <c r="H123" s="48"/>
      <c r="I123" s="48"/>
      <c r="J123" s="46"/>
      <c r="K123" s="51"/>
      <c r="L123" s="51"/>
      <c r="M123" s="54"/>
      <c r="N123" s="54"/>
      <c r="AX123" s="5"/>
      <c r="AY123" s="5"/>
      <c r="BB123" s="723" t="s">
        <v>416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1:64" ht="12.75" hidden="1" customHeight="1" x14ac:dyDescent="0.15">
      <c r="B124" s="48" t="s">
        <v>458</v>
      </c>
      <c r="C124" s="56">
        <f>ROUNDDOWN((F61-C121),0)</f>
        <v>-10950</v>
      </c>
      <c r="D124" s="48"/>
      <c r="E124" s="56">
        <f>ROUNDDOWN((F61-E121),0)</f>
        <v>-12775</v>
      </c>
      <c r="F124" s="48"/>
      <c r="G124" s="48"/>
      <c r="H124" s="48"/>
      <c r="I124" s="48"/>
      <c r="J124" s="46"/>
      <c r="K124" s="51"/>
      <c r="L124" s="51"/>
      <c r="M124" s="54"/>
      <c r="N124" s="54"/>
      <c r="BB124" s="723" t="s">
        <v>417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1:64" ht="12.75" hidden="1" customHeight="1" x14ac:dyDescent="0.15"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4"/>
      <c r="N125" s="54"/>
      <c r="BB125" s="723" t="s">
        <v>418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1:64" ht="12.75" hidden="1" customHeight="1" thickBot="1" x14ac:dyDescent="0.2">
      <c r="B126" s="1848" t="s">
        <v>548</v>
      </c>
      <c r="C126" s="1848"/>
      <c r="D126" s="1848"/>
      <c r="E126" s="1848"/>
      <c r="F126" s="1848"/>
      <c r="G126" s="1848"/>
      <c r="H126" s="1848"/>
      <c r="I126" s="1848"/>
      <c r="J126" s="1848"/>
      <c r="K126" s="1848"/>
      <c r="L126" s="1848"/>
      <c r="M126" s="1848"/>
      <c r="N126" s="1848"/>
      <c r="BB126" s="312"/>
      <c r="BC126" s="313"/>
      <c r="BD126" s="314"/>
      <c r="BE126" s="314"/>
      <c r="BF126" s="315"/>
      <c r="BG126" s="315"/>
      <c r="BH126" s="316"/>
      <c r="BI126" s="317">
        <f>A146*1.45</f>
        <v>23.2</v>
      </c>
      <c r="BJ126" s="318">
        <v>113.29</v>
      </c>
      <c r="BK126" s="319">
        <v>113.29</v>
      </c>
      <c r="BL126" s="320">
        <v>157.35</v>
      </c>
    </row>
    <row r="127" spans="1:64" ht="12.75" hidden="1" customHeight="1" x14ac:dyDescent="0.15">
      <c r="B127" s="51" t="s">
        <v>656</v>
      </c>
      <c r="C127" s="21" t="s">
        <v>657</v>
      </c>
      <c r="D127" s="101">
        <v>36145</v>
      </c>
      <c r="E127" s="101">
        <v>37986</v>
      </c>
      <c r="F127" s="102">
        <v>37986</v>
      </c>
      <c r="G127" s="246" t="s">
        <v>608</v>
      </c>
      <c r="H127" s="51" t="s">
        <v>609</v>
      </c>
      <c r="I127" s="51" t="s">
        <v>610</v>
      </c>
      <c r="J127" s="21" t="s">
        <v>612</v>
      </c>
      <c r="M127" s="40" t="s">
        <v>658</v>
      </c>
      <c r="P127" s="109"/>
      <c r="Q127" s="110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BB127" s="321"/>
      <c r="BC127" s="322"/>
      <c r="BD127" s="322"/>
      <c r="BE127" s="322"/>
      <c r="BF127" s="323"/>
      <c r="BG127" s="323"/>
      <c r="BH127" s="323"/>
      <c r="BI127" s="324"/>
      <c r="BJ127" s="325"/>
      <c r="BK127" s="326"/>
      <c r="BL127" s="327"/>
    </row>
    <row r="128" spans="1:64" ht="12.75" hidden="1" customHeight="1" x14ac:dyDescent="0.15">
      <c r="A128" s="259">
        <v>1</v>
      </c>
      <c r="B128" s="107" t="s">
        <v>549</v>
      </c>
      <c r="C128" s="21" t="s">
        <v>613</v>
      </c>
      <c r="D128" s="104">
        <f>IF(ISERROR(HLOOKUP($N$34,$Q$39:$AA$40,2)),0,HLOOKUP($N$34,$Q$39:$AA$40,2))</f>
        <v>0</v>
      </c>
      <c r="E128" s="105">
        <f>IF(ISERROR(HLOOKUP($O$34,$Q$39:$AA$40,2)),0,HLOOKUP($O$34,$Q$39:$AA$40,2))</f>
        <v>0</v>
      </c>
      <c r="F128" s="106">
        <f>IF(ISERROR(HLOOKUP($O$60,$Q$39:$AA$40,2)),0,HLOOKUP($O$60,$Q$39:$AA$40,2))</f>
        <v>0</v>
      </c>
      <c r="G128" s="21" t="s">
        <v>611</v>
      </c>
      <c r="J128" s="21" t="s">
        <v>611</v>
      </c>
      <c r="M128" s="21" t="s">
        <v>659</v>
      </c>
      <c r="P128" s="328"/>
      <c r="Q128" s="328"/>
      <c r="R128" s="5"/>
      <c r="S128" s="8"/>
      <c r="T128" s="5"/>
      <c r="U128" s="5"/>
      <c r="V128" s="5"/>
      <c r="W128" s="27"/>
      <c r="X128" s="5"/>
      <c r="Y128" s="5"/>
      <c r="Z128" s="100"/>
      <c r="AA128" s="5"/>
      <c r="AB128" s="5"/>
      <c r="BB128" s="321"/>
      <c r="BC128" s="322"/>
      <c r="BD128" s="322"/>
      <c r="BE128" s="322"/>
      <c r="BF128" s="323"/>
      <c r="BG128" s="323"/>
      <c r="BH128" s="323"/>
      <c r="BI128" s="324"/>
      <c r="BJ128" s="325"/>
      <c r="BK128" s="326"/>
      <c r="BL128" s="327"/>
    </row>
    <row r="129" spans="1:64" ht="12.75" hidden="1" customHeight="1" x14ac:dyDescent="0.15">
      <c r="A129" s="259">
        <v>2</v>
      </c>
      <c r="B129" s="51" t="s">
        <v>550</v>
      </c>
      <c r="C129" s="21" t="s">
        <v>527</v>
      </c>
      <c r="D129" s="104">
        <f>IF(ISERROR(HLOOKUP($J$129,$Q$26:$AT$27,2)),0,HLOOKUP($J$129,$Q$26:$AT$27,2))</f>
        <v>0</v>
      </c>
      <c r="E129" s="105">
        <f>IF(ISERROR(HLOOKUP($K$129,$Q$26:$AT$27,2)),0,HLOOKUP($K$129,$Q$26:$AT$27,2))</f>
        <v>0</v>
      </c>
      <c r="F129" s="106">
        <f>IF(ISERROR(HLOOKUP($L$129,$Q$26:$AT$27,2)),0,HLOOKUP($L$129,$Q$26:$AT$27,2))</f>
        <v>0</v>
      </c>
      <c r="G129" s="67">
        <f>SUM($F$27:$F$32)</f>
        <v>0</v>
      </c>
      <c r="H129" s="67">
        <f>SUM($F$27:$F$32)+$J$51</f>
        <v>0</v>
      </c>
      <c r="I129" s="67">
        <f>SUM($F$27:$F$32)+$J$51+$J$60</f>
        <v>0</v>
      </c>
      <c r="J129" s="21">
        <f t="shared" ref="J129:J151" si="0">ROUNDDOWN(G129/365,0)</f>
        <v>0</v>
      </c>
      <c r="K129" s="21">
        <f t="shared" ref="K129:K151" si="1">ROUNDDOWN(H129/365,0)</f>
        <v>0</v>
      </c>
      <c r="L129" s="21">
        <f t="shared" ref="L129:L151" si="2">ROUNDDOWN(I129/365,0)</f>
        <v>0</v>
      </c>
      <c r="M129" s="21" t="s">
        <v>660</v>
      </c>
      <c r="P129" s="328"/>
      <c r="Q129" s="328"/>
      <c r="BB129" s="321"/>
      <c r="BC129" s="322"/>
      <c r="BD129" s="322"/>
      <c r="BE129" s="322"/>
      <c r="BF129" s="323"/>
      <c r="BG129" s="323"/>
      <c r="BH129" s="323"/>
      <c r="BI129" s="324"/>
      <c r="BJ129" s="325"/>
      <c r="BK129" s="326"/>
      <c r="BL129" s="327"/>
    </row>
    <row r="130" spans="1:64" ht="12.75" hidden="1" customHeight="1" x14ac:dyDescent="0.15">
      <c r="A130" s="259" t="s">
        <v>554</v>
      </c>
      <c r="B130" s="51" t="s">
        <v>615</v>
      </c>
      <c r="C130" s="21" t="s">
        <v>613</v>
      </c>
      <c r="D130" s="104">
        <f>IF(ISERROR(HLOOKUP($J$130,$Q$45:$AB$46,2)),0,HLOOKUP($J$130,$Q$45:$AB$46,2))</f>
        <v>0</v>
      </c>
      <c r="E130" s="105">
        <f>IF(ISERROR(HLOOKUP($K$130,$Q$45:$AB$46,2)),0,HLOOKUP($K$130,$Q$45:$AB$46,2))</f>
        <v>0</v>
      </c>
      <c r="F130" s="106">
        <f>IF(ISERROR(HLOOKUP($L$130,$Q$45:$AB$46,2)),0,HLOOKUP($L$130,$Q$45:$AB$46,2))</f>
        <v>0</v>
      </c>
      <c r="G130" s="67">
        <f>SUM($F$27:$F$32)</f>
        <v>0</v>
      </c>
      <c r="H130" s="67">
        <f>SUM($F$27:$F$32)+$J$51</f>
        <v>0</v>
      </c>
      <c r="I130" s="67">
        <f>SUM($F$27:$F$32)+$J$51+$J$60</f>
        <v>0</v>
      </c>
      <c r="J130" s="21">
        <f t="shared" si="0"/>
        <v>0</v>
      </c>
      <c r="K130" s="21">
        <f t="shared" si="1"/>
        <v>0</v>
      </c>
      <c r="L130" s="21">
        <f t="shared" si="2"/>
        <v>0</v>
      </c>
      <c r="M130" s="21" t="s">
        <v>660</v>
      </c>
      <c r="P130" s="328"/>
      <c r="Q130" s="328"/>
      <c r="BB130" s="321"/>
      <c r="BC130" s="322"/>
      <c r="BD130" s="322"/>
      <c r="BE130" s="322"/>
      <c r="BF130" s="323"/>
      <c r="BG130" s="323"/>
      <c r="BH130" s="323"/>
      <c r="BI130" s="324"/>
      <c r="BJ130" s="325"/>
      <c r="BK130" s="326"/>
      <c r="BL130" s="327"/>
    </row>
    <row r="131" spans="1:64" ht="12.75" hidden="1" customHeight="1" x14ac:dyDescent="0.15">
      <c r="A131" s="259">
        <v>3</v>
      </c>
      <c r="B131" s="51" t="s">
        <v>551</v>
      </c>
      <c r="C131" s="21" t="s">
        <v>613</v>
      </c>
      <c r="D131" s="104">
        <f>IF(ISERROR(HLOOKUP($J$131,$Q$48:$AB$49,2)),0,HLOOKUP($J$131,$Q$48:$AB$49,2))</f>
        <v>0</v>
      </c>
      <c r="E131" s="105">
        <f>IF(ISERROR(HLOOKUP($K$131,$Q$48:$AB$49,2)),0,HLOOKUP($K$131,$Q$48:$AB$49,2))</f>
        <v>0</v>
      </c>
      <c r="F131" s="106">
        <f>IF(ISERROR(HLOOKUP($L$131,$Q$48:$AB$49,2)),0,HLOOKUP($L$131,$Q$48:$AB$49,2))</f>
        <v>0</v>
      </c>
      <c r="G131" s="67">
        <f>SUM($F$30:$F$32)</f>
        <v>0</v>
      </c>
      <c r="H131" s="67">
        <f>SUM($F$30:$F$32)+$J$51</f>
        <v>0</v>
      </c>
      <c r="I131" s="67">
        <f>SUM($F$30:$F$32)+$J$51+$J$60</f>
        <v>0</v>
      </c>
      <c r="J131" s="21">
        <f t="shared" si="0"/>
        <v>0</v>
      </c>
      <c r="K131" s="21">
        <f t="shared" si="1"/>
        <v>0</v>
      </c>
      <c r="L131" s="21">
        <f t="shared" si="2"/>
        <v>0</v>
      </c>
      <c r="M131" s="21" t="s">
        <v>660</v>
      </c>
      <c r="P131" s="328"/>
      <c r="Q131" s="328"/>
      <c r="BB131" s="69"/>
      <c r="BC131" s="69"/>
      <c r="BD131" s="69"/>
      <c r="BE131" s="69"/>
      <c r="BF131" s="69"/>
      <c r="BG131" s="69"/>
      <c r="BH131" s="69"/>
      <c r="BI131" s="69"/>
      <c r="BJ131" s="69"/>
      <c r="BK131" s="326"/>
      <c r="BL131" s="327"/>
    </row>
    <row r="132" spans="1:64" ht="12.75" hidden="1" customHeight="1" x14ac:dyDescent="0.15">
      <c r="A132" s="259">
        <v>4</v>
      </c>
      <c r="B132" s="51" t="s">
        <v>552</v>
      </c>
      <c r="C132" s="21" t="s">
        <v>613</v>
      </c>
      <c r="D132" s="104">
        <f>IF(ISERROR(HLOOKUP($J$132,$Q$48:$Z$49,2)),0,HLOOKUP($J$132,$Q$48:$Z$49,2))</f>
        <v>0</v>
      </c>
      <c r="E132" s="105">
        <f>IF(ISERROR(HLOOKUP($K$132,$Q$48:$Z$49,2)),0,HLOOKUP($K$132,$Q$48:$Z$49,2))</f>
        <v>0</v>
      </c>
      <c r="F132" s="106">
        <f>IF(ISERROR(HLOOKUP($L$132,$Q$48:$Z$49,2)),0,HLOOKUP($L$132,$Q$48:$Z$49,2))</f>
        <v>0</v>
      </c>
      <c r="G132" s="67">
        <f>SUM($F$27:$F$32)</f>
        <v>0</v>
      </c>
      <c r="H132" s="67">
        <f>SUM($F$27:$F$32)+$J$51</f>
        <v>0</v>
      </c>
      <c r="I132" s="67">
        <f>SUM($F$27:$F$32)+$J$51+$J$60</f>
        <v>0</v>
      </c>
      <c r="J132" s="21">
        <f t="shared" si="0"/>
        <v>0</v>
      </c>
      <c r="K132" s="21">
        <f t="shared" si="1"/>
        <v>0</v>
      </c>
      <c r="L132" s="21">
        <f t="shared" si="2"/>
        <v>0</v>
      </c>
      <c r="M132" s="21" t="s">
        <v>660</v>
      </c>
      <c r="P132" s="328"/>
      <c r="Q132" s="328"/>
      <c r="BB132" s="69"/>
      <c r="BC132" s="69"/>
      <c r="BD132" s="69" t="s">
        <v>349</v>
      </c>
      <c r="BE132" s="70">
        <v>5</v>
      </c>
      <c r="BF132" s="70">
        <v>10</v>
      </c>
      <c r="BG132" s="70">
        <v>15</v>
      </c>
      <c r="BH132" s="70">
        <v>20</v>
      </c>
      <c r="BI132" s="70">
        <v>25</v>
      </c>
      <c r="BJ132" s="329" t="s">
        <v>365</v>
      </c>
      <c r="BK132" s="326"/>
      <c r="BL132" s="327"/>
    </row>
    <row r="133" spans="1:64" ht="12.75" hidden="1" customHeight="1" x14ac:dyDescent="0.15">
      <c r="A133" s="259">
        <v>5</v>
      </c>
      <c r="B133" s="51" t="s">
        <v>553</v>
      </c>
      <c r="C133" s="21" t="s">
        <v>613</v>
      </c>
      <c r="D133" s="104">
        <f>IF(ISERROR(HLOOKUP($J$133,$Q$48:$AB$49,2)),0,HLOOKUP($J$133,$Q$48:$AB$49,2))</f>
        <v>0</v>
      </c>
      <c r="E133" s="105">
        <f>IF(ISERROR(HLOOKUP($K$133,$Q$48:$AB$49,2)),0,HLOOKUP($K$133,$Q$48:$AB$49,2))</f>
        <v>0</v>
      </c>
      <c r="F133" s="106">
        <f>IF(ISERROR(HLOOKUP($L$133,$Q$48:$AB$49,2)),0,HLOOKUP($L$133,$Q$48:$AB$49,2))</f>
        <v>0</v>
      </c>
      <c r="G133" s="67">
        <f>SUM($F$30:$F$32)</f>
        <v>0</v>
      </c>
      <c r="H133" s="67">
        <f>SUM($F$30:$F$32)+$J$51</f>
        <v>0</v>
      </c>
      <c r="I133" s="67">
        <f>SUM($F$30:$F$32)+$J$51+$J$60</f>
        <v>0</v>
      </c>
      <c r="J133" s="21">
        <f t="shared" si="0"/>
        <v>0</v>
      </c>
      <c r="K133" s="21">
        <f t="shared" si="1"/>
        <v>0</v>
      </c>
      <c r="L133" s="21">
        <f t="shared" si="2"/>
        <v>0</v>
      </c>
      <c r="M133" s="21" t="s">
        <v>660</v>
      </c>
      <c r="P133" s="328"/>
      <c r="Q133" s="328"/>
      <c r="BB133" s="69"/>
      <c r="BC133" s="330" t="s">
        <v>419</v>
      </c>
      <c r="BD133" s="330" t="s">
        <v>420</v>
      </c>
      <c r="BE133" s="69" t="s">
        <v>421</v>
      </c>
      <c r="BF133" s="69" t="s">
        <v>422</v>
      </c>
      <c r="BG133" s="69" t="s">
        <v>423</v>
      </c>
      <c r="BH133" s="69" t="s">
        <v>424</v>
      </c>
      <c r="BI133" s="69" t="s">
        <v>425</v>
      </c>
      <c r="BJ133" s="69" t="s">
        <v>426</v>
      </c>
      <c r="BK133" s="326"/>
      <c r="BL133" s="327"/>
    </row>
    <row r="134" spans="1:64" ht="12.75" hidden="1" customHeight="1" x14ac:dyDescent="0.15">
      <c r="A134" s="259" t="s">
        <v>555</v>
      </c>
      <c r="B134" s="51" t="s">
        <v>616</v>
      </c>
      <c r="C134" s="21" t="s">
        <v>613</v>
      </c>
      <c r="D134" s="104">
        <f>IF(ISERROR(HLOOKUP($J$134,$Q$48:$V$49,2)),0,HLOOKUP($J$134,$Q$48:$V$49,2))</f>
        <v>0</v>
      </c>
      <c r="E134" s="105">
        <f>IF(ISERROR(HLOOKUP($K$134,$Q$48:$V$49,2)),0,HLOOKUP($K$134,$Q$48:$V$49,2))</f>
        <v>0</v>
      </c>
      <c r="F134" s="106">
        <f>IF(ISERROR(HLOOKUP($L$134,$Q$48:$V$49,2)),0,HLOOKUP($L$134,$Q$48:$V$49,2))</f>
        <v>0</v>
      </c>
      <c r="G134" s="67">
        <f>SUM($F$30:$F$32)</f>
        <v>0</v>
      </c>
      <c r="H134" s="67">
        <f>SUM($F$30:$F$32)+$J$51</f>
        <v>0</v>
      </c>
      <c r="I134" s="67">
        <f>SUM($F$30:$F$32)+$J$51+$J$60</f>
        <v>0</v>
      </c>
      <c r="J134" s="21">
        <f t="shared" si="0"/>
        <v>0</v>
      </c>
      <c r="K134" s="21">
        <f t="shared" si="1"/>
        <v>0</v>
      </c>
      <c r="L134" s="21">
        <f t="shared" si="2"/>
        <v>0</v>
      </c>
      <c r="M134" s="21" t="s">
        <v>660</v>
      </c>
      <c r="P134" s="328"/>
      <c r="Q134" s="328"/>
      <c r="BB134" s="69"/>
      <c r="BC134" s="330" t="s">
        <v>427</v>
      </c>
      <c r="BD134" s="330" t="s">
        <v>428</v>
      </c>
      <c r="BE134" s="69" t="s">
        <v>421</v>
      </c>
      <c r="BF134" s="69" t="s">
        <v>422</v>
      </c>
      <c r="BG134" s="69" t="s">
        <v>423</v>
      </c>
      <c r="BH134" s="69" t="s">
        <v>424</v>
      </c>
      <c r="BI134" s="69" t="s">
        <v>425</v>
      </c>
      <c r="BJ134" s="69" t="s">
        <v>426</v>
      </c>
      <c r="BK134" s="326"/>
      <c r="BL134" s="327"/>
    </row>
    <row r="135" spans="1:64" ht="12.75" hidden="1" customHeight="1" x14ac:dyDescent="0.15">
      <c r="A135" s="259">
        <v>6</v>
      </c>
      <c r="B135" s="51" t="s">
        <v>556</v>
      </c>
      <c r="C135" s="21" t="s">
        <v>613</v>
      </c>
      <c r="D135" s="104">
        <f>IF(ISERROR(HLOOKUP($J$135,$Q$48:$AA$49,2)),0,HLOOKUP($J$135,$Q$48:$AA$49,2))</f>
        <v>0</v>
      </c>
      <c r="E135" s="105">
        <f>IF(ISERROR(HLOOKUP(K135,$Q$48:$AA$49,2)),0,HLOOKUP(K135,$Q$48:$AA$49,2))</f>
        <v>0</v>
      </c>
      <c r="F135" s="106">
        <f>IF(ISERROR(HLOOKUP(L135,$Q$48:$AA$49,2)),0,HLOOKUP(L135,$Q$48:$AA$49,2))</f>
        <v>0</v>
      </c>
      <c r="G135" s="396">
        <f>SUM($F$27:$F$33)</f>
        <v>0</v>
      </c>
      <c r="H135" s="103">
        <f>SUM($F$27:$F$33)+$J$51</f>
        <v>0</v>
      </c>
      <c r="I135" s="103">
        <f>SUM($F$27:$F$33)+$J$51+$J$60</f>
        <v>0</v>
      </c>
      <c r="J135" s="21">
        <f t="shared" si="0"/>
        <v>0</v>
      </c>
      <c r="K135" s="21">
        <f t="shared" si="1"/>
        <v>0</v>
      </c>
      <c r="L135" s="21">
        <f t="shared" si="2"/>
        <v>0</v>
      </c>
      <c r="M135" s="21" t="s">
        <v>660</v>
      </c>
      <c r="P135" s="328"/>
      <c r="Q135" s="328"/>
      <c r="BB135" s="69"/>
      <c r="BC135" s="330" t="s">
        <v>429</v>
      </c>
      <c r="BD135" s="330" t="s">
        <v>430</v>
      </c>
      <c r="BE135" s="69" t="s">
        <v>421</v>
      </c>
      <c r="BF135" s="69" t="s">
        <v>422</v>
      </c>
      <c r="BG135" s="69" t="s">
        <v>423</v>
      </c>
      <c r="BH135" s="69" t="s">
        <v>424</v>
      </c>
      <c r="BI135" s="69" t="s">
        <v>425</v>
      </c>
      <c r="BJ135" s="69" t="s">
        <v>426</v>
      </c>
      <c r="BK135" s="7"/>
      <c r="BL135" s="7"/>
    </row>
    <row r="136" spans="1:64" ht="12.75" hidden="1" customHeight="1" x14ac:dyDescent="0.15">
      <c r="A136" s="259">
        <v>7</v>
      </c>
      <c r="B136" s="51" t="s">
        <v>557</v>
      </c>
      <c r="C136" s="21" t="s">
        <v>547</v>
      </c>
      <c r="D136" s="104">
        <f>IF(ISERROR(HLOOKUP($J$136,$Q$77:$W$78,2)),0,HLOOKUP($J$136,$Q$77:$W$78,2))</f>
        <v>0</v>
      </c>
      <c r="E136" s="105">
        <f>IF(ISERROR(HLOOKUP(K136,$Q$77:$W$78,2)),0,HLOOKUP(K136,$Q$77:$W$78,2))</f>
        <v>0</v>
      </c>
      <c r="F136" s="106">
        <f>IF(ISERROR(HLOOKUP(L136,$Q$77:$W$78,2)),0,HLOOKUP(L136,$Q$77:$W$78,2))</f>
        <v>0</v>
      </c>
      <c r="G136" s="396">
        <f>SUM($F$30:$F$32)</f>
        <v>0</v>
      </c>
      <c r="H136" s="103">
        <f>SUM($F$30:$F$32)+$J$51</f>
        <v>0</v>
      </c>
      <c r="I136" s="103">
        <f>SUM($F$30:$F$32)+$J$51+$J$60</f>
        <v>0</v>
      </c>
      <c r="J136" s="21">
        <f t="shared" si="0"/>
        <v>0</v>
      </c>
      <c r="K136" s="21">
        <f t="shared" si="1"/>
        <v>0</v>
      </c>
      <c r="L136" s="21">
        <f t="shared" si="2"/>
        <v>0</v>
      </c>
      <c r="M136" s="21" t="s">
        <v>660</v>
      </c>
      <c r="P136" s="328"/>
      <c r="Q136" s="328"/>
      <c r="BB136" s="69"/>
      <c r="BC136" s="330" t="s">
        <v>431</v>
      </c>
      <c r="BD136" s="330" t="s">
        <v>430</v>
      </c>
      <c r="BE136" s="69" t="s">
        <v>421</v>
      </c>
      <c r="BF136" s="69" t="s">
        <v>422</v>
      </c>
      <c r="BG136" s="69" t="s">
        <v>423</v>
      </c>
      <c r="BH136" s="69" t="s">
        <v>424</v>
      </c>
      <c r="BI136" s="69" t="s">
        <v>425</v>
      </c>
      <c r="BJ136" s="69" t="s">
        <v>426</v>
      </c>
      <c r="BK136" s="5"/>
      <c r="BL136" s="5"/>
    </row>
    <row r="137" spans="1:64" ht="12.75" hidden="1" customHeight="1" x14ac:dyDescent="0.15">
      <c r="A137" s="259" t="s">
        <v>558</v>
      </c>
      <c r="B137" s="51" t="s">
        <v>614</v>
      </c>
      <c r="C137" s="21" t="s">
        <v>547</v>
      </c>
      <c r="D137" s="104">
        <f>IF(ISERROR(HLOOKUP($J$137,$Q$77:$W$78,2)),0,HLOOKUP($J$137,$Q$77:$W$78,2))</f>
        <v>0</v>
      </c>
      <c r="E137" s="105">
        <f>IF(ISERROR(HLOOKUP(K137,$Q$77:$W$78,2)),0,HLOOKUP(K137,$Q$77:$W$78,2))</f>
        <v>0</v>
      </c>
      <c r="F137" s="106">
        <f>IF(ISERROR(HLOOKUP(L137,$Q$77:$W$78,2)),0,HLOOKUP(L137,$Q$77:$W$78,2))</f>
        <v>0</v>
      </c>
      <c r="G137" s="396">
        <f>SUM($F$30:$F$32)</f>
        <v>0</v>
      </c>
      <c r="H137" s="103">
        <f>SUM($F$30:$F$32)+$J$51</f>
        <v>0</v>
      </c>
      <c r="I137" s="103">
        <f>SUM($F$30:$F$32)+$J$51+$J$60</f>
        <v>0</v>
      </c>
      <c r="J137" s="21">
        <f t="shared" si="0"/>
        <v>0</v>
      </c>
      <c r="K137" s="21">
        <f t="shared" si="1"/>
        <v>0</v>
      </c>
      <c r="L137" s="21">
        <f t="shared" si="2"/>
        <v>0</v>
      </c>
      <c r="M137" s="21" t="s">
        <v>660</v>
      </c>
      <c r="P137" s="328"/>
      <c r="Q137" s="328"/>
      <c r="BB137" s="69"/>
      <c r="BC137" s="69" t="s">
        <v>400</v>
      </c>
      <c r="BD137" s="69"/>
      <c r="BE137" s="69" t="s">
        <v>329</v>
      </c>
      <c r="BF137" s="69" t="s">
        <v>356</v>
      </c>
      <c r="BG137" s="69" t="s">
        <v>432</v>
      </c>
      <c r="BH137" s="69" t="s">
        <v>432</v>
      </c>
      <c r="BI137" s="69" t="s">
        <v>432</v>
      </c>
      <c r="BJ137" s="69" t="s">
        <v>432</v>
      </c>
      <c r="BK137" s="5"/>
      <c r="BL137" s="5"/>
    </row>
    <row r="138" spans="1:64" ht="12.75" hidden="1" customHeight="1" x14ac:dyDescent="0.15">
      <c r="A138" s="259">
        <v>8</v>
      </c>
      <c r="B138" s="51" t="s">
        <v>559</v>
      </c>
      <c r="C138" s="21" t="s">
        <v>547</v>
      </c>
      <c r="D138" s="104">
        <f>IF(ISERROR(HLOOKUP($J$138,$Q$73:$W$74,2)),0,HLOOKUP($J$138,$Q$73:$W$74,2))</f>
        <v>0</v>
      </c>
      <c r="E138" s="105">
        <f>IF(ISERROR(HLOOKUP(K138,$Q$73:$W$74,2)),0,HLOOKUP(K138,$Q$73:$W$74,2))</f>
        <v>0</v>
      </c>
      <c r="F138" s="106">
        <f>IF(ISERROR(HLOOKUP(L138,$Q$73:$W$74,2)),0,HLOOKUP(L138,$Q$73:$W$74,2))</f>
        <v>0</v>
      </c>
      <c r="G138" s="396">
        <f>SUM($F$27:$F$32)</f>
        <v>0</v>
      </c>
      <c r="H138" s="103">
        <f>SUM($F$27:$F$32)+$J$51</f>
        <v>0</v>
      </c>
      <c r="I138" s="103">
        <f>SUM($F$27:$F$32)+$J$51+$J$60</f>
        <v>0</v>
      </c>
      <c r="J138" s="21">
        <f t="shared" si="0"/>
        <v>0</v>
      </c>
      <c r="K138" s="21">
        <f t="shared" si="1"/>
        <v>0</v>
      </c>
      <c r="L138" s="21">
        <f t="shared" si="2"/>
        <v>0</v>
      </c>
      <c r="M138" s="21" t="s">
        <v>660</v>
      </c>
      <c r="P138" s="328"/>
      <c r="Q138" s="328"/>
      <c r="BB138" s="69">
        <v>26</v>
      </c>
      <c r="BC138" s="69"/>
      <c r="BD138" s="69"/>
      <c r="BE138" s="69"/>
      <c r="BF138" s="69"/>
      <c r="BG138" s="69"/>
      <c r="BH138" s="69"/>
      <c r="BI138" s="69"/>
      <c r="BJ138" s="69"/>
      <c r="BK138" s="5"/>
      <c r="BL138" s="5"/>
    </row>
    <row r="139" spans="1:64" ht="12.75" hidden="1" customHeight="1" x14ac:dyDescent="0.15">
      <c r="A139" s="259">
        <v>9</v>
      </c>
      <c r="B139" s="51" t="s">
        <v>560</v>
      </c>
      <c r="C139" s="21" t="s">
        <v>547</v>
      </c>
      <c r="D139" s="104">
        <f>IF(ISERROR(HLOOKUP($J$139,$Q$77:$W$78,2)),0,HLOOKUP($J$139,$Q$77:$W$78,2))</f>
        <v>0</v>
      </c>
      <c r="E139" s="105">
        <f>IF(ISERROR(HLOOKUP(K139,$Q$77:$W$78,2)),0,HLOOKUP(K139,$Q$77:$W$78,2))</f>
        <v>0</v>
      </c>
      <c r="F139" s="106">
        <f>IF(ISERROR(HLOOKUP(L139,$Q$77:$W$78,2)),0,HLOOKUP(L139,$Q$77:$W$78,2))</f>
        <v>0</v>
      </c>
      <c r="G139" s="396">
        <f>SUM($F$27:$F$32)</f>
        <v>0</v>
      </c>
      <c r="H139" s="103">
        <f>SUM($F$27:$F$32)+$J$51</f>
        <v>0</v>
      </c>
      <c r="I139" s="103">
        <f>SUM($F$27:$F$32)+$J$51+$J$60</f>
        <v>0</v>
      </c>
      <c r="J139" s="21">
        <f t="shared" si="0"/>
        <v>0</v>
      </c>
      <c r="K139" s="21">
        <f t="shared" si="1"/>
        <v>0</v>
      </c>
      <c r="L139" s="21">
        <f t="shared" si="2"/>
        <v>0</v>
      </c>
      <c r="M139" s="21" t="s">
        <v>660</v>
      </c>
      <c r="P139" s="328"/>
      <c r="Q139" s="328"/>
      <c r="BB139" s="69"/>
      <c r="BC139" s="331"/>
      <c r="BD139" s="116"/>
      <c r="BE139" s="69"/>
      <c r="BF139" s="69"/>
      <c r="BG139" s="69"/>
      <c r="BH139" s="69"/>
      <c r="BI139" s="69"/>
      <c r="BJ139" s="69"/>
      <c r="BK139" s="5"/>
      <c r="BL139" s="5"/>
    </row>
    <row r="140" spans="1:64" ht="12.75" hidden="1" customHeight="1" x14ac:dyDescent="0.15">
      <c r="A140" s="259">
        <v>10</v>
      </c>
      <c r="B140" s="51" t="s">
        <v>561</v>
      </c>
      <c r="C140" s="21" t="s">
        <v>613</v>
      </c>
      <c r="D140" s="104">
        <f>IF(ISERROR(HLOOKUP($J$140,$Q$39:$Y$40,2)),0,HLOOKUP($J$140,$Q$39:$Y$40,2))</f>
        <v>0</v>
      </c>
      <c r="E140" s="105">
        <f>IF(ISERROR(HLOOKUP(K140,$Q$39:$Y$40,2)),0,HLOOKUP(K140,$Q$39:$Y$40,2))</f>
        <v>0</v>
      </c>
      <c r="F140" s="106">
        <f>IF(ISERROR(HLOOKUP(L140,$Q$39:$Y$40,2)),0,HLOOKUP(L140,$Q$39:$Y$40,2))</f>
        <v>0</v>
      </c>
      <c r="G140" s="396">
        <f>SUM($F$27:$F$32)</f>
        <v>0</v>
      </c>
      <c r="H140" s="103">
        <f>SUM($F$27:$F$32)+$J$51</f>
        <v>0</v>
      </c>
      <c r="I140" s="103">
        <f>SUM($F$27:$F$32)+$J$51+$J$60</f>
        <v>0</v>
      </c>
      <c r="J140" s="21">
        <f t="shared" si="0"/>
        <v>0</v>
      </c>
      <c r="K140" s="21">
        <f t="shared" si="1"/>
        <v>0</v>
      </c>
      <c r="L140" s="21">
        <f t="shared" si="2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5"/>
      <c r="BL140" s="5"/>
    </row>
    <row r="141" spans="1:64" ht="12.75" hidden="1" customHeight="1" x14ac:dyDescent="0.15">
      <c r="A141" s="259">
        <v>11</v>
      </c>
      <c r="B141" s="51" t="s">
        <v>562</v>
      </c>
      <c r="C141" s="21" t="s">
        <v>547</v>
      </c>
      <c r="D141" s="104">
        <f>IF(ISERROR(HLOOKUP($J$141,$Q$73:$AB$74,2)),0,HLOOKUP($J$141,$Q$73:$AB$74,2))</f>
        <v>0</v>
      </c>
      <c r="E141" s="105">
        <f>IF(ISERROR(HLOOKUP(K141,$Q$73:$AB$74,2)),0,HLOOKUP(K141,$Q$73:$AB$74,2))</f>
        <v>0</v>
      </c>
      <c r="F141" s="106">
        <f>IF(ISERROR(HLOOKUP(L141,$Q$73:$AB$74,2)),0,HLOOKUP(L141,$Q$73:$AB$74,2))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0"/>
        <v>0</v>
      </c>
      <c r="K141" s="21">
        <f t="shared" si="1"/>
        <v>0</v>
      </c>
      <c r="L141" s="21">
        <f t="shared" si="2"/>
        <v>0</v>
      </c>
      <c r="M141" s="21" t="s">
        <v>660</v>
      </c>
      <c r="P141" s="328"/>
      <c r="Q141" s="328"/>
      <c r="BB141" s="69"/>
      <c r="BC141" s="69"/>
      <c r="BD141" s="69"/>
      <c r="BE141" s="69"/>
      <c r="BF141" s="69"/>
      <c r="BG141" s="69"/>
      <c r="BH141" s="69"/>
      <c r="BI141" s="69"/>
      <c r="BJ141" s="69"/>
      <c r="BK141" s="5"/>
      <c r="BL141" s="5"/>
    </row>
    <row r="142" spans="1:64" ht="12.75" hidden="1" customHeight="1" x14ac:dyDescent="0.15">
      <c r="A142" s="259">
        <v>12</v>
      </c>
      <c r="B142" s="51" t="s">
        <v>563</v>
      </c>
      <c r="C142" s="21"/>
      <c r="D142" s="104"/>
      <c r="E142" s="105"/>
      <c r="F142" s="106"/>
      <c r="G142" s="396">
        <f>SUM($F$30:$F$32)</f>
        <v>0</v>
      </c>
      <c r="H142" s="103">
        <f>SUM($F$30:$F$32)+$J$51</f>
        <v>0</v>
      </c>
      <c r="I142" s="103">
        <f>SUM($F$30:$F$32)+$J$51+$J$60</f>
        <v>0</v>
      </c>
      <c r="J142" s="21">
        <f t="shared" si="0"/>
        <v>0</v>
      </c>
      <c r="K142" s="21">
        <f t="shared" si="1"/>
        <v>0</v>
      </c>
      <c r="L142" s="21">
        <f t="shared" si="2"/>
        <v>0</v>
      </c>
      <c r="M142" s="21" t="s">
        <v>660</v>
      </c>
      <c r="P142" s="328"/>
      <c r="Q142" s="328"/>
      <c r="BB142" s="69"/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13</v>
      </c>
      <c r="B143" s="51" t="s">
        <v>686</v>
      </c>
      <c r="C143" s="21" t="s">
        <v>527</v>
      </c>
      <c r="D143" s="104">
        <f>IF(ISERROR(HLOOKUP($J$143,$Q$26:$AT$27,2)),0,HLOOKUP($J$143,$Q$26:$AT$27,2))</f>
        <v>0</v>
      </c>
      <c r="E143" s="104">
        <f>IF(ISERROR(HLOOKUP(K143,$Q$26:$AT$27,2)),0,HLOOKUP(K143,$Q$26:$AT$27,2))</f>
        <v>0</v>
      </c>
      <c r="F143" s="104">
        <f>IF(ISERROR(HLOOKUP(L143,$Q$26:$AT$27,2)),0,HLOOKUP(L143,$Q$26:$AT$27,2))</f>
        <v>0</v>
      </c>
      <c r="G143" s="396">
        <f>SUM($F$30:$F$32)</f>
        <v>0</v>
      </c>
      <c r="H143" s="103">
        <f>SUM($F$30:$F$32)+$J$51</f>
        <v>0</v>
      </c>
      <c r="I143" s="103">
        <f>SUM($F$30:$F$32)+$J$51+$J$60</f>
        <v>0</v>
      </c>
      <c r="J143" s="21">
        <f t="shared" si="0"/>
        <v>0</v>
      </c>
      <c r="K143" s="21">
        <f t="shared" si="1"/>
        <v>0</v>
      </c>
      <c r="L143" s="21">
        <f t="shared" si="2"/>
        <v>0</v>
      </c>
      <c r="M143" s="21" t="s">
        <v>660</v>
      </c>
      <c r="P143" s="328"/>
      <c r="Q143" s="328"/>
      <c r="BB143" s="69"/>
      <c r="BC143" s="69"/>
      <c r="BD143" s="69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14</v>
      </c>
      <c r="B144" s="51" t="s">
        <v>564</v>
      </c>
      <c r="C144" s="21" t="s">
        <v>613</v>
      </c>
      <c r="D144" s="104">
        <f>IF(ISERROR(HLOOKUP(J144,$Q$48:$AB$49,2)),0,HLOOKUP(J144,$Q$48:$AB$49,2))</f>
        <v>0</v>
      </c>
      <c r="E144" s="104">
        <f>IF(ISERROR(HLOOKUP(K144,$Q$48:$AB$49,2)),0,HLOOKUP(K144,$Q$48:$AB$49,2))</f>
        <v>0</v>
      </c>
      <c r="F144" s="104">
        <f>IF(ISERROR(HLOOKUP(L144,$Q$48:$AB$49,2)),0,HLOOKUP(L144,$Q$48:$AB$49,2))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0"/>
        <v>0</v>
      </c>
      <c r="K144" s="21">
        <f t="shared" si="1"/>
        <v>0</v>
      </c>
      <c r="L144" s="21">
        <f t="shared" si="2"/>
        <v>0</v>
      </c>
      <c r="M144" s="21" t="s">
        <v>660</v>
      </c>
      <c r="P144" s="328"/>
      <c r="Q144" s="328"/>
      <c r="AS144" s="5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15</v>
      </c>
      <c r="B145" s="51" t="s">
        <v>565</v>
      </c>
      <c r="C145" s="21" t="s">
        <v>613</v>
      </c>
      <c r="D145" s="104">
        <f>IF(ISERROR(HLOOKUP(J145,$Q$42:$AG$43,2)),0,HLOOKUP(J145,$Q$42:$AG$43,2))</f>
        <v>0</v>
      </c>
      <c r="E145" s="104">
        <f>IF(ISERROR(HLOOKUP(K145,$Q$42:$AG$43,2)),0,HLOOKUP(K145,$Q$42:$AG$43,2))</f>
        <v>0</v>
      </c>
      <c r="F145" s="104">
        <f>IF(ISERROR(HLOOKUP(L145,$Q$42:$AG$43,2)),0,HLOOKUP(L145,$Q$42:$AG$43,2))</f>
        <v>0</v>
      </c>
      <c r="G145" s="396">
        <f>SUM($F$27:$F$32)</f>
        <v>0</v>
      </c>
      <c r="H145" s="103">
        <f>SUM($F$27:$F$32)+$J$51</f>
        <v>0</v>
      </c>
      <c r="I145" s="103">
        <f>SUM($F$27:$F$32)+$J$51+$J$60</f>
        <v>0</v>
      </c>
      <c r="J145" s="21">
        <f t="shared" si="0"/>
        <v>0</v>
      </c>
      <c r="K145" s="21">
        <f t="shared" si="1"/>
        <v>0</v>
      </c>
      <c r="L145" s="21">
        <f t="shared" si="2"/>
        <v>0</v>
      </c>
      <c r="M145" s="21" t="s">
        <v>660</v>
      </c>
      <c r="P145" s="328"/>
      <c r="Q145" s="328"/>
      <c r="AS145" s="5"/>
      <c r="BB145" s="69" t="s">
        <v>427</v>
      </c>
      <c r="BC145" s="69"/>
      <c r="BD145" s="69"/>
      <c r="BE145" s="69"/>
      <c r="BF145" s="69"/>
      <c r="BG145" s="69"/>
      <c r="BH145" s="69"/>
      <c r="BI145" s="69"/>
      <c r="BJ145" s="69"/>
      <c r="BK145" s="116"/>
      <c r="BL145" s="332"/>
    </row>
    <row r="146" spans="1:64" ht="12.75" hidden="1" customHeight="1" x14ac:dyDescent="0.15">
      <c r="A146" s="259">
        <v>16</v>
      </c>
      <c r="B146" s="51" t="s">
        <v>566</v>
      </c>
      <c r="C146" s="21" t="s">
        <v>527</v>
      </c>
      <c r="D146" s="104">
        <f>IF(ISERROR(HLOOKUP(J146,$Q$26:$AT$27,2)),0,HLOOKUP(J146,$Q$26:$AT$27,2))</f>
        <v>0</v>
      </c>
      <c r="E146" s="104">
        <f>IF(ISERROR(HLOOKUP(K146,$Q$26:$AT$27,2)),0,HLOOKUP(K146,$Q$26:$AT$27,2))</f>
        <v>0</v>
      </c>
      <c r="F146" s="104">
        <f>IF(ISERROR(HLOOKUP(L146,$Q$26:$AT$27,2)),0,HLOOKUP(L146,$Q$26:$AT$27,2))</f>
        <v>0</v>
      </c>
      <c r="G146" s="396">
        <f t="shared" ref="G146:G151" si="3">SUM($F$30:$F$32)</f>
        <v>0</v>
      </c>
      <c r="H146" s="103">
        <f t="shared" ref="H146:H151" si="4">SUM($F$30:$F$32)+$J$51</f>
        <v>0</v>
      </c>
      <c r="I146" s="103">
        <f t="shared" ref="I146:I151" si="5">SUM($F$30:$F$32)+$J$51+$J$60</f>
        <v>0</v>
      </c>
      <c r="J146" s="21">
        <f t="shared" si="0"/>
        <v>0</v>
      </c>
      <c r="K146" s="21">
        <f t="shared" si="1"/>
        <v>0</v>
      </c>
      <c r="L146" s="21">
        <f t="shared" si="2"/>
        <v>0</v>
      </c>
      <c r="M146" s="21" t="s">
        <v>660</v>
      </c>
      <c r="P146" s="328"/>
      <c r="Q146" s="328"/>
      <c r="AS146" s="5"/>
      <c r="BB146" s="69"/>
      <c r="BC146" s="69"/>
      <c r="BD146" s="69"/>
      <c r="BE146" s="333"/>
      <c r="BF146" s="69"/>
      <c r="BG146" s="69"/>
      <c r="BH146" s="69"/>
      <c r="BI146" s="69"/>
      <c r="BJ146" s="69"/>
      <c r="BK146" s="69"/>
      <c r="BL146" s="69"/>
    </row>
    <row r="147" spans="1:64" ht="12.75" hidden="1" customHeight="1" x14ac:dyDescent="0.15">
      <c r="A147" s="259">
        <v>17</v>
      </c>
      <c r="B147" s="51" t="s">
        <v>567</v>
      </c>
      <c r="C147" s="21" t="s">
        <v>547</v>
      </c>
      <c r="D147" s="104">
        <f>IF(ISERROR(HLOOKUP(J147,$Q$73:$V$74,2)),0,HLOOKUP(J147,$Q$73:$V$74,2))</f>
        <v>0</v>
      </c>
      <c r="E147" s="104">
        <f>IF(ISERROR(HLOOKUP(K147,$Q$73:$V$74,2)),0,HLOOKUP(K147,$Q$73:$V$74,2))</f>
        <v>0</v>
      </c>
      <c r="F147" s="104">
        <f>IF(ISERROR(HLOOKUP(L147,$Q$73:$V$74,2)),0,HLOOKUP(L147,$Q$73:$V$74,2))</f>
        <v>0</v>
      </c>
      <c r="G147" s="396">
        <f t="shared" si="3"/>
        <v>0</v>
      </c>
      <c r="H147" s="103">
        <f t="shared" si="4"/>
        <v>0</v>
      </c>
      <c r="I147" s="103">
        <f t="shared" si="5"/>
        <v>0</v>
      </c>
      <c r="J147" s="21">
        <f t="shared" si="0"/>
        <v>0</v>
      </c>
      <c r="K147" s="21">
        <f t="shared" si="1"/>
        <v>0</v>
      </c>
      <c r="L147" s="21">
        <f t="shared" si="2"/>
        <v>0</v>
      </c>
      <c r="M147" s="21" t="s">
        <v>660</v>
      </c>
      <c r="P147" s="328"/>
      <c r="Q147" s="328"/>
      <c r="AS147" s="5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</row>
    <row r="148" spans="1:64" ht="12.75" hidden="1" customHeight="1" x14ac:dyDescent="0.15">
      <c r="A148" s="259">
        <v>18</v>
      </c>
      <c r="B148" s="51" t="s">
        <v>568</v>
      </c>
      <c r="C148" s="21" t="s">
        <v>527</v>
      </c>
      <c r="D148" s="104">
        <f>IF(ISERROR(HLOOKUP(J148,$Q$32:$AF$33,2)),0,HLOOKUP(J148,$Q$32:$AF$33,2))</f>
        <v>0</v>
      </c>
      <c r="E148" s="104">
        <f>IF(ISERROR(HLOOKUP(K148,$Q$32:$AF$33,2)),0,HLOOKUP(K148,$Q$32:$AF$33,2))</f>
        <v>0</v>
      </c>
      <c r="F148" s="104">
        <f>IF(ISERROR(HLOOKUP(L148,$Q$32:$AF$33,2)),0,HLOOKUP(L148,$Q$32:$AF$33,2))</f>
        <v>0</v>
      </c>
      <c r="G148" s="396">
        <f t="shared" si="3"/>
        <v>0</v>
      </c>
      <c r="H148" s="103">
        <f t="shared" si="4"/>
        <v>0</v>
      </c>
      <c r="I148" s="103">
        <f t="shared" si="5"/>
        <v>0</v>
      </c>
      <c r="J148" s="21">
        <f t="shared" si="0"/>
        <v>0</v>
      </c>
      <c r="K148" s="21">
        <f t="shared" si="1"/>
        <v>0</v>
      </c>
      <c r="L148" s="21">
        <f t="shared" si="2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333"/>
      <c r="BF148" s="69"/>
      <c r="BG148" s="69"/>
      <c r="BH148" s="69"/>
      <c r="BI148" s="69"/>
      <c r="BJ148" s="69"/>
      <c r="BK148" s="69"/>
      <c r="BL148" s="69"/>
    </row>
    <row r="149" spans="1:64" ht="12.75" hidden="1" customHeight="1" x14ac:dyDescent="0.15">
      <c r="A149" s="259">
        <v>19</v>
      </c>
      <c r="B149" s="51" t="s">
        <v>569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 t="shared" si="3"/>
        <v>0</v>
      </c>
      <c r="H149" s="103">
        <f t="shared" si="4"/>
        <v>0</v>
      </c>
      <c r="I149" s="103">
        <f t="shared" si="5"/>
        <v>0</v>
      </c>
      <c r="J149" s="21">
        <f t="shared" si="0"/>
        <v>0</v>
      </c>
      <c r="K149" s="21">
        <f t="shared" si="1"/>
        <v>0</v>
      </c>
      <c r="L149" s="21">
        <f t="shared" si="2"/>
        <v>0</v>
      </c>
      <c r="M149" s="21" t="s">
        <v>660</v>
      </c>
      <c r="P149" s="328"/>
      <c r="Q149" s="328"/>
      <c r="AS149" s="5"/>
      <c r="BB149" s="11"/>
      <c r="BC149" s="5"/>
    </row>
    <row r="150" spans="1:64" ht="12.75" hidden="1" customHeight="1" x14ac:dyDescent="0.15">
      <c r="A150" s="259">
        <v>20</v>
      </c>
      <c r="B150" s="51" t="s">
        <v>570</v>
      </c>
      <c r="C150" s="21" t="s">
        <v>613</v>
      </c>
      <c r="D150" s="104">
        <f t="shared" ref="D150:F151" si="6">IF(ISERROR(HLOOKUP(J150,$Q$39:$Y$40,2)),0,HLOOKUP(J150,$Q$39:$Y$40,2))</f>
        <v>0</v>
      </c>
      <c r="E150" s="104">
        <f t="shared" si="6"/>
        <v>0</v>
      </c>
      <c r="F150" s="104">
        <f t="shared" si="6"/>
        <v>0</v>
      </c>
      <c r="G150" s="396">
        <f t="shared" si="3"/>
        <v>0</v>
      </c>
      <c r="H150" s="103">
        <f t="shared" si="4"/>
        <v>0</v>
      </c>
      <c r="I150" s="103">
        <f t="shared" si="5"/>
        <v>0</v>
      </c>
      <c r="J150" s="21">
        <f t="shared" si="0"/>
        <v>0</v>
      </c>
      <c r="K150" s="21">
        <f t="shared" si="1"/>
        <v>0</v>
      </c>
      <c r="L150" s="21">
        <f t="shared" si="2"/>
        <v>0</v>
      </c>
      <c r="M150" s="21" t="s">
        <v>660</v>
      </c>
      <c r="P150" s="328"/>
      <c r="Q150" s="328"/>
      <c r="AS150" s="5"/>
      <c r="BB150" s="11"/>
      <c r="BC150" s="5"/>
    </row>
    <row r="151" spans="1:64" ht="12.75" hidden="1" customHeight="1" x14ac:dyDescent="0.15">
      <c r="A151" s="259">
        <v>21</v>
      </c>
      <c r="B151" s="51" t="s">
        <v>571</v>
      </c>
      <c r="C151" s="21" t="s">
        <v>613</v>
      </c>
      <c r="D151" s="104">
        <f t="shared" si="6"/>
        <v>0</v>
      </c>
      <c r="E151" s="104">
        <f t="shared" si="6"/>
        <v>0</v>
      </c>
      <c r="F151" s="104">
        <f t="shared" si="6"/>
        <v>0</v>
      </c>
      <c r="G151" s="396">
        <f t="shared" si="3"/>
        <v>0</v>
      </c>
      <c r="H151" s="103">
        <f t="shared" si="4"/>
        <v>0</v>
      </c>
      <c r="I151" s="103">
        <f t="shared" si="5"/>
        <v>0</v>
      </c>
      <c r="J151" s="21">
        <f t="shared" si="0"/>
        <v>0</v>
      </c>
      <c r="K151" s="21">
        <f t="shared" si="1"/>
        <v>0</v>
      </c>
      <c r="L151" s="21">
        <f t="shared" si="2"/>
        <v>0</v>
      </c>
      <c r="M151" s="21" t="s">
        <v>660</v>
      </c>
      <c r="P151" s="328"/>
      <c r="Q151" s="328"/>
      <c r="AS151" s="5"/>
      <c r="BB151" s="11"/>
      <c r="BC151" s="5"/>
    </row>
    <row r="152" spans="1:64" ht="12.75" hidden="1" customHeight="1" x14ac:dyDescent="0.15">
      <c r="A152" s="259">
        <v>22</v>
      </c>
      <c r="B152" s="51" t="s">
        <v>572</v>
      </c>
      <c r="C152" s="21"/>
      <c r="D152" s="334"/>
      <c r="E152" s="335"/>
      <c r="F152" s="336"/>
      <c r="G152" s="397"/>
      <c r="H152" s="51"/>
      <c r="M152" s="21" t="s">
        <v>660</v>
      </c>
      <c r="P152" s="328"/>
      <c r="Q152" s="328"/>
      <c r="AS152" s="5"/>
      <c r="BB152" s="11"/>
      <c r="BC152" s="5"/>
    </row>
    <row r="153" spans="1:64" ht="12.75" hidden="1" customHeight="1" x14ac:dyDescent="0.15">
      <c r="A153" s="259">
        <v>23</v>
      </c>
      <c r="B153" s="51" t="s">
        <v>573</v>
      </c>
      <c r="C153" s="21"/>
      <c r="D153" s="334"/>
      <c r="E153" s="335"/>
      <c r="F153" s="336"/>
      <c r="G153" s="397"/>
      <c r="H153" s="51"/>
      <c r="M153" s="21" t="s">
        <v>660</v>
      </c>
      <c r="P153" s="328"/>
      <c r="Q153" s="328"/>
      <c r="AS153" s="5"/>
    </row>
    <row r="154" spans="1:64" ht="12.75" hidden="1" customHeight="1" x14ac:dyDescent="0.15">
      <c r="A154" s="259">
        <v>24</v>
      </c>
      <c r="B154" s="51" t="s">
        <v>574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ref="J154:J185" si="7">ROUNDDOWN(G154/365,0)</f>
        <v>0</v>
      </c>
      <c r="K154" s="21">
        <f t="shared" ref="K154:K185" si="8">ROUNDDOWN(H154/365,0)</f>
        <v>0</v>
      </c>
      <c r="L154" s="21">
        <f t="shared" ref="L154:L185" si="9">ROUNDDOWN(I154/365,0)</f>
        <v>0</v>
      </c>
      <c r="M154" s="21" t="s">
        <v>660</v>
      </c>
      <c r="P154" s="328"/>
      <c r="Q154" s="328"/>
      <c r="AS154" s="5"/>
    </row>
    <row r="155" spans="1:64" ht="12.75" hidden="1" customHeight="1" x14ac:dyDescent="0.15">
      <c r="A155" s="259">
        <v>25</v>
      </c>
      <c r="B155" s="51" t="s">
        <v>580</v>
      </c>
      <c r="C155" s="21" t="s">
        <v>527</v>
      </c>
      <c r="D155" s="104">
        <f>IF(ISERROR(HLOOKUP(J155,$Q$29:$AT$30,2)),0,HLOOKUP(J155,$Q$29:$AT$30,2))</f>
        <v>0</v>
      </c>
      <c r="E155" s="104">
        <f>IF(ISERROR(HLOOKUP(K155,$Q$29:$AT$30,2)),0,HLOOKUP(K155,$Q$29:$AT$30,2))</f>
        <v>0</v>
      </c>
      <c r="F155" s="104">
        <f>IF(ISERROR(HLOOKUP(L155,$Q$29:$AT$30,2)),0,HLOOKUP(L155,$Q$29:$AT$30,2))</f>
        <v>0</v>
      </c>
      <c r="G155" s="396">
        <f>SUM($F$30:$F$32)</f>
        <v>0</v>
      </c>
      <c r="H155" s="103">
        <f>SUM($F$30:$F$32)+$J$51</f>
        <v>0</v>
      </c>
      <c r="I155" s="103">
        <f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</row>
    <row r="156" spans="1:64" ht="12.75" hidden="1" customHeight="1" x14ac:dyDescent="0.15">
      <c r="A156" s="259">
        <v>26</v>
      </c>
      <c r="B156" s="51" t="s">
        <v>581</v>
      </c>
      <c r="C156" s="21" t="s">
        <v>547</v>
      </c>
      <c r="D156" s="104">
        <f>IF(ISERROR(HLOOKUP(J156,$Q$73:$W$74,2)),0,HLOOKUP(J156,$Q$73:$W$74,2))</f>
        <v>0</v>
      </c>
      <c r="E156" s="104">
        <f>IF(ISERROR(HLOOKUP(K156,$Q$73:$W$74,2)),0,HLOOKUP(K156,$Q$73:$W$74,2))</f>
        <v>0</v>
      </c>
      <c r="F156" s="104">
        <f>IF(ISERROR(HLOOKUP(L156,$Q$73:$W$74,2)),0,HLOOKUP(L156,$Q$73:$W$74,2))</f>
        <v>0</v>
      </c>
      <c r="G156" s="396">
        <f>SUM($F$27:$F$32)</f>
        <v>0</v>
      </c>
      <c r="H156" s="103">
        <f>SUM($F$27:$F$32)+$J$51</f>
        <v>0</v>
      </c>
      <c r="I156" s="103">
        <f>SUM($F$27:$F$32)+$J$51+$J$60</f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</row>
    <row r="157" spans="1:64" ht="12.75" hidden="1" customHeight="1" x14ac:dyDescent="0.15">
      <c r="A157" s="259" t="s">
        <v>582</v>
      </c>
      <c r="B157" s="51" t="s">
        <v>684</v>
      </c>
      <c r="C157" s="21" t="s">
        <v>547</v>
      </c>
      <c r="D157" s="104">
        <f>IF(ISERROR(HLOOKUP(J157,$Q$73:$V$74,2)),0,HLOOKUP(J157,$Q$73:$V$74,2))</f>
        <v>0</v>
      </c>
      <c r="E157" s="104">
        <f>IF(ISERROR(HLOOKUP(K157,$Q$73:$V$74,2)),0,HLOOKUP(K157,$Q$73:$V$74,2))</f>
        <v>0</v>
      </c>
      <c r="F157" s="104">
        <f>IF(ISERROR(HLOOKUP(L157,$Q$73:$V$74,2)),0,HLOOKUP(L157,$Q$73:$V$74,2))</f>
        <v>0</v>
      </c>
      <c r="G157" s="396">
        <f>SUM($F$27:$F$32)</f>
        <v>0</v>
      </c>
      <c r="H157" s="103">
        <f>SUM($F$27:$F$32)+$J$51</f>
        <v>0</v>
      </c>
      <c r="I157" s="103">
        <f>SUM($F$27:$F$32)+$J$51+$J$60</f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27</v>
      </c>
      <c r="B158" s="51" t="s">
        <v>583</v>
      </c>
      <c r="C158" s="21" t="s">
        <v>613</v>
      </c>
      <c r="D158" s="104">
        <f>IF(ISERROR(HLOOKUP(J158,$Q$48:$Z$49,2)),0,HLOOKUP(J158,$Q$48:$Z$49,2))</f>
        <v>0</v>
      </c>
      <c r="E158" s="104">
        <f>IF(ISERROR(HLOOKUP(K158,$Q$48:$Z$49,2)),0,HLOOKUP(K158,$Q$48:$Z$49,2))</f>
        <v>0</v>
      </c>
      <c r="F158" s="104">
        <f>IF(ISERROR(HLOOKUP(L158,$Q$48:$Z$49,2)),0,HLOOKUP(L158,$Q$48:$Z$49,2))</f>
        <v>0</v>
      </c>
      <c r="G158" s="396">
        <f t="shared" ref="G158:G165" si="10">SUM($F$30:$F$32)</f>
        <v>0</v>
      </c>
      <c r="H158" s="103">
        <f t="shared" ref="H158:H165" si="11">SUM($F$30:$F$32)+$J$51</f>
        <v>0</v>
      </c>
      <c r="I158" s="103">
        <f t="shared" ref="I158:I165" si="12">SUM($F$30:$F$32)+$J$51+$J$60</f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28</v>
      </c>
      <c r="B159" s="51" t="s">
        <v>584</v>
      </c>
      <c r="C159" s="21" t="s">
        <v>547</v>
      </c>
      <c r="D159" s="104">
        <f>IF(ISERROR(HLOOKUP(J159,$Q$73:$W$74,2)),0,HLOOKUP(J159,$Q$73:$W$74,2))</f>
        <v>0</v>
      </c>
      <c r="E159" s="104">
        <f>IF(ISERROR(HLOOKUP(K159,$Q$73:$W$74,2)),0,HLOOKUP(K159,$Q$73:$W$74,2))</f>
        <v>0</v>
      </c>
      <c r="F159" s="104">
        <f>IF(ISERROR(HLOOKUP(L159,$Q$73:$W$74,2)),0,HLOOKUP(L159,$Q$73:$W$74,2))</f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29</v>
      </c>
      <c r="B160" s="51" t="s">
        <v>585</v>
      </c>
      <c r="C160" s="21" t="s">
        <v>613</v>
      </c>
      <c r="D160" s="104">
        <f>IF(ISERROR(HLOOKUP(J160,$Q$48:$V$49,2)),0,HLOOKUP(J160,$Q$48:$V$49,2))</f>
        <v>0</v>
      </c>
      <c r="E160" s="104">
        <f>IF(ISERROR(HLOOKUP(K160,$Q$48:$V$49,2)),0,HLOOKUP(K160,$Q$48:$V$49,2))</f>
        <v>0</v>
      </c>
      <c r="F160" s="104">
        <f>IF(ISERROR(HLOOKUP(L160,$Q$48:$V$49,2)),0,HLOOKUP(L160,$Q$48:$V$49,2))</f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</row>
    <row r="161" spans="1:45" ht="13.5" hidden="1" customHeight="1" x14ac:dyDescent="0.15">
      <c r="A161" s="259">
        <v>30</v>
      </c>
      <c r="B161" s="51" t="s">
        <v>586</v>
      </c>
      <c r="C161" s="21" t="s">
        <v>613</v>
      </c>
      <c r="D161" s="104">
        <f>IF(ISERROR(HLOOKUP(J161,$Q$48:$AA$49,2)),0,HLOOKUP(J161,$Q$48:$AA$49,2))</f>
        <v>0</v>
      </c>
      <c r="E161" s="104">
        <f>IF(ISERROR(HLOOKUP(K161,$Q$48:$AA$49,2)),0,HLOOKUP(K161,$Q$48:$AA$49,2))</f>
        <v>0</v>
      </c>
      <c r="F161" s="104">
        <f>IF(ISERROR(HLOOKUP(L161,$Q$48:$AA$49,2)),0,HLOOKUP(L161,$Q$48:$AA$49,2))</f>
        <v>0</v>
      </c>
      <c r="G161" s="396">
        <f t="shared" si="10"/>
        <v>0</v>
      </c>
      <c r="H161" s="103">
        <f t="shared" si="11"/>
        <v>0</v>
      </c>
      <c r="I161" s="103">
        <f t="shared" si="12"/>
        <v>0</v>
      </c>
      <c r="J161" s="21">
        <f t="shared" si="7"/>
        <v>0</v>
      </c>
      <c r="K161" s="21">
        <f t="shared" si="8"/>
        <v>0</v>
      </c>
      <c r="L161" s="21">
        <f t="shared" si="9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 t="s">
        <v>587</v>
      </c>
      <c r="B162" s="51" t="s">
        <v>685</v>
      </c>
      <c r="C162" s="21" t="s">
        <v>547</v>
      </c>
      <c r="D162" s="104">
        <f>IF(ISERROR(HLOOKUP(J162,$Q$73:$X$74,2)),0,HLOOKUP(J162,$Q$73:$X$74,2))</f>
        <v>0</v>
      </c>
      <c r="E162" s="104">
        <f>IF(ISERROR(HLOOKUP(K162,$Q$73:$X$74,2)),0,HLOOKUP(K162,$Q$73:$X$74,2))</f>
        <v>0</v>
      </c>
      <c r="F162" s="104">
        <f>IF(ISERROR(HLOOKUP(L162,$Q$73:$X$74,2)),0,HLOOKUP(L162,$Q$73:$X$74,2))</f>
        <v>0</v>
      </c>
      <c r="G162" s="396">
        <f t="shared" si="10"/>
        <v>0</v>
      </c>
      <c r="H162" s="103">
        <f t="shared" si="11"/>
        <v>0</v>
      </c>
      <c r="I162" s="103">
        <f t="shared" si="12"/>
        <v>0</v>
      </c>
      <c r="J162" s="21">
        <f t="shared" si="7"/>
        <v>0</v>
      </c>
      <c r="K162" s="21">
        <f t="shared" si="8"/>
        <v>0</v>
      </c>
      <c r="L162" s="21">
        <f t="shared" si="9"/>
        <v>0</v>
      </c>
      <c r="M162" s="21" t="s">
        <v>660</v>
      </c>
      <c r="P162" s="328"/>
      <c r="Q162" s="328"/>
      <c r="AS162" s="116"/>
    </row>
    <row r="163" spans="1:45" ht="12.75" hidden="1" customHeight="1" x14ac:dyDescent="0.15">
      <c r="A163" s="259">
        <v>31</v>
      </c>
      <c r="B163" s="51" t="s">
        <v>588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 t="shared" si="10"/>
        <v>0</v>
      </c>
      <c r="H163" s="103">
        <f t="shared" si="11"/>
        <v>0</v>
      </c>
      <c r="I163" s="103">
        <f t="shared" si="12"/>
        <v>0</v>
      </c>
      <c r="J163" s="21">
        <f t="shared" si="7"/>
        <v>0</v>
      </c>
      <c r="K163" s="21">
        <f t="shared" si="8"/>
        <v>0</v>
      </c>
      <c r="L163" s="21">
        <f t="shared" si="9"/>
        <v>0</v>
      </c>
      <c r="M163" s="21" t="s">
        <v>660</v>
      </c>
      <c r="P163" s="328"/>
      <c r="Q163" s="328"/>
      <c r="AS163" s="69"/>
    </row>
    <row r="164" spans="1:45" ht="12.75" hidden="1" customHeight="1" x14ac:dyDescent="0.15">
      <c r="A164" s="259">
        <v>32</v>
      </c>
      <c r="B164" s="338" t="s">
        <v>617</v>
      </c>
      <c r="C164" s="21" t="s">
        <v>613</v>
      </c>
      <c r="D164" s="104">
        <f>IF(ISERROR(HLOOKUP(J164,$Q$42:$AA$43,2)),0,HLOOKUP(J164,$Q$42:$AA$43,2))</f>
        <v>0</v>
      </c>
      <c r="E164" s="104">
        <f>IF(ISERROR(HLOOKUP(K164,$Q$42:$AA$43,2)),0,HLOOKUP(K164,$Q$42:$AA$43,2))</f>
        <v>0</v>
      </c>
      <c r="F164" s="104">
        <f>IF(ISERROR(HLOOKUP(L164,$Q$42:$AA$43,2)),0,HLOOKUP(L164,$Q$42:$AA$43,2))</f>
        <v>0</v>
      </c>
      <c r="G164" s="396">
        <f t="shared" si="10"/>
        <v>0</v>
      </c>
      <c r="H164" s="103">
        <f t="shared" si="11"/>
        <v>0</v>
      </c>
      <c r="I164" s="103">
        <f t="shared" si="12"/>
        <v>0</v>
      </c>
      <c r="J164" s="21">
        <f t="shared" si="7"/>
        <v>0</v>
      </c>
      <c r="K164" s="21">
        <f t="shared" si="8"/>
        <v>0</v>
      </c>
      <c r="L164" s="21">
        <f t="shared" si="9"/>
        <v>0</v>
      </c>
      <c r="M164" s="78" t="s">
        <v>661</v>
      </c>
      <c r="P164" s="44"/>
      <c r="Q164" s="44"/>
      <c r="AS164" s="69"/>
    </row>
    <row r="165" spans="1:45" ht="12.75" hidden="1" customHeight="1" x14ac:dyDescent="0.15">
      <c r="A165" s="259">
        <v>33</v>
      </c>
      <c r="B165" s="338" t="s">
        <v>618</v>
      </c>
      <c r="C165" s="21" t="s">
        <v>613</v>
      </c>
      <c r="D165" s="104">
        <f>IF(ISERROR(HLOOKUP(J165,$Q$39:$AA$40,2)),0,HLOOKUP(J165,$Q$39:$AA$40,2))</f>
        <v>0</v>
      </c>
      <c r="E165" s="104">
        <f>IF(ISERROR(HLOOKUP(K165,$Q$39:$AA$40,2)),0,HLOOKUP(K165,$Q$39:$AA$40,2))</f>
        <v>0</v>
      </c>
      <c r="F165" s="104">
        <f>IF(ISERROR(HLOOKUP(L165,$Q$39:$AA$40,2)),0,HLOOKUP(L165,$Q$39:$AA$40,2))</f>
        <v>0</v>
      </c>
      <c r="G165" s="396">
        <f t="shared" si="10"/>
        <v>0</v>
      </c>
      <c r="H165" s="103">
        <f t="shared" si="11"/>
        <v>0</v>
      </c>
      <c r="I165" s="103">
        <f t="shared" si="12"/>
        <v>0</v>
      </c>
      <c r="J165" s="21">
        <f t="shared" si="7"/>
        <v>0</v>
      </c>
      <c r="K165" s="21">
        <f t="shared" si="8"/>
        <v>0</v>
      </c>
      <c r="L165" s="21">
        <f t="shared" si="9"/>
        <v>0</v>
      </c>
      <c r="M165" s="78" t="s">
        <v>661</v>
      </c>
      <c r="P165" s="44"/>
      <c r="Q165" s="44"/>
      <c r="AS165" s="69"/>
    </row>
    <row r="166" spans="1:45" ht="12.75" hidden="1" customHeight="1" x14ac:dyDescent="0.15">
      <c r="A166" s="259">
        <v>34</v>
      </c>
      <c r="B166" s="338" t="s">
        <v>619</v>
      </c>
      <c r="C166" s="21" t="s">
        <v>527</v>
      </c>
      <c r="D166" s="104">
        <f>IF(ISERROR(HLOOKUP(J166,$Q$26:$AY$27,2)),0,HLOOKUP(J166,$Q$26:$AY$27,2))</f>
        <v>0</v>
      </c>
      <c r="E166" s="104">
        <f>IF(ISERROR(HLOOKUP(K166,$Q$26:$AY$27,2)),0,HLOOKUP(K166,$Q$26:$AY$27,2))</f>
        <v>0</v>
      </c>
      <c r="F166" s="104">
        <f>IF(ISERROR(HLOOKUP(L166,$Q$26:$AY$27,2)),0,HLOOKUP(L166,$Q$26:$AY$27,2))</f>
        <v>0</v>
      </c>
      <c r="G166" s="396">
        <f>SUM($F$27:$F$33)</f>
        <v>0</v>
      </c>
      <c r="H166" s="103">
        <f>SUM($F$27:$F$33)+$J$51</f>
        <v>0</v>
      </c>
      <c r="I166" s="103">
        <f>SUM($F$27:$F$33)+$J$51+$J$60</f>
        <v>0</v>
      </c>
      <c r="J166" s="21">
        <f t="shared" si="7"/>
        <v>0</v>
      </c>
      <c r="K166" s="21">
        <f t="shared" si="8"/>
        <v>0</v>
      </c>
      <c r="L166" s="21">
        <f t="shared" si="9"/>
        <v>0</v>
      </c>
      <c r="M166" s="78" t="s">
        <v>661</v>
      </c>
      <c r="P166" s="44"/>
      <c r="Q166" s="44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</row>
    <row r="167" spans="1:45" ht="12.75" hidden="1" customHeight="1" x14ac:dyDescent="0.15">
      <c r="A167" s="259">
        <v>35</v>
      </c>
      <c r="B167" s="338" t="s">
        <v>620</v>
      </c>
      <c r="C167" s="21" t="s">
        <v>613</v>
      </c>
      <c r="D167" s="104">
        <f>IF(ISERROR(HLOOKUP(J167,$Q$39:$AB$40,2)),0,HLOOKUP(J167,$Q$39:$AB$40,2))</f>
        <v>0</v>
      </c>
      <c r="E167" s="104">
        <f>IF(ISERROR(HLOOKUP(K167,$Q$39:$AB$40,2)),0,HLOOKUP(K167,$Q$39:$AB$40,2))</f>
        <v>0</v>
      </c>
      <c r="F167" s="104">
        <f>IF(ISERROR(HLOOKUP(L167,$Q$39:$AB$40,2)),0,HLOOKUP(L167,$Q$39:$AB$40,2))</f>
        <v>0</v>
      </c>
      <c r="G167" s="396">
        <f>SUM($F$27:$F$32)</f>
        <v>0</v>
      </c>
      <c r="H167" s="103">
        <f>SUM($F$27:$F$32)+$J$51</f>
        <v>0</v>
      </c>
      <c r="I167" s="103">
        <f>SUM($F$27:$F$32)+$J$51+$J$60</f>
        <v>0</v>
      </c>
      <c r="J167" s="21">
        <f t="shared" si="7"/>
        <v>0</v>
      </c>
      <c r="K167" s="21">
        <f t="shared" si="8"/>
        <v>0</v>
      </c>
      <c r="L167" s="21">
        <f t="shared" si="9"/>
        <v>0</v>
      </c>
      <c r="M167" s="78" t="s">
        <v>661</v>
      </c>
      <c r="P167" s="44"/>
      <c r="Q167" s="44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</row>
    <row r="168" spans="1:45" ht="12.75" hidden="1" customHeight="1" x14ac:dyDescent="0.15">
      <c r="A168" s="259">
        <v>36</v>
      </c>
      <c r="B168" s="339" t="s">
        <v>621</v>
      </c>
      <c r="C168" s="21" t="s">
        <v>613</v>
      </c>
      <c r="D168" s="104">
        <f>IF(ISERROR(HLOOKUP(J168,$Q$39:$AA$40,2)),0,HLOOKUP(J168,$Q$39:$AA$40,2))</f>
        <v>0</v>
      </c>
      <c r="E168" s="104">
        <f>IF(ISERROR(HLOOKUP(K168,$Q$39:$AA$40,2)),0,HLOOKUP(K168,$Q$39:$AA$40,2))</f>
        <v>0</v>
      </c>
      <c r="F168" s="104">
        <f>IF(ISERROR(HLOOKUP(L168,$Q$39:$AA$40,2)),0,HLOOKUP(L168,$Q$39:$AA$40,2))</f>
        <v>0</v>
      </c>
      <c r="G168" s="396">
        <f>SUM($F$30:$F$32)</f>
        <v>0</v>
      </c>
      <c r="H168" s="103">
        <f>SUM($F$30:$F$32)+$J$51</f>
        <v>0</v>
      </c>
      <c r="I168" s="103">
        <f>SUM($F$30:$F$32)+$J$51+$J$60</f>
        <v>0</v>
      </c>
      <c r="J168" s="21">
        <f t="shared" si="7"/>
        <v>0</v>
      </c>
      <c r="K168" s="21">
        <f t="shared" si="8"/>
        <v>0</v>
      </c>
      <c r="L168" s="21">
        <f t="shared" si="9"/>
        <v>0</v>
      </c>
      <c r="M168" s="78" t="s">
        <v>661</v>
      </c>
      <c r="P168" s="44"/>
      <c r="Q168" s="44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</row>
    <row r="169" spans="1:45" ht="12.75" hidden="1" customHeight="1" x14ac:dyDescent="0.15">
      <c r="A169" s="259">
        <v>37</v>
      </c>
      <c r="B169" s="340" t="s">
        <v>622</v>
      </c>
      <c r="C169" s="21" t="s">
        <v>547</v>
      </c>
      <c r="D169" s="104">
        <f t="shared" ref="D169:F170" si="13">IF(ISERROR(HLOOKUP(J169,$Q$73:$AB$74,2)),0,HLOOKUP(J169,$Q$73:$AB$74,2))</f>
        <v>0</v>
      </c>
      <c r="E169" s="104">
        <f t="shared" si="13"/>
        <v>0</v>
      </c>
      <c r="F169" s="104">
        <f t="shared" si="13"/>
        <v>0</v>
      </c>
      <c r="G169" s="396">
        <f>SUM($F$27:$F$32)</f>
        <v>0</v>
      </c>
      <c r="H169" s="103">
        <f>SUM($F$27:$F$32)+$J$51</f>
        <v>0</v>
      </c>
      <c r="I169" s="103">
        <f>SUM($F$27:$F$32)+$J$51+$J$60</f>
        <v>0</v>
      </c>
      <c r="J169" s="21">
        <f t="shared" si="7"/>
        <v>0</v>
      </c>
      <c r="K169" s="21">
        <f t="shared" si="8"/>
        <v>0</v>
      </c>
      <c r="L169" s="21">
        <f t="shared" si="9"/>
        <v>0</v>
      </c>
      <c r="M169" s="78" t="s">
        <v>661</v>
      </c>
      <c r="P169" s="44"/>
      <c r="Q169" s="44"/>
      <c r="AH169" s="69"/>
      <c r="AI169" s="116"/>
      <c r="AJ169" s="116"/>
      <c r="AK169" s="116"/>
      <c r="AL169" s="69"/>
      <c r="AM169" s="69"/>
      <c r="AN169" s="69"/>
      <c r="AO169" s="69"/>
      <c r="AP169" s="69"/>
      <c r="AQ169" s="69"/>
      <c r="AR169" s="69"/>
      <c r="AS169" s="69"/>
    </row>
    <row r="170" spans="1:45" ht="12.75" hidden="1" customHeight="1" x14ac:dyDescent="0.15">
      <c r="A170" s="259">
        <v>38</v>
      </c>
      <c r="B170" s="340" t="s">
        <v>623</v>
      </c>
      <c r="C170" s="21" t="s">
        <v>547</v>
      </c>
      <c r="D170" s="104">
        <f t="shared" si="13"/>
        <v>0</v>
      </c>
      <c r="E170" s="104">
        <f t="shared" si="13"/>
        <v>0</v>
      </c>
      <c r="F170" s="104">
        <f t="shared" si="13"/>
        <v>0</v>
      </c>
      <c r="G170" s="396">
        <f>SUM($F$30:$F$32)</f>
        <v>0</v>
      </c>
      <c r="H170" s="103">
        <f>SUM($F$30:$F$32)+$J$51</f>
        <v>0</v>
      </c>
      <c r="I170" s="103">
        <f>SUM($F$30:$F$32)+$J$51+$J$60</f>
        <v>0</v>
      </c>
      <c r="J170" s="21">
        <f t="shared" si="7"/>
        <v>0</v>
      </c>
      <c r="K170" s="21">
        <f t="shared" si="8"/>
        <v>0</v>
      </c>
      <c r="L170" s="21">
        <f t="shared" si="9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thickBot="1" x14ac:dyDescent="0.2">
      <c r="A171" s="259">
        <v>39</v>
      </c>
      <c r="B171" s="340" t="s">
        <v>624</v>
      </c>
      <c r="C171" s="21" t="s">
        <v>613</v>
      </c>
      <c r="D171" s="104">
        <f>IF(ISERROR(HLOOKUP(J171,$Q$48:$Y$49,2)),0,HLOOKUP(J171,$Q$48:$Y$49,2))</f>
        <v>0</v>
      </c>
      <c r="E171" s="104">
        <f>IF(ISERROR(HLOOKUP(K171,$Q$48:$Y$49,2)),0,HLOOKUP(K171,$Q$48:$Y$49,2))</f>
        <v>0</v>
      </c>
      <c r="F171" s="104">
        <f>IF(ISERROR(HLOOKUP(L171,$Q$48:$Y$49,2)),0,HLOOKUP(L171,$Q$48:$Y$49,2))</f>
        <v>0</v>
      </c>
      <c r="G171" s="396">
        <f>SUM($F$30:$F$32)</f>
        <v>0</v>
      </c>
      <c r="H171" s="103">
        <f>SUM($F$30:$F$32)+$J$51</f>
        <v>0</v>
      </c>
      <c r="I171" s="103">
        <f>SUM($F$30:$F$32)+$J$51+$J$60</f>
        <v>0</v>
      </c>
      <c r="J171" s="21">
        <f t="shared" si="7"/>
        <v>0</v>
      </c>
      <c r="K171" s="21">
        <f t="shared" si="8"/>
        <v>0</v>
      </c>
      <c r="L171" s="21">
        <f t="shared" si="9"/>
        <v>0</v>
      </c>
      <c r="M171" s="78" t="s">
        <v>661</v>
      </c>
      <c r="P171" s="44"/>
      <c r="Q171" s="44"/>
    </row>
    <row r="172" spans="1:45" ht="12.75" hidden="1" customHeight="1" x14ac:dyDescent="0.15">
      <c r="A172" s="259">
        <v>40</v>
      </c>
      <c r="B172" s="340" t="s">
        <v>625</v>
      </c>
      <c r="C172" s="21" t="s">
        <v>613</v>
      </c>
      <c r="D172" s="104">
        <f>IF(ISERROR(HLOOKUP(J172,$Q$48:$AA$49,2)),0,HLOOKUP(J172,$Q$48:$AA$49,2))</f>
        <v>0</v>
      </c>
      <c r="E172" s="104">
        <f>IF(ISERROR(HLOOKUP(K172,$Q$48:$AA$49,2)),0,HLOOKUP(K172,$Q$48:$AA$49,2))</f>
        <v>0</v>
      </c>
      <c r="F172" s="104">
        <f>IF(ISERROR(HLOOKUP(L172,$Q$48:$AA$49,2)),0,HLOOKUP(L172,$Q$48:$AA$49,2))</f>
        <v>0</v>
      </c>
      <c r="G172" s="396">
        <f>SUM($F$27:$F$32)</f>
        <v>0</v>
      </c>
      <c r="H172" s="103">
        <f>SUM($F$27:$F$32)+$J$51</f>
        <v>0</v>
      </c>
      <c r="I172" s="103">
        <f>SUM($F$27:$F$32)+$J$51+$J$60</f>
        <v>0</v>
      </c>
      <c r="J172" s="21">
        <f t="shared" si="7"/>
        <v>0</v>
      </c>
      <c r="K172" s="21">
        <f t="shared" si="8"/>
        <v>0</v>
      </c>
      <c r="L172" s="21">
        <f t="shared" si="9"/>
        <v>0</v>
      </c>
      <c r="M172" s="78" t="s">
        <v>661</v>
      </c>
      <c r="N172" s="341" t="s">
        <v>613</v>
      </c>
      <c r="O172" s="256">
        <f>IF(ISERROR(HLOOKUP(J173,$Q$63:$AA$64,2)),0,HLOOKUP(J173,$Q$63:$AA$64,2))</f>
        <v>0</v>
      </c>
      <c r="P172" s="144">
        <f>IF(ISERROR(HLOOKUP(K173,$Q$63:$AA$64,2)),0,HLOOKUP(K173,$Q$63:$AA$64,2))</f>
        <v>0</v>
      </c>
      <c r="Q172" s="144">
        <f>IF(ISERROR(HLOOKUP(L173,$Q$63:$AA$64,2)),0,HLOOKUP(L173,$Q$63:$AA$64,2))</f>
        <v>0</v>
      </c>
      <c r="R172" s="342" t="s">
        <v>695</v>
      </c>
    </row>
    <row r="173" spans="1:45" ht="12.75" hidden="1" customHeight="1" thickBot="1" x14ac:dyDescent="0.2">
      <c r="A173" s="259">
        <v>41</v>
      </c>
      <c r="B173" s="340" t="s">
        <v>626</v>
      </c>
      <c r="C173" s="21" t="str">
        <f>IF($N$8&gt;=$R$173,$P$20,$P$19)</f>
        <v>TRIÊNIO</v>
      </c>
      <c r="D173" s="343">
        <f>IF($C$173=$N$172,$O$172,$O$173)</f>
        <v>0</v>
      </c>
      <c r="E173" s="343">
        <f>IF($C$173=$N$172,$P$172,$P$173)</f>
        <v>0</v>
      </c>
      <c r="F173" s="343">
        <f>IF($C$173=$N$172,$Q$172,$Q$173)</f>
        <v>0</v>
      </c>
      <c r="G173" s="396">
        <f>SUM($F$30:$F$32)</f>
        <v>0</v>
      </c>
      <c r="H173" s="103">
        <f>SUM($F$30:$F$32)+$J$51</f>
        <v>0</v>
      </c>
      <c r="I173" s="103">
        <f>SUM($F$30:$F$32)+$J$51+$J$60</f>
        <v>0</v>
      </c>
      <c r="J173" s="21">
        <f t="shared" si="7"/>
        <v>0</v>
      </c>
      <c r="K173" s="21">
        <f t="shared" si="8"/>
        <v>0</v>
      </c>
      <c r="L173" s="21">
        <f t="shared" si="9"/>
        <v>0</v>
      </c>
      <c r="M173" s="78" t="s">
        <v>661</v>
      </c>
      <c r="N173" s="344" t="s">
        <v>547</v>
      </c>
      <c r="O173" s="257">
        <f>IF(ISERROR(HLOOKUP(J173,$Q$73:$W$74,2)),0,HLOOKUP(J173,$Q$73:$W$74,2))</f>
        <v>0</v>
      </c>
      <c r="P173" s="145">
        <f>IF(ISERROR(HLOOKUP(K173,$Q$73:$W$74,2)),0,HLOOKUP(K173,$Q$73:$W$74,2))</f>
        <v>0</v>
      </c>
      <c r="Q173" s="145">
        <f>IF(ISERROR(HLOOKUP(L173,$Q$73:$W$74,2)),0,HLOOKUP(L173,$Q$73:$W$74,2))</f>
        <v>0</v>
      </c>
      <c r="R173" s="398">
        <v>36539</v>
      </c>
      <c r="S173" s="103"/>
      <c r="T173" s="103"/>
    </row>
    <row r="174" spans="1:45" ht="12.75" hidden="1" customHeight="1" x14ac:dyDescent="0.15">
      <c r="A174" s="259">
        <v>42</v>
      </c>
      <c r="B174" s="340" t="s">
        <v>627</v>
      </c>
      <c r="C174" s="21"/>
      <c r="D174" s="54"/>
      <c r="E174" s="54"/>
      <c r="F174" s="54"/>
      <c r="G174" s="396">
        <f>SUM($F$27:$F$32)</f>
        <v>0</v>
      </c>
      <c r="H174" s="103">
        <f>SUM($F$27:$F$32)+$J$51</f>
        <v>0</v>
      </c>
      <c r="I174" s="103">
        <f>SUM($F$27:$F$32)+$J$51+$J$60</f>
        <v>0</v>
      </c>
      <c r="J174" s="21">
        <f t="shared" si="7"/>
        <v>0</v>
      </c>
      <c r="K174" s="21">
        <f t="shared" si="8"/>
        <v>0</v>
      </c>
      <c r="L174" s="21">
        <f t="shared" si="9"/>
        <v>0</v>
      </c>
      <c r="M174" s="78" t="s">
        <v>661</v>
      </c>
      <c r="P174" s="44"/>
      <c r="Q174" s="44"/>
    </row>
    <row r="175" spans="1:45" ht="12.75" hidden="1" customHeight="1" x14ac:dyDescent="0.15">
      <c r="A175" s="259">
        <v>43</v>
      </c>
      <c r="B175" s="340" t="s">
        <v>628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7"/>
        <v>0</v>
      </c>
      <c r="K175" s="21">
        <f t="shared" si="8"/>
        <v>0</v>
      </c>
      <c r="L175" s="21">
        <f t="shared" si="9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44</v>
      </c>
      <c r="B176" s="340" t="s">
        <v>629</v>
      </c>
      <c r="C176" s="21" t="s">
        <v>547</v>
      </c>
      <c r="D176" s="104">
        <f t="shared" ref="D176:F177" si="14">IF(ISERROR(HLOOKUP(J176,$Q$73:$W$74,2)),0,HLOOKUP(J176,$Q$73:$W$74,2))</f>
        <v>0</v>
      </c>
      <c r="E176" s="104">
        <f t="shared" si="14"/>
        <v>0</v>
      </c>
      <c r="F176" s="104">
        <f t="shared" si="14"/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7"/>
        <v>0</v>
      </c>
      <c r="K176" s="21">
        <f t="shared" si="8"/>
        <v>0</v>
      </c>
      <c r="L176" s="21">
        <f t="shared" si="9"/>
        <v>0</v>
      </c>
      <c r="M176" s="78" t="s">
        <v>661</v>
      </c>
      <c r="P176" s="44"/>
      <c r="Q176" s="44"/>
    </row>
    <row r="177" spans="1:33" ht="12.75" hidden="1" customHeight="1" x14ac:dyDescent="0.15">
      <c r="A177" s="259">
        <v>45</v>
      </c>
      <c r="B177" s="340" t="s">
        <v>630</v>
      </c>
      <c r="C177" s="21" t="s">
        <v>547</v>
      </c>
      <c r="D177" s="104">
        <f t="shared" si="14"/>
        <v>0</v>
      </c>
      <c r="E177" s="104">
        <f t="shared" si="14"/>
        <v>0</v>
      </c>
      <c r="F177" s="104">
        <f t="shared" si="14"/>
        <v>0</v>
      </c>
      <c r="G177" s="396">
        <f>SUM($F$27:$F$32)</f>
        <v>0</v>
      </c>
      <c r="H177" s="103">
        <f>SUM($F$27:$F$32)+$J$51</f>
        <v>0</v>
      </c>
      <c r="I177" s="103">
        <f>SUM($F$27:$F$32)+$J$51+$J$60</f>
        <v>0</v>
      </c>
      <c r="J177" s="21">
        <f t="shared" si="7"/>
        <v>0</v>
      </c>
      <c r="K177" s="21">
        <f t="shared" si="8"/>
        <v>0</v>
      </c>
      <c r="L177" s="21">
        <f t="shared" si="9"/>
        <v>0</v>
      </c>
      <c r="M177" s="78" t="s">
        <v>661</v>
      </c>
      <c r="P177" s="44"/>
      <c r="Q177" s="44"/>
    </row>
    <row r="178" spans="1:33" ht="12.75" hidden="1" customHeight="1" x14ac:dyDescent="0.15">
      <c r="A178" s="259">
        <v>46</v>
      </c>
      <c r="B178" s="340" t="s">
        <v>631</v>
      </c>
      <c r="C178" s="21" t="s">
        <v>527</v>
      </c>
      <c r="D178" s="104">
        <f>IF(ISERROR(HLOOKUP(J178,$Q$26:$AY$27,2)),0,HLOOKUP(J178,$Q$26:$AY$27,2))</f>
        <v>0</v>
      </c>
      <c r="E178" s="104">
        <f>IF(ISERROR(HLOOKUP(K178,$Q$26:$AY$27,2)),0,HLOOKUP(K178,$Q$26:$AY$27,2))</f>
        <v>0</v>
      </c>
      <c r="F178" s="104">
        <f>IF(ISERROR(HLOOKUP(L178,$Q$26:$AY$27,2)),0,HLOOKUP(L178,$Q$26:$AY$27,2))</f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7"/>
        <v>0</v>
      </c>
      <c r="K178" s="21">
        <f t="shared" si="8"/>
        <v>0</v>
      </c>
      <c r="L178" s="21">
        <f t="shared" si="9"/>
        <v>0</v>
      </c>
      <c r="M178" s="78" t="s">
        <v>661</v>
      </c>
      <c r="P178" s="44"/>
      <c r="Q178" s="44"/>
    </row>
    <row r="179" spans="1:33" ht="12.75" hidden="1" customHeight="1" x14ac:dyDescent="0.15">
      <c r="A179" s="259">
        <v>47</v>
      </c>
      <c r="B179" s="340" t="s">
        <v>632</v>
      </c>
      <c r="C179" s="21" t="s">
        <v>613</v>
      </c>
      <c r="D179" s="104">
        <f>IF(ISERROR(HLOOKUP(J179,$Q$48:$Z$49,2)),0,HLOOKUP(J179,$Q$48:$Z$49,2))</f>
        <v>0</v>
      </c>
      <c r="E179" s="104">
        <f>IF(ISERROR(HLOOKUP(K179,$Q$48:$Z$49,2)),0,HLOOKUP(K179,$Q$48:$Z$49,2))</f>
        <v>0</v>
      </c>
      <c r="F179" s="104">
        <f>IF(ISERROR(HLOOKUP(L179,$Q$48:$Z$49,2)),0,HLOOKUP(L179,$Q$48:$Z$49,2))</f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7"/>
        <v>0</v>
      </c>
      <c r="K179" s="21">
        <f t="shared" si="8"/>
        <v>0</v>
      </c>
      <c r="L179" s="21">
        <f t="shared" si="9"/>
        <v>0</v>
      </c>
      <c r="M179" s="78" t="s">
        <v>661</v>
      </c>
      <c r="P179" s="44"/>
      <c r="Q179" s="44"/>
    </row>
    <row r="180" spans="1:33" ht="12.75" hidden="1" customHeight="1" x14ac:dyDescent="0.15">
      <c r="A180" s="259">
        <v>48</v>
      </c>
      <c r="B180" s="340" t="s">
        <v>633</v>
      </c>
      <c r="C180" s="21" t="s">
        <v>613</v>
      </c>
      <c r="D180" s="104">
        <f>IF(ISERROR(HLOOKUP(J180,$Q$48:$AJ$49,2)),0,HLOOKUP(J180,$Q$48:$AJ$49,2))</f>
        <v>0</v>
      </c>
      <c r="E180" s="104">
        <f>IF(ISERROR(HLOOKUP(K180,$Q$48:$AJ$49,2)),0,HLOOKUP(K180,$Q$48:$AJ$49,2))</f>
        <v>0</v>
      </c>
      <c r="F180" s="104">
        <f>IF(ISERROR(HLOOKUP(L180,$Q$48:$AJ$49,2)),0,HLOOKUP(L180,$Q$48:$AJ$49,2))</f>
        <v>0</v>
      </c>
      <c r="G180" s="396">
        <f>SUM($F$30:$F$33)</f>
        <v>0</v>
      </c>
      <c r="H180" s="103">
        <f>SUM($F$30:$F$33)+$J$51</f>
        <v>0</v>
      </c>
      <c r="I180" s="103">
        <f>SUM($F$30:$F$33)+$J$51+$J$60</f>
        <v>0</v>
      </c>
      <c r="J180" s="21">
        <f t="shared" si="7"/>
        <v>0</v>
      </c>
      <c r="K180" s="21">
        <f t="shared" si="8"/>
        <v>0</v>
      </c>
      <c r="L180" s="21">
        <f t="shared" si="9"/>
        <v>0</v>
      </c>
      <c r="M180" s="78" t="s">
        <v>661</v>
      </c>
      <c r="P180" s="44"/>
      <c r="Q180" s="44"/>
    </row>
    <row r="181" spans="1:33" ht="12.75" hidden="1" customHeight="1" x14ac:dyDescent="0.15">
      <c r="A181" s="259">
        <v>49</v>
      </c>
      <c r="B181" s="340" t="s">
        <v>634</v>
      </c>
      <c r="C181" s="21" t="s">
        <v>613</v>
      </c>
      <c r="D181" s="104">
        <f>IF(ISERROR(HLOOKUP(J181,$Q$48:$Z$49,2)),0,HLOOKUP(J181,$Q$48:$Z$49,2))</f>
        <v>0</v>
      </c>
      <c r="E181" s="104">
        <f>IF(ISERROR(HLOOKUP(K181,$Q$48:$Z$49,2)),0,HLOOKUP(K181,$Q$48:$Z$49,2))</f>
        <v>0</v>
      </c>
      <c r="F181" s="104">
        <f>IF(ISERROR(HLOOKUP(L181,$Q$48:$Z$49,2)),0,HLOOKUP(L181,$Q$48:$Z$49,2))</f>
        <v>0</v>
      </c>
      <c r="G181" s="396">
        <f>SUM($F$30:$F$33)</f>
        <v>0</v>
      </c>
      <c r="H181" s="103">
        <f>SUM($F$30:$F$33)+$J$51</f>
        <v>0</v>
      </c>
      <c r="I181" s="103">
        <f>SUM($F$30:$F$33)+$J$51+$J$60</f>
        <v>0</v>
      </c>
      <c r="J181" s="21">
        <f t="shared" si="7"/>
        <v>0</v>
      </c>
      <c r="K181" s="21">
        <f t="shared" si="8"/>
        <v>0</v>
      </c>
      <c r="L181" s="21">
        <f t="shared" si="9"/>
        <v>0</v>
      </c>
      <c r="M181" s="78" t="s">
        <v>661</v>
      </c>
      <c r="P181" s="44"/>
      <c r="Q181" s="44"/>
    </row>
    <row r="182" spans="1:33" ht="12.75" hidden="1" customHeight="1" x14ac:dyDescent="0.15">
      <c r="A182" s="259">
        <v>50</v>
      </c>
      <c r="B182" s="340" t="s">
        <v>635</v>
      </c>
      <c r="C182" s="21" t="s">
        <v>613</v>
      </c>
      <c r="D182" s="104">
        <f>IF(ISERROR(HLOOKUP(J182,$Q$39:$AB$40,2)),0,HLOOKUP(J182,$Q$39:$AB$40,2))</f>
        <v>0</v>
      </c>
      <c r="E182" s="104">
        <f>IF(ISERROR(HLOOKUP(K182,$Q$39:$AB$40,2)),0,HLOOKUP(K182,$Q$39:$AB$40,2))</f>
        <v>0</v>
      </c>
      <c r="F182" s="104">
        <f>IF(ISERROR(HLOOKUP(L182,$Q$39:$AB$40,2)),0,HLOOKUP(L182,$Q$39:$AB$40,2))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7"/>
        <v>0</v>
      </c>
      <c r="K182" s="21">
        <f t="shared" si="8"/>
        <v>0</v>
      </c>
      <c r="L182" s="21">
        <f t="shared" si="9"/>
        <v>0</v>
      </c>
      <c r="M182" s="78" t="s">
        <v>661</v>
      </c>
      <c r="P182" s="44"/>
      <c r="Q182" s="44"/>
    </row>
    <row r="183" spans="1:33" ht="12.75" hidden="1" customHeight="1" x14ac:dyDescent="0.15">
      <c r="A183" s="259">
        <v>51</v>
      </c>
      <c r="B183" s="340" t="s">
        <v>636</v>
      </c>
      <c r="C183" s="21" t="s">
        <v>613</v>
      </c>
      <c r="D183" s="104">
        <f>IF(ISERROR(HLOOKUP(J183,$Q$39:$AA$40,2)),0,HLOOKUP(J183,$Q$39:$AA$40,2))</f>
        <v>0</v>
      </c>
      <c r="E183" s="104">
        <f>IF(ISERROR(HLOOKUP(K183,$Q$39:$AA$40,2)),0,HLOOKUP(K183,$Q$39:$AA$40,2))</f>
        <v>0</v>
      </c>
      <c r="F183" s="104">
        <f>IF(ISERROR(HLOOKUP(L183,$Q$39:$AA$40,2)),0,HLOOKUP(L183,$Q$39:$AA$40,2))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7"/>
        <v>0</v>
      </c>
      <c r="K183" s="21">
        <f t="shared" si="8"/>
        <v>0</v>
      </c>
      <c r="L183" s="21">
        <f t="shared" si="9"/>
        <v>0</v>
      </c>
      <c r="M183" s="78" t="s">
        <v>661</v>
      </c>
      <c r="P183" s="44"/>
      <c r="Q183" s="44"/>
    </row>
    <row r="184" spans="1:33" ht="12.75" hidden="1" customHeight="1" x14ac:dyDescent="0.15">
      <c r="A184" s="259">
        <v>52</v>
      </c>
      <c r="B184" s="340" t="s">
        <v>637</v>
      </c>
      <c r="C184" s="21" t="s">
        <v>613</v>
      </c>
      <c r="D184" s="104">
        <f>IF(ISERROR(HLOOKUP(J184,$Q$66:$X$67,2)),0,HLOOKUP(J184,$Q$66:$X$67,2))</f>
        <v>0</v>
      </c>
      <c r="E184" s="104">
        <f>IF(ISERROR(HLOOKUP(K184,$Q$66:$X$67,2)),0,HLOOKUP(K184,$Q$66:$X$67,2))</f>
        <v>0</v>
      </c>
      <c r="F184" s="104">
        <f>IF(ISERROR(HLOOKUP(L184,$Q$66:$X$67,2)),0,HLOOKUP(L184,$Q$66:$X$67,2))</f>
        <v>0</v>
      </c>
      <c r="G184" s="396">
        <f>SUM($F$27:$F$32)</f>
        <v>0</v>
      </c>
      <c r="H184" s="103">
        <f>SUM($F$27:$F$32)+$J$51</f>
        <v>0</v>
      </c>
      <c r="I184" s="103">
        <f>SUM($F$27:$F$32)+$J$51+$J$60</f>
        <v>0</v>
      </c>
      <c r="J184" s="21">
        <f t="shared" si="7"/>
        <v>0</v>
      </c>
      <c r="K184" s="21">
        <f t="shared" si="8"/>
        <v>0</v>
      </c>
      <c r="L184" s="21">
        <f t="shared" si="9"/>
        <v>0</v>
      </c>
      <c r="M184" s="78" t="s">
        <v>661</v>
      </c>
      <c r="P184" s="44"/>
      <c r="Q184" s="44"/>
    </row>
    <row r="185" spans="1:33" ht="12.75" hidden="1" customHeight="1" x14ac:dyDescent="0.15">
      <c r="A185" s="259">
        <v>53</v>
      </c>
      <c r="B185" s="340" t="s">
        <v>638</v>
      </c>
      <c r="C185" s="21" t="s">
        <v>613</v>
      </c>
      <c r="D185" s="104">
        <f>IF(ISERROR(HLOOKUP(J185,$Q$48:$AA$49,2)),0,HLOOKUP(J185,$Q$48:$AA$49,2))</f>
        <v>0</v>
      </c>
      <c r="E185" s="104">
        <f>IF(ISERROR(HLOOKUP(K185,$Q$48:$AA$49,2)),0,HLOOKUP(K185,$Q$48:$AA$49,2))</f>
        <v>0</v>
      </c>
      <c r="F185" s="104">
        <f>IF(ISERROR(HLOOKUP(L185,$Q$48:$AA$49,2)),0,HLOOKUP(L185,$Q$48:$AA$49,2))</f>
        <v>0</v>
      </c>
      <c r="G185" s="396">
        <f>SUM($F$30:$F$32)</f>
        <v>0</v>
      </c>
      <c r="H185" s="103">
        <f>SUM($F$30:$F$32)+$J$51</f>
        <v>0</v>
      </c>
      <c r="I185" s="103">
        <f>SUM($F$30:$F$32)+$J$51+$J$60</f>
        <v>0</v>
      </c>
      <c r="J185" s="21">
        <f t="shared" si="7"/>
        <v>0</v>
      </c>
      <c r="K185" s="21">
        <f t="shared" si="8"/>
        <v>0</v>
      </c>
      <c r="L185" s="21">
        <f t="shared" si="9"/>
        <v>0</v>
      </c>
      <c r="M185" s="78" t="s">
        <v>661</v>
      </c>
      <c r="P185" s="44"/>
      <c r="Q185" s="44"/>
    </row>
    <row r="186" spans="1:33" ht="12.75" hidden="1" customHeight="1" x14ac:dyDescent="0.15">
      <c r="A186" s="259">
        <v>54</v>
      </c>
      <c r="B186" s="340" t="s">
        <v>639</v>
      </c>
      <c r="C186" s="21" t="s">
        <v>613</v>
      </c>
      <c r="D186" s="104">
        <f>IF(ISERROR(HLOOKUP(J186,$Q$39:$AA$40,2)),0,HLOOKUP(J186,$Q$39:$AA$40,2))</f>
        <v>0</v>
      </c>
      <c r="E186" s="104">
        <f>IF(ISERROR(HLOOKUP(K186,$Q$39:$AA$40,2)),0,HLOOKUP(K186,$Q$39:$AA$40,2))</f>
        <v>0</v>
      </c>
      <c r="F186" s="104">
        <f>IF(ISERROR(HLOOKUP(L186,$Q$39:$AA$40,2)),0,HLOOKUP(L186,$Q$39:$AA$40,2))</f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ref="J186:J217" si="15">ROUNDDOWN(G186/365,0)</f>
        <v>0</v>
      </c>
      <c r="K186" s="21">
        <f t="shared" ref="K186:K217" si="16">ROUNDDOWN(H186/365,0)</f>
        <v>0</v>
      </c>
      <c r="L186" s="21">
        <f t="shared" ref="L186:L217" si="17">ROUNDDOWN(I186/365,0)</f>
        <v>0</v>
      </c>
      <c r="M186" s="78" t="s">
        <v>661</v>
      </c>
      <c r="P186" s="44"/>
      <c r="Q186" s="44"/>
    </row>
    <row r="187" spans="1:33" ht="12.75" hidden="1" customHeight="1" x14ac:dyDescent="0.15">
      <c r="A187" s="259">
        <v>55</v>
      </c>
      <c r="B187" s="340" t="s">
        <v>640</v>
      </c>
      <c r="C187" s="21" t="s">
        <v>613</v>
      </c>
      <c r="D187" s="104">
        <f>IF(ISERROR(HLOOKUP(J187,$Q$60:$AA$61,2)),0,HLOOKUP(J187,$Q$60:$AA$61,2))</f>
        <v>0</v>
      </c>
      <c r="E187" s="104">
        <f>IF(ISERROR(HLOOKUP(K187,$Q$60:$AA$61,2)),0,HLOOKUP(K187,$Q$60:$AA$61,2))</f>
        <v>0</v>
      </c>
      <c r="F187" s="104">
        <f>IF(ISERROR(HLOOKUP(L187,$Q$60:$AA$61,2)),0,HLOOKUP(L187,$Q$60:$AA$61,2))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5"/>
        <v>0</v>
      </c>
      <c r="K187" s="21">
        <f t="shared" si="16"/>
        <v>0</v>
      </c>
      <c r="L187" s="21">
        <f t="shared" si="17"/>
        <v>0</v>
      </c>
      <c r="M187" s="78" t="s">
        <v>661</v>
      </c>
      <c r="P187" s="44"/>
      <c r="Q187" s="44"/>
    </row>
    <row r="188" spans="1:33" ht="12.75" hidden="1" customHeight="1" x14ac:dyDescent="0.15">
      <c r="A188" s="259">
        <v>56</v>
      </c>
      <c r="B188" s="340" t="s">
        <v>683</v>
      </c>
      <c r="C188" s="21" t="s">
        <v>547</v>
      </c>
      <c r="D188" s="104">
        <f>IF(ISERROR(HLOOKUP(J188,$Q$80:$W$81,2)),0,HLOOKUP(J188,$Q$80:$W$81,2))</f>
        <v>0</v>
      </c>
      <c r="E188" s="104">
        <f>IF(ISERROR(HLOOKUP(K188,$Q$80:$W$81,2)),0,HLOOKUP(K188,$Q$80:$W$81,2))</f>
        <v>0</v>
      </c>
      <c r="F188" s="104">
        <f>IF(ISERROR(HLOOKUP(L188,$Q$80:$W$81,2)),0,HLOOKUP(L188,$Q$80:$W$81,2))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5"/>
        <v>0</v>
      </c>
      <c r="K188" s="21">
        <f t="shared" si="16"/>
        <v>0</v>
      </c>
      <c r="L188" s="21">
        <f t="shared" si="17"/>
        <v>0</v>
      </c>
      <c r="M188" s="78" t="s">
        <v>661</v>
      </c>
      <c r="P188" s="44"/>
      <c r="Q188" s="44"/>
    </row>
    <row r="189" spans="1:33" ht="12.75" hidden="1" customHeight="1" x14ac:dyDescent="0.15">
      <c r="A189" s="259">
        <v>57</v>
      </c>
      <c r="B189" s="340" t="s">
        <v>699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5"/>
        <v>0</v>
      </c>
      <c r="K189" s="21">
        <f t="shared" si="16"/>
        <v>0</v>
      </c>
      <c r="L189" s="21">
        <f t="shared" si="17"/>
        <v>0</v>
      </c>
      <c r="M189" s="78" t="s">
        <v>661</v>
      </c>
      <c r="P189" s="44"/>
      <c r="Q189" s="44"/>
    </row>
    <row r="190" spans="1:33" ht="12.75" hidden="1" customHeight="1" x14ac:dyDescent="0.15">
      <c r="A190" s="259">
        <v>58</v>
      </c>
      <c r="B190" s="340" t="s">
        <v>641</v>
      </c>
      <c r="C190" s="21" t="s">
        <v>613</v>
      </c>
      <c r="D190" s="104">
        <f>IF(ISERROR(HLOOKUP(J190,$Q$69:$AC$70,2)),0,HLOOKUP(J190,$Q$69:$AC$70,2))</f>
        <v>0</v>
      </c>
      <c r="E190" s="104">
        <f>IF(ISERROR(HLOOKUP(K190,$Q$69:$AC$70,2)),0,HLOOKUP(K190,$Q$69:$AC$70,2))</f>
        <v>0</v>
      </c>
      <c r="F190" s="104">
        <f>IF(ISERROR(HLOOKUP(L190,$Q$69:$AC$70,2)),0,HLOOKUP(L190,$Q$69:$AC$70,2))</f>
        <v>0</v>
      </c>
      <c r="G190" s="396">
        <f>SUM($F$30:$F$32)</f>
        <v>0</v>
      </c>
      <c r="H190" s="103">
        <f>SUM($F$30:$F$32)+$J$51</f>
        <v>0</v>
      </c>
      <c r="I190" s="103">
        <f>SUM($F$30:$F$32)+$J$51+$J$60</f>
        <v>0</v>
      </c>
      <c r="J190" s="21">
        <f t="shared" si="15"/>
        <v>0</v>
      </c>
      <c r="K190" s="21">
        <f t="shared" si="16"/>
        <v>0</v>
      </c>
      <c r="L190" s="21">
        <f t="shared" si="17"/>
        <v>0</v>
      </c>
      <c r="M190" s="78" t="s">
        <v>661</v>
      </c>
      <c r="P190" s="44"/>
      <c r="Q190" s="44"/>
    </row>
    <row r="191" spans="1:33" ht="12.75" hidden="1" customHeight="1" x14ac:dyDescent="0.15">
      <c r="A191" s="259">
        <v>59</v>
      </c>
      <c r="B191" s="340" t="s">
        <v>642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SUM($F$27:$F$33)</f>
        <v>0</v>
      </c>
      <c r="H191" s="103">
        <f>SUM($F$27:$F$33)+$J$51</f>
        <v>0</v>
      </c>
      <c r="I191" s="103">
        <f>SUM($F$27:$F$33)+$J$51+$J$60</f>
        <v>0</v>
      </c>
      <c r="J191" s="21">
        <f t="shared" si="15"/>
        <v>0</v>
      </c>
      <c r="K191" s="21">
        <f t="shared" si="16"/>
        <v>0</v>
      </c>
      <c r="L191" s="21">
        <f t="shared" si="17"/>
        <v>0</v>
      </c>
      <c r="M191" s="78" t="s">
        <v>661</v>
      </c>
      <c r="P191" s="44"/>
      <c r="Q191" s="44"/>
      <c r="AC191" s="69"/>
      <c r="AD191" s="69"/>
      <c r="AE191" s="69"/>
      <c r="AF191" s="69"/>
      <c r="AG191" s="69"/>
    </row>
    <row r="192" spans="1:33" ht="12.75" hidden="1" customHeight="1" x14ac:dyDescent="0.15">
      <c r="A192" s="259">
        <v>60</v>
      </c>
      <c r="B192" s="340" t="s">
        <v>643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SUM($F$30:$F$33)</f>
        <v>0</v>
      </c>
      <c r="H192" s="103">
        <f>SUM($F$30:$F$33)+$J$51</f>
        <v>0</v>
      </c>
      <c r="I192" s="103">
        <f>SUM($F$30:$F$33)+$J$51+$J$60</f>
        <v>0</v>
      </c>
      <c r="J192" s="21">
        <f t="shared" si="15"/>
        <v>0</v>
      </c>
      <c r="K192" s="21">
        <f t="shared" si="16"/>
        <v>0</v>
      </c>
      <c r="L192" s="21">
        <f t="shared" si="17"/>
        <v>0</v>
      </c>
      <c r="M192" s="78" t="s">
        <v>661</v>
      </c>
      <c r="P192" s="44"/>
      <c r="Q192" s="44"/>
      <c r="AC192" s="69"/>
      <c r="AD192" s="69"/>
      <c r="AE192" s="69"/>
      <c r="AF192" s="69"/>
      <c r="AG192" s="69"/>
    </row>
    <row r="193" spans="1:33" ht="12.75" hidden="1" customHeight="1" x14ac:dyDescent="0.15">
      <c r="A193" s="259">
        <v>61</v>
      </c>
      <c r="B193" s="340" t="s">
        <v>644</v>
      </c>
      <c r="C193" s="21" t="s">
        <v>613</v>
      </c>
      <c r="D193" s="104">
        <f>IF(ISERROR(HLOOKUP(J193,$Q$39:$AA$40,2)),0,HLOOKUP(J193,$Q$39:$AA$40,2))</f>
        <v>0</v>
      </c>
      <c r="E193" s="104">
        <f>IF(ISERROR(HLOOKUP(K193,$Q$39:$AA$40,2)),0,HLOOKUP(K193,$Q$39:$AA$40,2))</f>
        <v>0</v>
      </c>
      <c r="F193" s="104">
        <f>IF(ISERROR(HLOOKUP(L193,$Q$39:$AA$40,2)),0,HLOOKUP(L193,$Q$39:$AA$40,2))</f>
        <v>0</v>
      </c>
      <c r="G193" s="396">
        <f>SUM($F$27:$F$33)</f>
        <v>0</v>
      </c>
      <c r="H193" s="103">
        <f>SUM($F$27:$F$33)+$J$51</f>
        <v>0</v>
      </c>
      <c r="I193" s="103">
        <f>SUM($F$27:$F$33)+$J$51+$J$60</f>
        <v>0</v>
      </c>
      <c r="J193" s="21">
        <f t="shared" si="15"/>
        <v>0</v>
      </c>
      <c r="K193" s="21">
        <f t="shared" si="16"/>
        <v>0</v>
      </c>
      <c r="L193" s="21">
        <f t="shared" si="17"/>
        <v>0</v>
      </c>
      <c r="M193" s="78" t="s">
        <v>661</v>
      </c>
      <c r="P193" s="44"/>
      <c r="Q193" s="44"/>
      <c r="AC193" s="69"/>
      <c r="AD193" s="69"/>
      <c r="AE193" s="69"/>
      <c r="AF193" s="69"/>
      <c r="AG193" s="69"/>
    </row>
    <row r="194" spans="1:33" ht="12.75" hidden="1" customHeight="1" x14ac:dyDescent="0.15">
      <c r="A194" s="259">
        <v>62</v>
      </c>
      <c r="B194" s="345" t="s">
        <v>645</v>
      </c>
      <c r="C194" s="21" t="s">
        <v>527</v>
      </c>
      <c r="D194" s="104">
        <f>IF(ISERROR(HLOOKUP(J194,$Q$26:$AY$27,2)),0,HLOOKUP(J194,$Q$26:$AY$27,2))</f>
        <v>0</v>
      </c>
      <c r="E194" s="104">
        <f>IF(ISERROR(HLOOKUP(K194,$Q$26:$AY$27,2)),0,HLOOKUP(K194,$Q$26:$AY$27,2))</f>
        <v>0</v>
      </c>
      <c r="F194" s="104">
        <f>IF(ISERROR(HLOOKUP(L194,$Q$26:$AY$27,2)),0,HLOOKUP(L194,$Q$26:$AY$27,2))</f>
        <v>0</v>
      </c>
      <c r="G194" s="396">
        <f>SUM($F$30:$F$32)</f>
        <v>0</v>
      </c>
      <c r="H194" s="103">
        <f>SUM($F$27:$F$32)+$J$51</f>
        <v>0</v>
      </c>
      <c r="I194" s="103">
        <f>SUM($F$27:$F$32)+$J$51+$J$60</f>
        <v>0</v>
      </c>
      <c r="J194" s="21">
        <f t="shared" si="15"/>
        <v>0</v>
      </c>
      <c r="K194" s="21">
        <f t="shared" si="16"/>
        <v>0</v>
      </c>
      <c r="L194" s="21">
        <f t="shared" si="17"/>
        <v>0</v>
      </c>
      <c r="M194" s="346" t="s">
        <v>662</v>
      </c>
      <c r="P194" s="44"/>
      <c r="Q194" s="44"/>
      <c r="AC194" s="69"/>
      <c r="AD194" s="69"/>
      <c r="AE194" s="69"/>
      <c r="AF194" s="69"/>
      <c r="AG194" s="69"/>
    </row>
    <row r="195" spans="1:33" ht="12.75" hidden="1" customHeight="1" x14ac:dyDescent="0.15">
      <c r="A195" s="259">
        <v>63</v>
      </c>
      <c r="B195" s="345" t="s">
        <v>646</v>
      </c>
      <c r="C195" s="21"/>
      <c r="D195" s="54"/>
      <c r="E195" s="54"/>
      <c r="F195" s="54"/>
      <c r="G195" s="54"/>
      <c r="H195" s="54"/>
      <c r="I195" s="347"/>
      <c r="J195" s="21">
        <f t="shared" si="15"/>
        <v>0</v>
      </c>
      <c r="K195" s="21">
        <f t="shared" si="16"/>
        <v>0</v>
      </c>
      <c r="L195" s="21">
        <f t="shared" si="17"/>
        <v>0</v>
      </c>
      <c r="M195" s="346" t="s">
        <v>662</v>
      </c>
      <c r="P195" s="44"/>
      <c r="Q195" s="44"/>
      <c r="AC195" s="69"/>
      <c r="AD195" s="69"/>
      <c r="AE195" s="69"/>
      <c r="AF195" s="69"/>
      <c r="AG195" s="348"/>
    </row>
    <row r="196" spans="1:33" s="308" customFormat="1" ht="12.75" hidden="1" customHeight="1" x14ac:dyDescent="0.15">
      <c r="A196" s="304">
        <v>64</v>
      </c>
      <c r="B196" s="349" t="s">
        <v>647</v>
      </c>
      <c r="C196" s="308" t="s">
        <v>613</v>
      </c>
      <c r="D196" s="305">
        <f>IF(ISERROR(HLOOKUP(J196,$Q$48:$AB$49,2)),0,HLOOKUP(J196,$Q$48:$AB$49,2))</f>
        <v>0</v>
      </c>
      <c r="E196" s="305">
        <f>IF(ISERROR(HLOOKUP(K196,$Q$48:$AB$49,2)),0,HLOOKUP(K196,$Q$48:$AB$49,2))</f>
        <v>0</v>
      </c>
      <c r="F196" s="305">
        <f>IF(ISERROR(HLOOKUP(L196,$Q$48:$AB$49,2)),0,HLOOKUP(L196,$Q$48:$AB$49,2))</f>
        <v>0</v>
      </c>
      <c r="G196" s="350">
        <f>SUM($F$30:$F$33)+$O$196</f>
        <v>0</v>
      </c>
      <c r="H196" s="350">
        <f>$G$196+$J$51</f>
        <v>0</v>
      </c>
      <c r="I196" s="350">
        <f>$G$196+$J$51+$J$60</f>
        <v>0</v>
      </c>
      <c r="J196" s="351">
        <f t="shared" si="15"/>
        <v>0</v>
      </c>
      <c r="K196" s="351">
        <f t="shared" si="16"/>
        <v>0</v>
      </c>
      <c r="L196" s="351">
        <f t="shared" si="17"/>
        <v>0</v>
      </c>
      <c r="M196" s="352" t="s">
        <v>662</v>
      </c>
      <c r="N196" s="310">
        <f>SUM($F$27:$F$29)</f>
        <v>0</v>
      </c>
      <c r="O196" s="309">
        <f>IF($N$196&gt;365,365,$N$196)</f>
        <v>0</v>
      </c>
      <c r="P196" s="353"/>
      <c r="Q196" s="353"/>
      <c r="AC196" s="354"/>
      <c r="AD196" s="354"/>
      <c r="AE196" s="354"/>
      <c r="AF196" s="354"/>
      <c r="AG196" s="354"/>
    </row>
    <row r="197" spans="1:33" ht="12.75" hidden="1" customHeight="1" x14ac:dyDescent="0.15">
      <c r="A197" s="259">
        <v>65</v>
      </c>
      <c r="B197" s="345" t="s">
        <v>648</v>
      </c>
      <c r="C197" s="21" t="s">
        <v>547</v>
      </c>
      <c r="D197" s="104">
        <f>IF(ISERROR(HLOOKUP(J197,$Q$73:$AB$74,2)),0,HLOOKUP(J197,$Q$73:$AB$74,2))</f>
        <v>0</v>
      </c>
      <c r="E197" s="105">
        <f>IF(ISERROR(HLOOKUP(K197,$Q$73:$AB$74,2)),0,HLOOKUP(K197,$Q$73:$AB$74,2))</f>
        <v>0</v>
      </c>
      <c r="F197" s="106">
        <f>IF(ISERROR(HLOOKUP(L197,$Q$73:$AB$74,2)),0,HLOOKUP(L197,$Q$73:$AB$74,2))</f>
        <v>0</v>
      </c>
      <c r="G197" s="355">
        <f>SUM($F$27:$F$32)</f>
        <v>0</v>
      </c>
      <c r="H197" s="355">
        <f>SUM($F$27:$F$32)+$J$51</f>
        <v>0</v>
      </c>
      <c r="I197" s="355">
        <f>SUM($F$27:$F$32)+$J$51+$J$60</f>
        <v>0</v>
      </c>
      <c r="J197" s="21">
        <f t="shared" si="15"/>
        <v>0</v>
      </c>
      <c r="K197" s="21">
        <f t="shared" si="16"/>
        <v>0</v>
      </c>
      <c r="L197" s="21">
        <f t="shared" si="17"/>
        <v>0</v>
      </c>
      <c r="M197" s="346" t="s">
        <v>662</v>
      </c>
      <c r="P197" s="44"/>
      <c r="Q197" s="44"/>
      <c r="AC197" s="69"/>
      <c r="AD197" s="69"/>
      <c r="AE197" s="69"/>
      <c r="AF197" s="69"/>
      <c r="AG197" s="348"/>
    </row>
    <row r="198" spans="1:33" ht="12.75" hidden="1" customHeight="1" x14ac:dyDescent="0.15">
      <c r="A198" s="259">
        <v>66</v>
      </c>
      <c r="B198" s="345" t="s">
        <v>649</v>
      </c>
      <c r="C198" s="21" t="s">
        <v>613</v>
      </c>
      <c r="D198" s="104">
        <f>IF(ISERROR(HLOOKUP(J198,$Q$39:$Z$40,2)),0,HLOOKUP(J198,$Q$39:$Z$40,2))</f>
        <v>0</v>
      </c>
      <c r="E198" s="104">
        <f>IF(ISERROR(HLOOKUP(K198,$Q$39:$Z$40,2)),0,HLOOKUP(K198,$Q$39:$Z$40,2))</f>
        <v>0</v>
      </c>
      <c r="F198" s="104">
        <f>IF(ISERROR(HLOOKUP(L198,$Q$39:$Z$40,2)),0,HLOOKUP(L198,$Q$39:$Z$40,2))</f>
        <v>0</v>
      </c>
      <c r="G198" s="355">
        <f>SUM($F$30:$F$32)</f>
        <v>0</v>
      </c>
      <c r="H198" s="355">
        <f>SUM($F$30:$F$32)+$J$51</f>
        <v>0</v>
      </c>
      <c r="I198" s="355">
        <f>SUM($F$30:$F$32)+$J$51+$J$60</f>
        <v>0</v>
      </c>
      <c r="J198" s="356">
        <f t="shared" si="15"/>
        <v>0</v>
      </c>
      <c r="K198" s="356">
        <f t="shared" si="16"/>
        <v>0</v>
      </c>
      <c r="L198" s="356">
        <f t="shared" si="17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348"/>
    </row>
    <row r="199" spans="1:33" ht="12.75" hidden="1" customHeight="1" x14ac:dyDescent="0.15">
      <c r="A199" s="259">
        <v>67</v>
      </c>
      <c r="B199" s="345" t="s">
        <v>650</v>
      </c>
      <c r="C199" s="21" t="s">
        <v>613</v>
      </c>
      <c r="D199" s="104">
        <f>IF(ISERROR(HLOOKUP(J199,$Q$51:$Y$52,2)),0,HLOOKUP(J199,$Q$51:$Y$52,2))</f>
        <v>0</v>
      </c>
      <c r="E199" s="104">
        <f>IF(ISERROR(HLOOKUP(K199,$Q$51:$Y$52,2)),0,HLOOKUP(K199,$Q$51:$Y$52,2))</f>
        <v>0</v>
      </c>
      <c r="F199" s="104">
        <f>IF(ISERROR(HLOOKUP(L199,$Q$51:$Y$52,2)),0,HLOOKUP(L199,$Q$51:$Y$52,2))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15"/>
        <v>0</v>
      </c>
      <c r="K199" s="21">
        <f t="shared" si="16"/>
        <v>0</v>
      </c>
      <c r="L199" s="21">
        <f t="shared" si="17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68</v>
      </c>
      <c r="B200" s="349" t="s">
        <v>651</v>
      </c>
      <c r="C200" s="308" t="s">
        <v>547</v>
      </c>
      <c r="D200" s="305">
        <f>IF(ISERROR(HLOOKUP(J200,$Q$73:$W$74,2)),0,HLOOKUP(J200,$Q$73:$W$74,2))</f>
        <v>0</v>
      </c>
      <c r="E200" s="305">
        <f>IF(ISERROR(HLOOKUP(K200,$Q$73:$W$74,2)),0,HLOOKUP(K200,$Q$73:$W$74,2))</f>
        <v>0</v>
      </c>
      <c r="F200" s="305">
        <f>IF(ISERROR(HLOOKUP(L200,$Q$73:$W$74,2)),0,HLOOKUP(L200,$Q$73:$W$74,2))</f>
        <v>0</v>
      </c>
      <c r="G200" s="350">
        <f>$N$200</f>
        <v>0</v>
      </c>
      <c r="H200" s="350">
        <f>$G$200+$J$51</f>
        <v>0</v>
      </c>
      <c r="I200" s="350">
        <f>$G$200+$J$51+$J$60</f>
        <v>0</v>
      </c>
      <c r="J200" s="308">
        <f t="shared" si="15"/>
        <v>0</v>
      </c>
      <c r="K200" s="308">
        <f t="shared" si="16"/>
        <v>0</v>
      </c>
      <c r="L200" s="308">
        <f t="shared" si="17"/>
        <v>0</v>
      </c>
      <c r="M200" s="352" t="s">
        <v>662</v>
      </c>
      <c r="N200" s="310">
        <f>SUM(F30:F32)</f>
        <v>0</v>
      </c>
      <c r="O200" s="309"/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69</v>
      </c>
      <c r="B201" s="345" t="s">
        <v>652</v>
      </c>
      <c r="C201" s="21" t="s">
        <v>613</v>
      </c>
      <c r="D201" s="104">
        <f>IF(ISERROR(HLOOKUP(J201,$Q$39:$Z$40,2)),0,HLOOKUP(J201,$Q$39:$Z$40,2))</f>
        <v>0</v>
      </c>
      <c r="E201" s="104">
        <f>IF(ISERROR(HLOOKUP(K201,$Q$39:$Z$40,2)),0,HLOOKUP(K201,$Q$39:$Z$40,2))</f>
        <v>0</v>
      </c>
      <c r="F201" s="104">
        <f>IF(ISERROR(HLOOKUP(L201,$Q$39:$Z$40,2)),0,HLOOKUP(L201,$Q$39:$Z$40,2))</f>
        <v>0</v>
      </c>
      <c r="G201" s="396">
        <f>SUM($F$30:$F$32)</f>
        <v>0</v>
      </c>
      <c r="H201" s="103">
        <f>SUM($F$30:$F$32)+$J$51</f>
        <v>0</v>
      </c>
      <c r="I201" s="103">
        <f>SUM($F$30:$F$32)+$J$51+$J$60</f>
        <v>0</v>
      </c>
      <c r="J201" s="21">
        <f t="shared" si="15"/>
        <v>0</v>
      </c>
      <c r="K201" s="21">
        <f t="shared" si="16"/>
        <v>0</v>
      </c>
      <c r="L201" s="21">
        <f t="shared" si="17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69"/>
    </row>
    <row r="202" spans="1:33" ht="13.5" hidden="1" x14ac:dyDescent="0.15">
      <c r="A202" s="259">
        <v>70</v>
      </c>
      <c r="B202" s="345" t="s">
        <v>653</v>
      </c>
      <c r="C202" s="21" t="s">
        <v>613</v>
      </c>
      <c r="D202" s="104">
        <f>IF(ISERROR(HLOOKUP(J202,$Q$48:$AB$49,2)),0,HLOOKUP(J202,$Q$48:$AB$49,2))</f>
        <v>0</v>
      </c>
      <c r="E202" s="104">
        <f>IF(ISERROR(HLOOKUP(K202,$Q$48:$AB$49,2)),0,HLOOKUP(K202,$Q$48:$AB$49,2))</f>
        <v>0</v>
      </c>
      <c r="F202" s="104">
        <f>IF(ISERROR(HLOOKUP(L202,$Q$48:$AB$49,2)),0,HLOOKUP(L202,$Q$48:$AB$49,2))</f>
        <v>0</v>
      </c>
      <c r="G202" s="396">
        <f>SUM($F$30:$F$32)</f>
        <v>0</v>
      </c>
      <c r="H202" s="103">
        <f>SUM($F$30:$F$32)+$J$51</f>
        <v>0</v>
      </c>
      <c r="I202" s="103">
        <f>SUM($F$30:$F$32)+$J$51+$J$60</f>
        <v>0</v>
      </c>
      <c r="J202" s="21">
        <f t="shared" si="15"/>
        <v>0</v>
      </c>
      <c r="K202" s="21">
        <f t="shared" si="16"/>
        <v>0</v>
      </c>
      <c r="L202" s="21">
        <f t="shared" si="17"/>
        <v>0</v>
      </c>
      <c r="M202" s="346" t="s">
        <v>662</v>
      </c>
      <c r="P202" s="44"/>
      <c r="Q202" s="44"/>
    </row>
    <row r="203" spans="1:33" ht="13.5" hidden="1" x14ac:dyDescent="0.15">
      <c r="A203" s="259">
        <v>71</v>
      </c>
      <c r="B203" s="345" t="s">
        <v>654</v>
      </c>
      <c r="C203" s="21" t="s">
        <v>613</v>
      </c>
      <c r="D203" s="104">
        <f>IF(ISERROR(HLOOKUP(J203,$Q$48:$AA$49,2)),0,HLOOKUP(J203,$Q$48:$AA$49,2))</f>
        <v>0</v>
      </c>
      <c r="E203" s="104">
        <f>IF(ISERROR(HLOOKUP(K203,$Q$48:$AA$49,2)),0,HLOOKUP(K203,$Q$48:$AA$49,2))</f>
        <v>0</v>
      </c>
      <c r="F203" s="104">
        <f>IF(ISERROR(HLOOKUP(L203,$Q$48:$AA$49,2)),0,HLOOKUP(L203,$Q$48:$AA$49,2))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15"/>
        <v>0</v>
      </c>
      <c r="K203" s="21">
        <f t="shared" si="16"/>
        <v>0</v>
      </c>
      <c r="L203" s="21">
        <f t="shared" si="17"/>
        <v>0</v>
      </c>
      <c r="M203" s="346" t="s">
        <v>662</v>
      </c>
      <c r="P203" s="44"/>
      <c r="Q203" s="44"/>
    </row>
    <row r="204" spans="1:33" ht="13.5" hidden="1" x14ac:dyDescent="0.15">
      <c r="A204" s="259">
        <v>72</v>
      </c>
      <c r="B204" s="345" t="s">
        <v>655</v>
      </c>
      <c r="C204" s="21" t="s">
        <v>527</v>
      </c>
      <c r="D204" s="104">
        <f>IF(ISERROR(HLOOKUP(J204,$Q$54:$AR$55,2)),0,HLOOKUP(J204,$Q$54:$AR$55,2))</f>
        <v>0</v>
      </c>
      <c r="E204" s="104">
        <f>IF(ISERROR(HLOOKUP(K204,$Q$54:$AR$55,2)),0,HLOOKUP(K204,$Q$54:$AR$55,2))</f>
        <v>0</v>
      </c>
      <c r="F204" s="104">
        <f>IF(ISERROR(HLOOKUP(L204,$Q$54:$AR$55,2)),0,HLOOKUP(L204,$Q$54:$AR$55,2))</f>
        <v>0</v>
      </c>
      <c r="G204" s="396">
        <f>SUM($F$27:$F$32)</f>
        <v>0</v>
      </c>
      <c r="H204" s="103">
        <f>SUM($F$27:$F$32)+$J$51</f>
        <v>0</v>
      </c>
      <c r="I204" s="103">
        <f>SUM($F$27:$F$32)+$J$51+$J$60</f>
        <v>0</v>
      </c>
      <c r="J204" s="21">
        <f t="shared" si="15"/>
        <v>0</v>
      </c>
      <c r="K204" s="21">
        <f t="shared" si="16"/>
        <v>0</v>
      </c>
      <c r="L204" s="21">
        <f t="shared" si="17"/>
        <v>0</v>
      </c>
      <c r="M204" s="346" t="s">
        <v>662</v>
      </c>
      <c r="P204" s="44"/>
      <c r="Q204" s="44"/>
    </row>
    <row r="205" spans="1:33" ht="13.5" hidden="1" x14ac:dyDescent="0.15">
      <c r="A205" s="259">
        <v>73</v>
      </c>
      <c r="B205" s="345" t="s">
        <v>663</v>
      </c>
      <c r="C205" s="21" t="s">
        <v>527</v>
      </c>
      <c r="D205" s="104">
        <f t="shared" ref="D205:F206" si="18">IF(ISERROR(HLOOKUP(J205,$Q$26:$AY$27,2)),0,HLOOKUP(J205,$Q$26:$AY$27,2))</f>
        <v>0</v>
      </c>
      <c r="E205" s="104">
        <f t="shared" si="18"/>
        <v>0</v>
      </c>
      <c r="F205" s="104">
        <f t="shared" si="18"/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15"/>
        <v>0</v>
      </c>
      <c r="K205" s="21">
        <f t="shared" si="16"/>
        <v>0</v>
      </c>
      <c r="L205" s="21">
        <f t="shared" si="17"/>
        <v>0</v>
      </c>
      <c r="M205" s="346" t="s">
        <v>662</v>
      </c>
      <c r="P205" s="44"/>
      <c r="Q205" s="44"/>
    </row>
    <row r="206" spans="1:33" ht="13.5" hidden="1" x14ac:dyDescent="0.15">
      <c r="A206" s="259">
        <v>74</v>
      </c>
      <c r="B206" s="345" t="s">
        <v>664</v>
      </c>
      <c r="C206" s="21" t="s">
        <v>527</v>
      </c>
      <c r="D206" s="104">
        <f t="shared" si="18"/>
        <v>0</v>
      </c>
      <c r="E206" s="104">
        <f t="shared" si="18"/>
        <v>0</v>
      </c>
      <c r="F206" s="104">
        <f t="shared" si="18"/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15"/>
        <v>0</v>
      </c>
      <c r="K206" s="21">
        <f t="shared" si="16"/>
        <v>0</v>
      </c>
      <c r="L206" s="21">
        <f t="shared" si="17"/>
        <v>0</v>
      </c>
      <c r="M206" s="346" t="s">
        <v>662</v>
      </c>
      <c r="P206" s="44"/>
      <c r="Q206" s="44"/>
    </row>
    <row r="207" spans="1:33" ht="13.5" hidden="1" x14ac:dyDescent="0.15">
      <c r="A207" s="259">
        <v>75</v>
      </c>
      <c r="B207" s="345" t="s">
        <v>665</v>
      </c>
      <c r="C207" s="21" t="s">
        <v>547</v>
      </c>
      <c r="D207" s="104">
        <f>IF(ISERROR(HLOOKUP(J207,$Q$73:$W$74,2)),0,HLOOKUP(J207,$Q$73:$W$74,2))</f>
        <v>0</v>
      </c>
      <c r="E207" s="104">
        <f>IF(ISERROR(HLOOKUP(K207,$Q$73:$W$74,2)),0,HLOOKUP(K207,$Q$73:$W$74,2))</f>
        <v>0</v>
      </c>
      <c r="F207" s="104">
        <f>IF(ISERROR(HLOOKUP(L207,$Q$73:$W$74,2)),0,HLOOKUP(L207,$Q$73:$W$74,2))</f>
        <v>0</v>
      </c>
      <c r="G207" s="396">
        <f>SUM($F$27:$F$32)</f>
        <v>0</v>
      </c>
      <c r="H207" s="103">
        <f>SUM($F$27:$F$32)+$J$51</f>
        <v>0</v>
      </c>
      <c r="I207" s="103">
        <f>SUM($F$27:$F$32)+$J$51+$J$60</f>
        <v>0</v>
      </c>
      <c r="J207" s="21">
        <f t="shared" si="15"/>
        <v>0</v>
      </c>
      <c r="K207" s="21">
        <f t="shared" si="16"/>
        <v>0</v>
      </c>
      <c r="L207" s="21">
        <f t="shared" si="17"/>
        <v>0</v>
      </c>
      <c r="M207" s="346" t="s">
        <v>662</v>
      </c>
      <c r="P207" s="44"/>
      <c r="Q207" s="44"/>
    </row>
    <row r="208" spans="1:33" ht="13.5" hidden="1" x14ac:dyDescent="0.15">
      <c r="A208" s="259">
        <v>76</v>
      </c>
      <c r="B208" s="345" t="s">
        <v>689</v>
      </c>
      <c r="C208" s="21" t="s">
        <v>613</v>
      </c>
      <c r="D208" s="104">
        <f>IF(ISERROR(HLOOKUP(J208,$Q$48:$AB$49,2)),0,HLOOKUP(J208,$Q$48:$AB$49,2))</f>
        <v>0</v>
      </c>
      <c r="E208" s="104">
        <f>IF(ISERROR(HLOOKUP(K208,$Q$48:$AB$49,2)),0,HLOOKUP(K208,$Q$48:$AB$49,2))</f>
        <v>0</v>
      </c>
      <c r="F208" s="104">
        <f>IF(ISERROR(HLOOKUP(L208,$Q$48:$AB$49,2)),0,HLOOKUP(L208,$Q$48:$AB$49,2))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15"/>
        <v>0</v>
      </c>
      <c r="K208" s="21">
        <f t="shared" si="16"/>
        <v>0</v>
      </c>
      <c r="L208" s="21">
        <f t="shared" si="17"/>
        <v>0</v>
      </c>
      <c r="M208" s="346" t="s">
        <v>662</v>
      </c>
      <c r="P208" s="44"/>
      <c r="Q208" s="44"/>
    </row>
    <row r="209" spans="1:32" ht="13.5" hidden="1" x14ac:dyDescent="0.15">
      <c r="A209" s="259">
        <v>77</v>
      </c>
      <c r="B209" s="345" t="s">
        <v>666</v>
      </c>
      <c r="C209" s="21" t="s">
        <v>613</v>
      </c>
      <c r="D209" s="104">
        <f>IF(ISERROR(HLOOKUP(J209,$Q$48:$AA$49,2)),0,HLOOKUP(J209,$Q$48:$AA$49,2))</f>
        <v>0</v>
      </c>
      <c r="E209" s="104">
        <f>IF(ISERROR(HLOOKUP(K209,$Q$48:$AA$49,2)),0,HLOOKUP(K209,$Q$48:$AA$49,2))</f>
        <v>0</v>
      </c>
      <c r="F209" s="104">
        <f>IF(ISERROR(HLOOKUP(L209,$Q$48:$AA$49,2)),0,HLOOKUP(L209,$Q$48:$AA$49,2))</f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15"/>
        <v>0</v>
      </c>
      <c r="K209" s="21">
        <f t="shared" si="16"/>
        <v>0</v>
      </c>
      <c r="L209" s="21">
        <f t="shared" si="17"/>
        <v>0</v>
      </c>
      <c r="M209" s="346" t="s">
        <v>662</v>
      </c>
      <c r="P209" s="44"/>
      <c r="Q209" s="44"/>
    </row>
    <row r="210" spans="1:32" ht="13.5" hidden="1" x14ac:dyDescent="0.15">
      <c r="A210" s="259">
        <v>78</v>
      </c>
      <c r="B210" s="345" t="s">
        <v>667</v>
      </c>
      <c r="C210" s="21" t="s">
        <v>613</v>
      </c>
      <c r="D210" s="104">
        <f>IF(ISERROR(HLOOKUP(J210,$Q$57:$AA$58,2)),0,HLOOKUP(J210,$Q$57:$AA$58,2))</f>
        <v>0</v>
      </c>
      <c r="E210" s="104">
        <f>IF(ISERROR(HLOOKUP(K210,$Q$57:$AA$58,2)),0,HLOOKUP(K210,$Q$57:$AA$58,2))</f>
        <v>0</v>
      </c>
      <c r="F210" s="104">
        <f>IF(ISERROR(HLOOKUP(L210,$Q$57:$AA$58,2)),0,HLOOKUP(L210,$Q$57:$AA$58,2))</f>
        <v>0</v>
      </c>
      <c r="G210" s="396">
        <f>SUM($F$29:$F$32)</f>
        <v>0</v>
      </c>
      <c r="H210" s="103">
        <f>SUM($F$29:$F$32)+$J$51</f>
        <v>0</v>
      </c>
      <c r="I210" s="103">
        <f>SUM($F$29:$F$32)+$J$51+$J$60</f>
        <v>0</v>
      </c>
      <c r="J210" s="21">
        <f t="shared" si="15"/>
        <v>0</v>
      </c>
      <c r="K210" s="21">
        <f t="shared" si="16"/>
        <v>0</v>
      </c>
      <c r="L210" s="21">
        <f t="shared" si="17"/>
        <v>0</v>
      </c>
      <c r="M210" s="346" t="s">
        <v>662</v>
      </c>
      <c r="P210" s="44"/>
      <c r="Q210" s="44"/>
    </row>
    <row r="211" spans="1:32" s="308" customFormat="1" ht="13.5" hidden="1" x14ac:dyDescent="0.15">
      <c r="A211" s="304">
        <v>79</v>
      </c>
      <c r="B211" s="349" t="s">
        <v>668</v>
      </c>
      <c r="C211" s="308" t="s">
        <v>613</v>
      </c>
      <c r="D211" s="305">
        <f>IF(ISERROR(HLOOKUP(J211,$Q$39:$AA$40,2)),0,HLOOKUP(J211,$Q$39:$AA$40,2))</f>
        <v>0</v>
      </c>
      <c r="E211" s="305">
        <f>IF(ISERROR(HLOOKUP(K211,$Q$39:$AA$40,2)),0,HLOOKUP(K211,$Q$39:$AA$40,2))</f>
        <v>0</v>
      </c>
      <c r="F211" s="305">
        <f>IF(ISERROR(HLOOKUP(L211,$Q$39:$AA$40,2)),0,HLOOKUP(L211,$Q$39:$AA$40,2))</f>
        <v>0</v>
      </c>
      <c r="G211" s="399">
        <f>$N$211+$F$33</f>
        <v>0</v>
      </c>
      <c r="H211" s="307">
        <f>$G$211+$J$51</f>
        <v>0</v>
      </c>
      <c r="I211" s="307">
        <f>$N$211+$J$51+$J$60</f>
        <v>0</v>
      </c>
      <c r="J211" s="308">
        <f t="shared" si="15"/>
        <v>0</v>
      </c>
      <c r="K211" s="308">
        <f t="shared" si="16"/>
        <v>0</v>
      </c>
      <c r="L211" s="308">
        <f t="shared" si="17"/>
        <v>0</v>
      </c>
      <c r="M211" s="352" t="s">
        <v>662</v>
      </c>
      <c r="N211" s="308">
        <f>IF($C$30&gt;=$A$36,$E$30-$C$30+1,IF($C$31&gt;=$A$36,$E$31-$C$31+1,IF($C$32&gt;=$A$36,$E$32-$C$32+1,IF($E$30&lt;&gt;0,$E$30-$A$36+1,IF($E$31&lt;&gt;0,$E$31-$A$36+1,IF($E$32&lt;&gt;0,$E$32-$A$36+1,0))))))</f>
        <v>0</v>
      </c>
      <c r="O211" s="309"/>
      <c r="P211" s="353"/>
      <c r="Q211" s="353"/>
      <c r="AD211" s="310"/>
      <c r="AE211" s="310"/>
      <c r="AF211" s="310"/>
    </row>
    <row r="212" spans="1:32" ht="13.5" hidden="1" x14ac:dyDescent="0.15">
      <c r="A212" s="259">
        <v>80</v>
      </c>
      <c r="B212" s="345" t="s">
        <v>669</v>
      </c>
      <c r="C212" s="21" t="s">
        <v>547</v>
      </c>
      <c r="D212" s="104">
        <f>IF(ISERROR(HLOOKUP(J212,$Q$73:$V$74,2)),0,HLOOKUP(J212,$Q$73:$V$74,2))</f>
        <v>0</v>
      </c>
      <c r="E212" s="104">
        <f>IF(ISERROR(HLOOKUP(K212,$Q$73:$V$74,2)),0,HLOOKUP(K212,$Q$73:$V$74,2))</f>
        <v>0</v>
      </c>
      <c r="F212" s="104">
        <f>IF(ISERROR(HLOOKUP(L212,$Q$73:$V$74,2)),0,HLOOKUP(L212,$Q$73:$V$74,2))</f>
        <v>0</v>
      </c>
      <c r="G212" s="396">
        <f>SUM($F$27:$F$32)</f>
        <v>0</v>
      </c>
      <c r="H212" s="103">
        <f>SUM($F$27:$F$32)+$J$51</f>
        <v>0</v>
      </c>
      <c r="I212" s="103">
        <f>SUM($F$27:$F$32)+$J$51+$J$60</f>
        <v>0</v>
      </c>
      <c r="J212" s="21">
        <f t="shared" si="15"/>
        <v>0</v>
      </c>
      <c r="K212" s="21">
        <f t="shared" si="16"/>
        <v>0</v>
      </c>
      <c r="L212" s="21">
        <f t="shared" si="17"/>
        <v>0</v>
      </c>
      <c r="M212" s="346" t="s">
        <v>662</v>
      </c>
      <c r="P212" s="44"/>
      <c r="Q212" s="44"/>
    </row>
    <row r="213" spans="1:32" ht="13.5" hidden="1" x14ac:dyDescent="0.15">
      <c r="A213" s="259" t="s">
        <v>703</v>
      </c>
      <c r="B213" s="345" t="s">
        <v>701</v>
      </c>
      <c r="C213" s="21" t="s">
        <v>702</v>
      </c>
      <c r="D213" s="148">
        <f>IF(J213&lt;=10,0.1,IF(J213&lt;=20,0.2,0.3))</f>
        <v>0.1</v>
      </c>
      <c r="E213" s="148">
        <f>IF(K213&lt;=10,0.1,IF(K213&lt;=20,0.2,0.3))</f>
        <v>0.1</v>
      </c>
      <c r="F213" s="148">
        <f>IF(L213&lt;=10,0.1,IF(L213&lt;=20,0.2,0.3))</f>
        <v>0.1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15"/>
        <v>0</v>
      </c>
      <c r="K213" s="21">
        <f t="shared" si="16"/>
        <v>0</v>
      </c>
      <c r="L213" s="21">
        <f t="shared" si="17"/>
        <v>0</v>
      </c>
      <c r="M213" s="346" t="s">
        <v>662</v>
      </c>
      <c r="P213" s="44"/>
      <c r="Q213" s="44"/>
    </row>
    <row r="214" spans="1:32" ht="13.5" hidden="1" x14ac:dyDescent="0.15">
      <c r="A214" s="259">
        <v>81</v>
      </c>
      <c r="B214" s="345" t="s">
        <v>670</v>
      </c>
      <c r="C214" s="21" t="s">
        <v>547</v>
      </c>
      <c r="D214" s="104">
        <f>IF(ISERROR(HLOOKUP(J214,$Q$73:$W$74,2)),0,HLOOKUP(J214,$Q$73:$W$74,2))</f>
        <v>0</v>
      </c>
      <c r="E214" s="104">
        <f>IF(ISERROR(HLOOKUP(K214,$Q$73:$W$74,2)),0,HLOOKUP(K214,$Q$73:$W$74,2))</f>
        <v>0</v>
      </c>
      <c r="F214" s="104">
        <f>IF(ISERROR(HLOOKUP(L214,$Q$73:$W$74,2)),0,HLOOKUP(L214,$Q$73:$W$74,2))</f>
        <v>0</v>
      </c>
      <c r="G214" s="396">
        <f>SUM($F$27:$F$33)</f>
        <v>0</v>
      </c>
      <c r="H214" s="103">
        <f>SUM($F$27:$F$33)+$J$51</f>
        <v>0</v>
      </c>
      <c r="I214" s="103">
        <f>SUM($F$27:$F$33)+$J$51+$J$60</f>
        <v>0</v>
      </c>
      <c r="J214" s="21">
        <f t="shared" si="15"/>
        <v>0</v>
      </c>
      <c r="K214" s="21">
        <f t="shared" si="16"/>
        <v>0</v>
      </c>
      <c r="L214" s="21">
        <f t="shared" si="17"/>
        <v>0</v>
      </c>
      <c r="M214" s="346" t="s">
        <v>662</v>
      </c>
      <c r="P214" s="44"/>
      <c r="Q214" s="44"/>
    </row>
    <row r="215" spans="1:32" ht="13.5" hidden="1" x14ac:dyDescent="0.15">
      <c r="A215" s="259">
        <v>82</v>
      </c>
      <c r="B215" s="345" t="s">
        <v>671</v>
      </c>
      <c r="C215" s="21" t="s">
        <v>613</v>
      </c>
      <c r="D215" s="104">
        <f>IF(ISERROR(HLOOKUP(J215,$Q$42:$AA$43,2)),0,HLOOKUP(J215,$Q$42:$AA$43,2))</f>
        <v>0</v>
      </c>
      <c r="E215" s="104">
        <f>IF(ISERROR(HLOOKUP(K215,$Q$42:$AA$43,2)),0,HLOOKUP(K215,$Q$42:$AA$43,2))</f>
        <v>0</v>
      </c>
      <c r="F215" s="104">
        <f>IF(ISERROR(HLOOKUP(L215,$Q$42:$AA$43,2)),0,HLOOKUP(L215,$Q$42:$AA$43,2))</f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15"/>
        <v>0</v>
      </c>
      <c r="K215" s="21">
        <f t="shared" si="16"/>
        <v>0</v>
      </c>
      <c r="L215" s="21">
        <f t="shared" si="17"/>
        <v>0</v>
      </c>
      <c r="M215" s="346" t="s">
        <v>662</v>
      </c>
      <c r="P215" s="44"/>
      <c r="Q215" s="44"/>
    </row>
    <row r="216" spans="1:32" ht="13.5" hidden="1" x14ac:dyDescent="0.15">
      <c r="A216" s="259">
        <v>83</v>
      </c>
      <c r="B216" s="345" t="s">
        <v>672</v>
      </c>
      <c r="C216" s="21"/>
      <c r="E216" s="40"/>
      <c r="J216" s="21">
        <f t="shared" si="15"/>
        <v>0</v>
      </c>
      <c r="K216" s="21">
        <f t="shared" si="16"/>
        <v>0</v>
      </c>
      <c r="L216" s="21">
        <f t="shared" si="17"/>
        <v>0</v>
      </c>
      <c r="M216" s="346" t="s">
        <v>662</v>
      </c>
      <c r="P216" s="44"/>
      <c r="Q216" s="44"/>
    </row>
    <row r="217" spans="1:32" ht="13.5" hidden="1" x14ac:dyDescent="0.15">
      <c r="A217" s="259">
        <v>84</v>
      </c>
      <c r="B217" s="108" t="s">
        <v>673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15"/>
        <v>0</v>
      </c>
      <c r="K217" s="21">
        <f t="shared" si="16"/>
        <v>0</v>
      </c>
      <c r="L217" s="21">
        <f t="shared" si="17"/>
        <v>0</v>
      </c>
      <c r="M217" s="346" t="s">
        <v>662</v>
      </c>
      <c r="N217" s="104">
        <f>IF(ISERROR(HLOOKUP(L217,$Q$48:$AB$49,2)),0,HLOOKUP(L217,$Q$48:$AB$49,2))</f>
        <v>0</v>
      </c>
      <c r="P217" s="44"/>
      <c r="Q217" s="44"/>
    </row>
    <row r="218" spans="1:32" ht="13.5" hidden="1" x14ac:dyDescent="0.15">
      <c r="A218" s="259">
        <v>85</v>
      </c>
      <c r="B218" s="108" t="s">
        <v>674</v>
      </c>
      <c r="C218" s="21" t="s">
        <v>527</v>
      </c>
      <c r="D218" s="104">
        <f>IF(ISERROR(HLOOKUP(J218,$Q$35:$AY$36,2)),0,HLOOKUP(J218,$Q$35:$AY$36,2))</f>
        <v>0</v>
      </c>
      <c r="E218" s="104">
        <f>IF(ISERROR(HLOOKUP(K218,$Q$35:$AY$36,2)),0,HLOOKUP(K218,$Q$35:$AY$36,2))</f>
        <v>0</v>
      </c>
      <c r="F218" s="104">
        <f>IF(ISERROR(HLOOKUP(L218,$Q$35:$AY$36,2)),0,HLOOKUP(L218,$Q$35:$AY$36,2))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ref="J218:J225" si="19">ROUNDDOWN(G218/365,0)</f>
        <v>0</v>
      </c>
      <c r="K218" s="21">
        <f t="shared" ref="K218:K225" si="20">ROUNDDOWN(H218/365,0)</f>
        <v>0</v>
      </c>
      <c r="L218" s="21">
        <f t="shared" ref="L218:L225" si="21">ROUNDDOWN(I218/365,0)</f>
        <v>0</v>
      </c>
      <c r="M218" s="346" t="s">
        <v>662</v>
      </c>
      <c r="P218" s="44"/>
      <c r="Q218" s="44"/>
    </row>
    <row r="219" spans="1:32" ht="13.5" hidden="1" x14ac:dyDescent="0.15">
      <c r="A219" s="259">
        <v>86</v>
      </c>
      <c r="B219" s="108" t="s">
        <v>675</v>
      </c>
      <c r="C219" s="21" t="s">
        <v>613</v>
      </c>
      <c r="D219" s="104">
        <f>IF(ISERROR(HLOOKUP(J219,$Q$60:$AC$61,2)),0,HLOOKUP(J219,$Q$60:$AC$61,2))</f>
        <v>0</v>
      </c>
      <c r="E219" s="104">
        <f>IF(ISERROR(HLOOKUP(K219,$Q$60:$AC$61,2)),0,HLOOKUP(K219,$Q$60:$AC$61,2))</f>
        <v>0</v>
      </c>
      <c r="F219" s="104">
        <f>IF(ISERROR(HLOOKUP(L219,$Q$60:$AC$61,2)),0,HLOOKUP(L219,$Q$60:$AC$61,2))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19"/>
        <v>0</v>
      </c>
      <c r="K219" s="21">
        <f t="shared" si="20"/>
        <v>0</v>
      </c>
      <c r="L219" s="21">
        <f t="shared" si="21"/>
        <v>0</v>
      </c>
      <c r="M219" s="346" t="s">
        <v>662</v>
      </c>
      <c r="P219" s="44"/>
      <c r="Q219" s="44"/>
    </row>
    <row r="220" spans="1:32" ht="13.5" hidden="1" x14ac:dyDescent="0.15">
      <c r="A220" s="259">
        <v>87</v>
      </c>
      <c r="B220" s="108" t="s">
        <v>677</v>
      </c>
      <c r="C220" s="21"/>
      <c r="D220" s="21"/>
      <c r="J220" s="21">
        <f t="shared" si="19"/>
        <v>0</v>
      </c>
      <c r="K220" s="21">
        <f t="shared" si="20"/>
        <v>0</v>
      </c>
      <c r="L220" s="21">
        <f t="shared" si="21"/>
        <v>0</v>
      </c>
      <c r="M220" s="346" t="s">
        <v>662</v>
      </c>
      <c r="P220" s="44"/>
      <c r="Q220" s="44"/>
    </row>
    <row r="221" spans="1:32" ht="13.5" hidden="1" x14ac:dyDescent="0.15">
      <c r="A221" s="259">
        <v>88</v>
      </c>
      <c r="B221" s="108" t="s">
        <v>678</v>
      </c>
      <c r="C221" s="21" t="s">
        <v>613</v>
      </c>
      <c r="D221" s="104">
        <f>IF(ISERROR(HLOOKUP(J221,$Q$39:$AA$40,2)),0,HLOOKUP(J221,$Q$39:$AA$40,2))</f>
        <v>0</v>
      </c>
      <c r="E221" s="104">
        <f>IF(ISERROR(HLOOKUP(K221,$Q$39:$AA$40,2)),0,HLOOKUP(K221,$Q$39:$AA$40,2))</f>
        <v>0</v>
      </c>
      <c r="F221" s="104">
        <f>IF(ISERROR(HLOOKUP(L221,$Q$39:$AA$40,2)),0,HLOOKUP(L221,$Q$39:$AA$40,2))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19"/>
        <v>0</v>
      </c>
      <c r="K221" s="21">
        <f t="shared" si="20"/>
        <v>0</v>
      </c>
      <c r="L221" s="21">
        <f t="shared" si="21"/>
        <v>0</v>
      </c>
      <c r="M221" s="346" t="s">
        <v>662</v>
      </c>
      <c r="P221" s="44"/>
      <c r="Q221" s="44"/>
    </row>
    <row r="222" spans="1:32" ht="13.5" hidden="1" x14ac:dyDescent="0.15">
      <c r="A222" s="259">
        <v>89</v>
      </c>
      <c r="B222" s="108" t="s">
        <v>679</v>
      </c>
      <c r="C222" s="21" t="s">
        <v>613</v>
      </c>
      <c r="D222" s="104">
        <f>IF(ISERROR(HLOOKUP(J222,$Q$48:$V$49,2)),0,HLOOKUP(J222,$Q$48:$V$49,2))</f>
        <v>0</v>
      </c>
      <c r="E222" s="104">
        <f>IF(ISERROR(HLOOKUP(K222,$Q$48:$V$49,2)),0,HLOOKUP(K222,$Q$48:$V$49,2))</f>
        <v>0</v>
      </c>
      <c r="F222" s="104">
        <f>IF(ISERROR(HLOOKUP(L222,$Q$48:$V$49,2)),0,HLOOKUP(L222,$Q$48:$V$49,2))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19"/>
        <v>0</v>
      </c>
      <c r="K222" s="21">
        <f t="shared" si="20"/>
        <v>0</v>
      </c>
      <c r="L222" s="21">
        <f t="shared" si="21"/>
        <v>0</v>
      </c>
      <c r="M222" s="346" t="s">
        <v>662</v>
      </c>
      <c r="P222" s="44"/>
      <c r="Q222" s="44"/>
    </row>
    <row r="223" spans="1:32" ht="13.5" hidden="1" x14ac:dyDescent="0.15">
      <c r="A223" s="259">
        <v>90</v>
      </c>
      <c r="B223" s="108" t="s">
        <v>680</v>
      </c>
      <c r="C223" s="21" t="s">
        <v>527</v>
      </c>
      <c r="D223" s="104">
        <f>IF(ISERROR(HLOOKUP(J223,$Q$26:$AY$27,2)),0,HLOOKUP(J223,$Q$26:$AY$27,2))</f>
        <v>0</v>
      </c>
      <c r="E223" s="104">
        <f>IF(ISERROR(HLOOKUP(K223,$Q$26:$AY$27,2)),0,HLOOKUP(K223,$Q$26:$AY$27,2))</f>
        <v>0</v>
      </c>
      <c r="F223" s="104">
        <f>IF(ISERROR(HLOOKUP(L223,$Q$26:$AY$27,2)),0,HLOOKUP(L223,$Q$26:$AY$27,2))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19"/>
        <v>0</v>
      </c>
      <c r="K223" s="21">
        <f t="shared" si="20"/>
        <v>0</v>
      </c>
      <c r="L223" s="21">
        <f t="shared" si="21"/>
        <v>0</v>
      </c>
      <c r="M223" s="346" t="s">
        <v>662</v>
      </c>
      <c r="P223" s="44"/>
      <c r="Q223" s="44"/>
    </row>
    <row r="224" spans="1:32" ht="13.5" hidden="1" x14ac:dyDescent="0.15">
      <c r="A224" s="259">
        <v>91</v>
      </c>
      <c r="B224" s="108" t="s">
        <v>681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19"/>
        <v>0</v>
      </c>
      <c r="K224" s="21">
        <f t="shared" si="20"/>
        <v>0</v>
      </c>
      <c r="L224" s="21">
        <f t="shared" si="21"/>
        <v>0</v>
      </c>
      <c r="M224" s="346" t="s">
        <v>662</v>
      </c>
      <c r="P224" s="44"/>
      <c r="Q224" s="44"/>
    </row>
    <row r="225" spans="1:40" ht="13.5" hidden="1" x14ac:dyDescent="0.15">
      <c r="A225" s="259">
        <v>92</v>
      </c>
      <c r="B225" s="108" t="s">
        <v>682</v>
      </c>
      <c r="C225" s="21" t="s">
        <v>613</v>
      </c>
      <c r="D225" s="104">
        <f>IF(ISERROR(HLOOKUP(J225,$Q$42:$Z$43,2)),0,HLOOKUP(J225,$Q$42:$Z$43,2))</f>
        <v>0</v>
      </c>
      <c r="E225" s="104">
        <f>IF(ISERROR(HLOOKUP(K225,$Q$42:$Z$43,2)),0,HLOOKUP(K225,$Q$42:$Z$43,2))</f>
        <v>0</v>
      </c>
      <c r="F225" s="104">
        <f>IF(ISERROR(HLOOKUP(L225,$Q$42:$Z$43,2)),0,HLOOKUP(L225,$Q$42:$Z$43,2))</f>
        <v>0</v>
      </c>
      <c r="G225" s="396">
        <f>SUM($F$30:$F$32)</f>
        <v>0</v>
      </c>
      <c r="H225" s="103">
        <f>SUM($F$30:$F$32)+$J$51</f>
        <v>0</v>
      </c>
      <c r="I225" s="103">
        <f>SUM($F$30:$F$32)+$J$51+$J$60</f>
        <v>0</v>
      </c>
      <c r="J225" s="21">
        <f t="shared" si="19"/>
        <v>0</v>
      </c>
      <c r="K225" s="21">
        <f t="shared" si="20"/>
        <v>0</v>
      </c>
      <c r="L225" s="21">
        <f t="shared" si="21"/>
        <v>0</v>
      </c>
      <c r="M225" s="346" t="s">
        <v>662</v>
      </c>
      <c r="P225" s="44"/>
      <c r="Q225" s="44"/>
    </row>
    <row r="226" spans="1:40" ht="13.5" hidden="1" x14ac:dyDescent="0.15">
      <c r="B226" s="10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357"/>
      <c r="N226" s="54"/>
      <c r="O226" s="258"/>
      <c r="P226" s="44"/>
      <c r="Q226" s="44"/>
    </row>
    <row r="227" spans="1:40" ht="13.5" hidden="1" x14ac:dyDescent="0.15">
      <c r="B227" s="248" t="s">
        <v>720</v>
      </c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258"/>
    </row>
    <row r="228" spans="1:40" ht="13.5" hidden="1" x14ac:dyDescent="0.15">
      <c r="A228" s="259">
        <v>1</v>
      </c>
      <c r="B228" s="51" t="s">
        <v>550</v>
      </c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258"/>
    </row>
    <row r="229" spans="1:40" ht="13.5" hidden="1" x14ac:dyDescent="0.15">
      <c r="A229" s="259" t="s">
        <v>721</v>
      </c>
      <c r="B229" s="51" t="s">
        <v>615</v>
      </c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58"/>
    </row>
    <row r="230" spans="1:40" ht="13.5" hidden="1" x14ac:dyDescent="0.15">
      <c r="A230" s="259">
        <v>2</v>
      </c>
      <c r="B230" s="338" t="s">
        <v>617</v>
      </c>
      <c r="C230" s="109"/>
      <c r="D230" s="109"/>
      <c r="E230" s="110"/>
      <c r="F230" s="358"/>
      <c r="G230" s="111"/>
      <c r="H230" s="111"/>
      <c r="I230" s="111"/>
      <c r="J230" s="46"/>
      <c r="K230" s="46"/>
      <c r="L230" s="46"/>
      <c r="M230" s="46"/>
      <c r="N230" s="9"/>
      <c r="O230" s="258"/>
    </row>
    <row r="231" spans="1:40" ht="13.5" hidden="1" x14ac:dyDescent="0.15">
      <c r="A231" s="259">
        <v>3</v>
      </c>
      <c r="B231" s="345" t="s">
        <v>645</v>
      </c>
      <c r="C231" s="104"/>
      <c r="D231" s="105"/>
      <c r="E231" s="106"/>
      <c r="F231" s="47"/>
      <c r="G231" s="47"/>
      <c r="H231" s="47"/>
      <c r="I231" s="47"/>
      <c r="J231" s="46"/>
      <c r="K231" s="46"/>
      <c r="L231" s="46"/>
      <c r="M231" s="46"/>
      <c r="N231" s="46"/>
      <c r="O231" s="258"/>
    </row>
    <row r="232" spans="1:40" ht="13.5" hidden="1" x14ac:dyDescent="0.15">
      <c r="A232" s="259">
        <v>4</v>
      </c>
      <c r="B232" s="338" t="s">
        <v>618</v>
      </c>
      <c r="C232" s="104"/>
      <c r="D232" s="104"/>
      <c r="E232" s="104"/>
      <c r="F232" s="112"/>
      <c r="G232" s="112"/>
      <c r="H232" s="112"/>
      <c r="I232" s="112"/>
      <c r="J232" s="46"/>
      <c r="K232" s="46"/>
      <c r="L232" s="46"/>
      <c r="M232" s="46"/>
      <c r="N232" s="46"/>
      <c r="O232" s="258"/>
    </row>
    <row r="233" spans="1:40" ht="13.5" hidden="1" x14ac:dyDescent="0.15">
      <c r="A233" s="259">
        <v>5</v>
      </c>
      <c r="B233" s="345" t="s">
        <v>646</v>
      </c>
      <c r="C233" s="104"/>
      <c r="D233" s="104"/>
      <c r="E233" s="104"/>
      <c r="F233" s="112"/>
      <c r="G233" s="112"/>
      <c r="H233" s="112"/>
      <c r="I233" s="112"/>
      <c r="J233" s="46"/>
      <c r="K233" s="46"/>
      <c r="L233" s="46"/>
      <c r="M233" s="46"/>
      <c r="N233" s="46"/>
      <c r="O233" s="258"/>
    </row>
    <row r="234" spans="1:40" ht="13.5" hidden="1" x14ac:dyDescent="0.15">
      <c r="A234" s="259">
        <v>6</v>
      </c>
      <c r="B234" s="345" t="s">
        <v>647</v>
      </c>
      <c r="C234" s="104"/>
      <c r="D234" s="104"/>
      <c r="E234" s="104"/>
      <c r="F234" s="112"/>
      <c r="G234" s="112"/>
      <c r="H234" s="112"/>
      <c r="I234" s="112"/>
      <c r="J234" s="46"/>
      <c r="K234" s="46"/>
      <c r="L234" s="46"/>
      <c r="M234" s="46"/>
      <c r="N234" s="46"/>
      <c r="O234" s="258"/>
    </row>
    <row r="235" spans="1:40" ht="13.5" hidden="1" x14ac:dyDescent="0.15">
      <c r="A235" s="259">
        <v>7</v>
      </c>
      <c r="B235" s="51" t="s">
        <v>551</v>
      </c>
      <c r="C235" s="104"/>
      <c r="D235" s="104"/>
      <c r="E235" s="104"/>
      <c r="F235" s="112"/>
      <c r="G235" s="112"/>
      <c r="H235" s="112"/>
      <c r="I235" s="112"/>
      <c r="J235" s="46"/>
      <c r="K235" s="46"/>
      <c r="L235" s="46"/>
      <c r="M235" s="46"/>
      <c r="N235" s="46"/>
      <c r="O235" s="258"/>
    </row>
    <row r="236" spans="1:40" ht="13.5" hidden="1" x14ac:dyDescent="0.15">
      <c r="A236" s="259">
        <v>8</v>
      </c>
      <c r="B236" s="51" t="s">
        <v>552</v>
      </c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258"/>
    </row>
    <row r="237" spans="1:40" ht="13.5" hidden="1" x14ac:dyDescent="0.15">
      <c r="A237" s="259">
        <v>9</v>
      </c>
      <c r="B237" s="51" t="s">
        <v>553</v>
      </c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58"/>
      <c r="AH237" s="69"/>
      <c r="AI237" s="69"/>
      <c r="AJ237" s="69"/>
      <c r="AK237" s="69"/>
      <c r="AL237" s="69"/>
      <c r="AM237" s="69"/>
      <c r="AN237" s="69"/>
    </row>
    <row r="238" spans="1:40" ht="13.5" hidden="1" x14ac:dyDescent="0.15">
      <c r="A238" s="259" t="s">
        <v>722</v>
      </c>
      <c r="B238" s="51" t="s">
        <v>616</v>
      </c>
      <c r="C238" s="109"/>
      <c r="D238" s="109"/>
      <c r="E238" s="110"/>
      <c r="F238" s="358"/>
      <c r="G238" s="111"/>
      <c r="H238" s="111"/>
      <c r="I238" s="111"/>
      <c r="J238" s="46"/>
      <c r="K238" s="46"/>
      <c r="L238" s="46"/>
      <c r="M238" s="46"/>
      <c r="N238" s="9"/>
      <c r="O238" s="258"/>
      <c r="AH238" s="69"/>
      <c r="AI238" s="69"/>
      <c r="AJ238" s="69"/>
      <c r="AK238" s="69"/>
      <c r="AL238" s="69"/>
      <c r="AM238" s="69"/>
      <c r="AN238" s="69"/>
    </row>
    <row r="239" spans="1:40" ht="13.5" hidden="1" x14ac:dyDescent="0.15">
      <c r="A239" s="259">
        <v>10</v>
      </c>
      <c r="B239" s="338" t="s">
        <v>619</v>
      </c>
      <c r="C239" s="104"/>
      <c r="D239" s="105"/>
      <c r="E239" s="106"/>
      <c r="F239" s="46"/>
      <c r="G239" s="46"/>
      <c r="H239" s="46"/>
      <c r="I239" s="46"/>
      <c r="J239" s="46"/>
      <c r="K239" s="46"/>
      <c r="L239" s="46"/>
      <c r="M239" s="46"/>
      <c r="N239" s="46"/>
      <c r="O239" s="258"/>
      <c r="AH239" s="69"/>
      <c r="AI239" s="69"/>
      <c r="AJ239" s="69"/>
      <c r="AK239" s="69"/>
      <c r="AL239" s="69"/>
      <c r="AM239" s="69"/>
      <c r="AN239" s="69"/>
    </row>
    <row r="240" spans="1:40" ht="13.5" hidden="1" x14ac:dyDescent="0.15">
      <c r="A240" s="259">
        <v>11</v>
      </c>
      <c r="B240" s="345" t="s">
        <v>648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  <c r="AH240" s="69"/>
      <c r="AI240" s="69"/>
      <c r="AJ240" s="69"/>
      <c r="AK240" s="69"/>
      <c r="AL240" s="69"/>
      <c r="AM240" s="69"/>
      <c r="AN240" s="69"/>
    </row>
    <row r="241" spans="1:40" ht="13.5" hidden="1" x14ac:dyDescent="0.15">
      <c r="A241" s="259">
        <v>12</v>
      </c>
      <c r="B241" s="345" t="s">
        <v>649</v>
      </c>
      <c r="C241" s="104"/>
      <c r="D241" s="105"/>
      <c r="E241" s="106"/>
      <c r="F241" s="47"/>
      <c r="G241" s="111"/>
      <c r="H241" s="47"/>
      <c r="I241" s="47"/>
      <c r="J241" s="46"/>
      <c r="K241" s="46"/>
      <c r="L241" s="46"/>
      <c r="M241" s="46"/>
      <c r="N241" s="46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>
        <v>13</v>
      </c>
      <c r="B242" s="338" t="s">
        <v>620</v>
      </c>
      <c r="C242" s="104"/>
      <c r="D242" s="105"/>
      <c r="E242" s="106"/>
      <c r="F242" s="47"/>
      <c r="G242" s="111"/>
      <c r="H242" s="47"/>
      <c r="I242" s="47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14</v>
      </c>
      <c r="B243" s="345" t="s">
        <v>650</v>
      </c>
      <c r="C243" s="104"/>
      <c r="D243" s="105"/>
      <c r="E243" s="106"/>
      <c r="F243" s="47"/>
      <c r="G243" s="111"/>
      <c r="H243" s="47"/>
      <c r="I243" s="47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15</v>
      </c>
      <c r="B244" s="345" t="s">
        <v>651</v>
      </c>
      <c r="C244" s="104"/>
      <c r="D244" s="105"/>
      <c r="E244" s="106"/>
      <c r="F244" s="47"/>
      <c r="G244" s="111"/>
      <c r="H244" s="47"/>
      <c r="I244" s="47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16</v>
      </c>
      <c r="B245" s="339" t="s">
        <v>621</v>
      </c>
      <c r="C245" s="104"/>
      <c r="D245" s="105"/>
      <c r="E245" s="106"/>
      <c r="F245" s="112"/>
      <c r="G245" s="112"/>
      <c r="H245" s="112"/>
      <c r="I245" s="112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17</v>
      </c>
      <c r="B246" s="345" t="s">
        <v>652</v>
      </c>
      <c r="C246" s="104"/>
      <c r="D246" s="105"/>
      <c r="E246" s="106"/>
      <c r="F246" s="112"/>
      <c r="G246" s="112"/>
      <c r="H246" s="112"/>
      <c r="I246" s="112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18</v>
      </c>
      <c r="B247" s="345" t="s">
        <v>653</v>
      </c>
      <c r="C247" s="104"/>
      <c r="D247" s="104"/>
      <c r="E247" s="104"/>
      <c r="F247" s="112"/>
      <c r="G247" s="112"/>
      <c r="H247" s="112"/>
      <c r="I247" s="112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19</v>
      </c>
      <c r="B248" s="340" t="s">
        <v>622</v>
      </c>
      <c r="C248" s="104"/>
      <c r="D248" s="104"/>
      <c r="E248" s="104"/>
      <c r="F248" s="112"/>
      <c r="G248" s="112"/>
      <c r="H248" s="112"/>
      <c r="I248" s="112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20</v>
      </c>
      <c r="B249" s="345" t="s">
        <v>654</v>
      </c>
      <c r="C249" s="104"/>
      <c r="D249" s="104"/>
      <c r="E249" s="104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21</v>
      </c>
      <c r="B250" s="340" t="s">
        <v>623</v>
      </c>
      <c r="C250" s="104"/>
      <c r="D250" s="104"/>
      <c r="E250" s="104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22</v>
      </c>
      <c r="B251" s="345" t="s">
        <v>655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23</v>
      </c>
      <c r="B252" s="340" t="s">
        <v>624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24</v>
      </c>
      <c r="B253" s="340" t="s">
        <v>625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25</v>
      </c>
      <c r="B254" s="340" t="s">
        <v>626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26</v>
      </c>
      <c r="B255" s="51" t="s">
        <v>556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27</v>
      </c>
      <c r="B256" s="107" t="s">
        <v>549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28</v>
      </c>
      <c r="B257" s="340" t="s">
        <v>627</v>
      </c>
      <c r="C257" s="359"/>
      <c r="D257" s="111"/>
      <c r="E257" s="360"/>
      <c r="F257" s="112"/>
      <c r="G257" s="112"/>
      <c r="H257" s="112"/>
      <c r="I257" s="112"/>
      <c r="J257" s="46"/>
      <c r="K257" s="46"/>
      <c r="L257" s="46"/>
      <c r="M257" s="46"/>
      <c r="N257" s="361"/>
      <c r="O257" s="258"/>
    </row>
    <row r="258" spans="1:15" ht="13.5" hidden="1" x14ac:dyDescent="0.15">
      <c r="A258" s="259">
        <v>29</v>
      </c>
      <c r="B258" s="345" t="s">
        <v>663</v>
      </c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58"/>
    </row>
    <row r="259" spans="1:15" ht="13.5" hidden="1" x14ac:dyDescent="0.15">
      <c r="A259" s="259">
        <v>30</v>
      </c>
      <c r="B259" s="340" t="s">
        <v>628</v>
      </c>
      <c r="C259" s="109"/>
      <c r="D259" s="109"/>
      <c r="E259" s="110"/>
      <c r="F259" s="358"/>
      <c r="G259" s="111"/>
      <c r="H259" s="111"/>
      <c r="I259" s="111"/>
      <c r="J259" s="46"/>
      <c r="K259" s="46"/>
      <c r="L259" s="46"/>
      <c r="M259" s="46"/>
      <c r="N259" s="9"/>
      <c r="O259" s="258"/>
    </row>
    <row r="260" spans="1:15" ht="13.5" hidden="1" x14ac:dyDescent="0.15">
      <c r="A260" s="259">
        <v>31</v>
      </c>
      <c r="B260" s="51" t="s">
        <v>557</v>
      </c>
      <c r="C260" s="104"/>
      <c r="D260" s="105"/>
      <c r="E260" s="106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 t="s">
        <v>723</v>
      </c>
      <c r="B261" s="51" t="s">
        <v>614</v>
      </c>
      <c r="C261" s="104"/>
      <c r="D261" s="105"/>
      <c r="E261" s="106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32</v>
      </c>
      <c r="B262" s="345" t="s">
        <v>664</v>
      </c>
      <c r="C262" s="104"/>
      <c r="D262" s="105"/>
      <c r="E262" s="106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33</v>
      </c>
      <c r="B263" s="340" t="s">
        <v>629</v>
      </c>
      <c r="C263" s="104"/>
      <c r="D263" s="105"/>
      <c r="E263" s="106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34</v>
      </c>
      <c r="B264" s="345" t="s">
        <v>665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35</v>
      </c>
      <c r="B265" s="51" t="s">
        <v>559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36</v>
      </c>
      <c r="B266" s="51" t="s">
        <v>560</v>
      </c>
      <c r="C266" s="104"/>
      <c r="D266" s="104"/>
      <c r="E266" s="104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37</v>
      </c>
      <c r="B267" s="345" t="s">
        <v>689</v>
      </c>
      <c r="C267" s="104"/>
      <c r="D267" s="104"/>
      <c r="E267" s="104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38</v>
      </c>
      <c r="B268" s="345" t="s">
        <v>666</v>
      </c>
      <c r="C268" s="104"/>
      <c r="D268" s="104"/>
      <c r="E268" s="104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39</v>
      </c>
      <c r="B269" s="340" t="s">
        <v>630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40</v>
      </c>
      <c r="B270" s="340" t="s">
        <v>631</v>
      </c>
      <c r="C270" s="9"/>
      <c r="D270" s="9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41</v>
      </c>
      <c r="B271" s="51" t="s">
        <v>561</v>
      </c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42</v>
      </c>
      <c r="B272" s="345" t="s">
        <v>667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43</v>
      </c>
      <c r="B273" s="51" t="s">
        <v>562</v>
      </c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44</v>
      </c>
      <c r="B274" s="51" t="s">
        <v>563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45</v>
      </c>
      <c r="B275" s="51" t="s">
        <v>686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46</v>
      </c>
      <c r="B276" s="345" t="s">
        <v>668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47</v>
      </c>
      <c r="B277" s="345" t="s">
        <v>669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 t="s">
        <v>724</v>
      </c>
      <c r="B278" s="345" t="s">
        <v>701</v>
      </c>
      <c r="C278" s="9"/>
      <c r="D278" s="9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48</v>
      </c>
      <c r="B279" s="51" t="s">
        <v>564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49</v>
      </c>
      <c r="B280" s="345" t="s">
        <v>670</v>
      </c>
      <c r="C280" s="9"/>
      <c r="D280" s="9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50</v>
      </c>
      <c r="B281" s="340" t="s">
        <v>632</v>
      </c>
      <c r="C281" s="9"/>
      <c r="D281" s="9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51</v>
      </c>
      <c r="B282" s="51" t="s">
        <v>565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52</v>
      </c>
      <c r="B283" s="51" t="s">
        <v>566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53</v>
      </c>
      <c r="B284" s="51" t="s">
        <v>567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54</v>
      </c>
      <c r="B285" s="51" t="s">
        <v>568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55</v>
      </c>
      <c r="B286" s="51" t="s">
        <v>569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56</v>
      </c>
      <c r="B287" s="340" t="s">
        <v>633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57</v>
      </c>
      <c r="B288" s="51" t="s">
        <v>570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58</v>
      </c>
      <c r="B289" s="51" t="s">
        <v>571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59</v>
      </c>
      <c r="B290" s="345" t="s">
        <v>671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60</v>
      </c>
      <c r="B291" s="51" t="s">
        <v>572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61</v>
      </c>
      <c r="B292" s="51" t="s">
        <v>573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62</v>
      </c>
      <c r="B293" s="51" t="s">
        <v>574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63</v>
      </c>
      <c r="B294" s="345" t="s">
        <v>672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64</v>
      </c>
      <c r="B295" s="51" t="s">
        <v>580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65</v>
      </c>
      <c r="B296" s="51" t="s">
        <v>583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258"/>
    </row>
    <row r="297" spans="1:15" ht="13.5" hidden="1" x14ac:dyDescent="0.15">
      <c r="A297" s="259">
        <v>66</v>
      </c>
      <c r="B297" s="340" t="s">
        <v>634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258"/>
    </row>
    <row r="298" spans="1:15" ht="13.5" hidden="1" x14ac:dyDescent="0.15">
      <c r="A298" s="259">
        <v>67</v>
      </c>
      <c r="B298" s="51" t="s">
        <v>581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258"/>
    </row>
    <row r="299" spans="1:15" ht="13.5" hidden="1" x14ac:dyDescent="0.15">
      <c r="A299" s="259" t="s">
        <v>725</v>
      </c>
      <c r="B299" s="51" t="s">
        <v>684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258"/>
    </row>
    <row r="300" spans="1:15" ht="13.5" hidden="1" x14ac:dyDescent="0.15">
      <c r="A300" s="259">
        <v>68</v>
      </c>
      <c r="B300" s="108" t="s">
        <v>673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69</v>
      </c>
      <c r="B301" s="340" t="s">
        <v>635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70</v>
      </c>
      <c r="B302" s="108" t="s">
        <v>674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>
        <v>71</v>
      </c>
      <c r="B303" s="108" t="s">
        <v>675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72</v>
      </c>
      <c r="B304" s="108" t="s">
        <v>677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73</v>
      </c>
      <c r="B305" s="340" t="s">
        <v>636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74</v>
      </c>
      <c r="B306" s="108" t="s">
        <v>678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75</v>
      </c>
      <c r="B307" s="340" t="s">
        <v>637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76</v>
      </c>
      <c r="B308" s="108" t="s">
        <v>679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77</v>
      </c>
      <c r="B309" s="340" t="s">
        <v>638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78</v>
      </c>
      <c r="B310" s="108" t="s">
        <v>680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79</v>
      </c>
      <c r="B311" s="340" t="s">
        <v>639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80</v>
      </c>
      <c r="B312" s="340" t="s">
        <v>640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81</v>
      </c>
      <c r="B313" s="108" t="s">
        <v>681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82</v>
      </c>
      <c r="B314" s="51" t="s">
        <v>584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83</v>
      </c>
      <c r="B315" s="340" t="s">
        <v>683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84</v>
      </c>
      <c r="B316" s="340" t="s">
        <v>699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85</v>
      </c>
      <c r="B317" s="340" t="s">
        <v>641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86</v>
      </c>
      <c r="B318" s="340" t="s">
        <v>642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87</v>
      </c>
      <c r="B319" s="340" t="s">
        <v>643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88</v>
      </c>
      <c r="B320" s="340" t="s">
        <v>644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89</v>
      </c>
      <c r="B321" s="51" t="s">
        <v>585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90</v>
      </c>
      <c r="B322" s="108" t="s">
        <v>682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91</v>
      </c>
      <c r="B323" s="51" t="s">
        <v>586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 t="s">
        <v>726</v>
      </c>
      <c r="B324" s="51" t="s">
        <v>685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92</v>
      </c>
      <c r="B325" s="51" t="s">
        <v>588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B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B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B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B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97:E97"/>
    <mergeCell ref="B126:N126"/>
    <mergeCell ref="C119:E119"/>
    <mergeCell ref="F119:H119"/>
    <mergeCell ref="K106:S106"/>
    <mergeCell ref="B106:J106"/>
    <mergeCell ref="I119:J119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J96">
    <cfRule type="cellIs" dxfId="389" priority="1" stopIfTrue="1" operator="equal">
      <formula>"ATENDE TEMPO NO CARGO"</formula>
    </cfRule>
    <cfRule type="cellIs" dxfId="388" priority="2" stopIfTrue="1" operator="equal">
      <formula>"NÃO CUMPRE TEMPO NO CARGO"</formula>
    </cfRule>
  </conditionalFormatting>
  <conditionalFormatting sqref="M239:M257 M229:M235 M260:M283 C217:C219 C128:C173 N172:N173 C175:C194 C214:C215 C221:C225 C196:C212">
    <cfRule type="cellIs" dxfId="387" priority="3" stopIfTrue="1" operator="equal">
      <formula>"ANUÊNIO"</formula>
    </cfRule>
    <cfRule type="cellIs" dxfId="386" priority="4" stopIfTrue="1" operator="equal">
      <formula>"TRIÊNIO"</formula>
    </cfRule>
    <cfRule type="cellIs" dxfId="385" priority="5" stopIfTrue="1" operator="equal">
      <formula>"QUINQUÊNIO"</formula>
    </cfRule>
  </conditionalFormatting>
  <conditionalFormatting sqref="F72:F74">
    <cfRule type="cellIs" dxfId="384" priority="6" stopIfTrue="1" operator="equal">
      <formula>"NADA A CUMPRIR"</formula>
    </cfRule>
    <cfRule type="cellIs" dxfId="383" priority="7" stopIfTrue="1" operator="equal">
      <formula>"NÃO CABE"</formula>
    </cfRule>
    <cfRule type="cellIs" dxfId="382" priority="8" stopIfTrue="1" operator="greaterThanOrEqual">
      <formula>0</formula>
    </cfRule>
  </conditionalFormatting>
  <conditionalFormatting sqref="E71">
    <cfRule type="cellIs" dxfId="381" priority="9" stopIfTrue="1" operator="equal">
      <formula>"NÃO ATENDE LIMITE MÍNIMO DE IDADE"</formula>
    </cfRule>
    <cfRule type="cellIs" dxfId="380" priority="10" stopIfTrue="1" operator="equal">
      <formula>"REANALISAR FUNDAMENTAÇÃO E/OU MODALIDADE"</formula>
    </cfRule>
    <cfRule type="cellIs" dxfId="379" priority="11" stopIfTrue="1" operator="equal">
      <formula>"ATENDE LIMITE MÍNIMO DE IDADE"</formula>
    </cfRule>
  </conditionalFormatting>
  <conditionalFormatting sqref="N69 N71">
    <cfRule type="cellIs" dxfId="378" priority="12" stopIfTrue="1" operator="equal">
      <formula>0</formula>
    </cfRule>
  </conditionalFormatting>
  <conditionalFormatting sqref="K8">
    <cfRule type="expression" dxfId="377" priority="13" stopIfTrue="1">
      <formula>"SE($N$8=0)"</formula>
    </cfRule>
  </conditionalFormatting>
  <conditionalFormatting sqref="C73">
    <cfRule type="cellIs" dxfId="376" priority="14" stopIfTrue="1" operator="equal">
      <formula>"FALTA DATA"</formula>
    </cfRule>
  </conditionalFormatting>
  <conditionalFormatting sqref="M74">
    <cfRule type="cellIs" dxfId="375" priority="15" stopIfTrue="1" operator="equal">
      <formula>"ATENDE"</formula>
    </cfRule>
    <cfRule type="cellIs" dxfId="374" priority="16" stopIfTrue="1" operator="equal">
      <formula>"NÃO ATENDE"</formula>
    </cfRule>
    <cfRule type="cellIs" dxfId="373" priority="17" stopIfTrue="1" operator="equal">
      <formula>"NÃO CABE"</formula>
    </cfRule>
  </conditionalFormatting>
  <conditionalFormatting sqref="M73">
    <cfRule type="cellIs" dxfId="372" priority="18" stopIfTrue="1" operator="equal">
      <formula>"ATENDE"</formula>
    </cfRule>
    <cfRule type="cellIs" dxfId="371" priority="19" stopIfTrue="1" operator="equal">
      <formula>"NÃO ATENDE"</formula>
    </cfRule>
    <cfRule type="cellIs" dxfId="370" priority="20" stopIfTrue="1" operator="equal">
      <formula>"NÃO CABE"</formula>
    </cfRule>
  </conditionalFormatting>
  <conditionalFormatting sqref="M75 L77:M77 L78:L82">
    <cfRule type="cellIs" dxfId="369" priority="21" stopIfTrue="1" operator="equal">
      <formula>"ATENDE"</formula>
    </cfRule>
    <cfRule type="cellIs" dxfId="368" priority="22" stopIfTrue="1" operator="equal">
      <formula>"NÃO ATENDE"</formula>
    </cfRule>
    <cfRule type="cellIs" dxfId="367" priority="23" stopIfTrue="1" operator="equal">
      <formula>"OK"</formula>
    </cfRule>
  </conditionalFormatting>
  <conditionalFormatting sqref="K42">
    <cfRule type="expression" dxfId="366" priority="24" stopIfTrue="1">
      <formula>$E$42&lt;=0</formula>
    </cfRule>
  </conditionalFormatting>
  <conditionalFormatting sqref="M42">
    <cfRule type="expression" dxfId="365" priority="25" stopIfTrue="1">
      <formula>$E$42&lt;=0</formula>
    </cfRule>
  </conditionalFormatting>
  <conditionalFormatting sqref="O70 I67">
    <cfRule type="cellIs" dxfId="364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700-000000000000}">
      <formula1>$O$2:$O$7</formula1>
    </dataValidation>
    <dataValidation type="list" allowBlank="1" showInputMessage="1" showErrorMessage="1" sqref="E2:I2" xr:uid="{00000000-0002-0000-0700-000001000000}">
      <formula1>$B$86:$B$94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T820"/>
  <sheetViews>
    <sheetView showGridLines="0" topLeftCell="A28" zoomScale="75" zoomScaleNormal="75" workbookViewId="0" xr3:uid="{44B22561-5205-5C8A-B808-2C70100D228F}">
      <selection activeCell="A59" sqref="A59"/>
    </sheetView>
  </sheetViews>
  <sheetFormatPr defaultColWidth="9.16796875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3" width="0" style="21" hidden="1" customWidth="1"/>
    <col min="254" max="16384" width="9.16796875" style="21"/>
  </cols>
  <sheetData>
    <row r="1" spans="1:254" ht="6" customHeight="1" x14ac:dyDescent="0.15">
      <c r="A1" s="295"/>
      <c r="BA1" s="80"/>
    </row>
    <row r="2" spans="1:254" x14ac:dyDescent="0.15">
      <c r="A2" s="295"/>
      <c r="B2" s="650" t="s">
        <v>435</v>
      </c>
      <c r="C2" s="651"/>
      <c r="D2" s="651" t="s">
        <v>433</v>
      </c>
      <c r="E2" s="1850" t="s">
        <v>450</v>
      </c>
      <c r="F2" s="1850"/>
      <c r="G2" s="1850"/>
      <c r="H2" s="1850"/>
      <c r="I2" s="1850"/>
      <c r="J2" s="652" t="s">
        <v>462</v>
      </c>
      <c r="K2" s="1939" t="s">
        <v>485</v>
      </c>
      <c r="L2" s="1940"/>
      <c r="M2" s="1940"/>
      <c r="N2" s="1941"/>
      <c r="O2" s="1052" t="s">
        <v>463</v>
      </c>
      <c r="P2" s="1067" t="s">
        <v>528</v>
      </c>
      <c r="Q2" s="1068" t="s">
        <v>533</v>
      </c>
      <c r="R2" s="1068" t="s">
        <v>532</v>
      </c>
      <c r="S2" s="972" t="s">
        <v>534</v>
      </c>
      <c r="T2" s="972" t="s">
        <v>535</v>
      </c>
      <c r="U2" s="972" t="s">
        <v>536</v>
      </c>
      <c r="V2" s="362"/>
      <c r="W2" s="362"/>
      <c r="X2" s="362"/>
      <c r="Y2" s="362"/>
      <c r="Z2" s="362"/>
      <c r="AA2" s="362"/>
      <c r="AB2" s="362"/>
      <c r="AC2" s="362"/>
      <c r="AD2" s="363"/>
      <c r="AE2" s="363"/>
      <c r="AF2" s="363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1069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362"/>
      <c r="DF2" s="362"/>
      <c r="DG2" s="362"/>
      <c r="DH2" s="362"/>
      <c r="DI2" s="362"/>
      <c r="DJ2" s="362"/>
      <c r="DK2" s="362"/>
      <c r="DL2" s="362"/>
      <c r="DM2" s="362"/>
      <c r="DN2" s="362"/>
      <c r="DO2" s="362"/>
      <c r="DP2" s="362"/>
      <c r="DQ2" s="362"/>
      <c r="DR2" s="362"/>
      <c r="DS2" s="362"/>
      <c r="DT2" s="362"/>
      <c r="DU2" s="362"/>
      <c r="DV2" s="362"/>
      <c r="DW2" s="362"/>
      <c r="DX2" s="362"/>
      <c r="DY2" s="362"/>
      <c r="DZ2" s="362"/>
      <c r="EA2" s="362"/>
      <c r="EB2" s="362"/>
      <c r="EC2" s="362"/>
      <c r="ED2" s="362"/>
      <c r="EE2" s="362"/>
      <c r="EF2" s="362"/>
      <c r="EG2" s="362"/>
      <c r="EH2" s="362"/>
      <c r="EI2" s="362"/>
      <c r="EJ2" s="362"/>
      <c r="EK2" s="362"/>
      <c r="EL2" s="362"/>
      <c r="EM2" s="362"/>
      <c r="EN2" s="362"/>
      <c r="EO2" s="362"/>
      <c r="EP2" s="362"/>
      <c r="EQ2" s="362"/>
      <c r="ER2" s="362"/>
      <c r="ES2" s="362"/>
      <c r="ET2" s="362"/>
      <c r="EU2" s="362"/>
      <c r="EV2" s="362"/>
      <c r="EW2" s="362"/>
      <c r="EX2" s="362"/>
      <c r="EY2" s="362"/>
      <c r="EZ2" s="362"/>
      <c r="FA2" s="362"/>
      <c r="FB2" s="362"/>
      <c r="FC2" s="362"/>
      <c r="FD2" s="362"/>
      <c r="FE2" s="362"/>
      <c r="FF2" s="362"/>
      <c r="FG2" s="362"/>
      <c r="FH2" s="362"/>
      <c r="FI2" s="362"/>
      <c r="FJ2" s="362"/>
      <c r="FK2" s="362"/>
      <c r="FL2" s="362"/>
      <c r="FM2" s="362"/>
      <c r="FN2" s="362"/>
      <c r="FO2" s="362"/>
      <c r="FP2" s="362"/>
      <c r="FQ2" s="362"/>
      <c r="FR2" s="362"/>
      <c r="FS2" s="362"/>
      <c r="FT2" s="362"/>
      <c r="FU2" s="362"/>
      <c r="FV2" s="362"/>
      <c r="FW2" s="362"/>
      <c r="FX2" s="362"/>
      <c r="FY2" s="362"/>
      <c r="FZ2" s="362"/>
      <c r="GA2" s="362"/>
      <c r="GB2" s="362"/>
      <c r="GC2" s="362"/>
      <c r="GD2" s="362"/>
      <c r="GE2" s="362"/>
      <c r="GF2" s="362"/>
      <c r="GG2" s="362"/>
      <c r="GH2" s="362"/>
      <c r="GI2" s="362"/>
      <c r="GJ2" s="362"/>
      <c r="GK2" s="362"/>
      <c r="GL2" s="362"/>
      <c r="GM2" s="362"/>
      <c r="GN2" s="362"/>
      <c r="GO2" s="362"/>
      <c r="GP2" s="362"/>
      <c r="GQ2" s="362"/>
      <c r="GR2" s="362"/>
      <c r="GS2" s="362"/>
      <c r="GT2" s="362"/>
      <c r="GU2" s="362"/>
      <c r="GV2" s="362"/>
      <c r="GW2" s="362"/>
      <c r="GX2" s="362"/>
      <c r="GY2" s="362"/>
      <c r="GZ2" s="362"/>
      <c r="HA2" s="362"/>
      <c r="HB2" s="362"/>
      <c r="HC2" s="362"/>
      <c r="HD2" s="362"/>
      <c r="HE2" s="362"/>
      <c r="HF2" s="362"/>
      <c r="HG2" s="362"/>
      <c r="HH2" s="362"/>
      <c r="HI2" s="362"/>
      <c r="HJ2" s="362"/>
      <c r="HK2" s="362"/>
      <c r="HL2" s="362"/>
      <c r="HM2" s="362"/>
      <c r="HN2" s="362"/>
      <c r="HO2" s="362"/>
      <c r="HP2" s="362"/>
      <c r="HQ2" s="362"/>
      <c r="HR2" s="362"/>
      <c r="HS2" s="362"/>
      <c r="HT2" s="362"/>
      <c r="HU2" s="362"/>
      <c r="HV2" s="362"/>
      <c r="HW2" s="362"/>
      <c r="HX2" s="362"/>
      <c r="HY2" s="362"/>
      <c r="HZ2" s="362"/>
      <c r="IA2" s="362"/>
      <c r="IB2" s="362"/>
      <c r="IC2" s="362"/>
      <c r="ID2" s="362"/>
      <c r="IE2" s="362"/>
      <c r="IF2" s="362"/>
      <c r="IG2" s="362"/>
      <c r="IH2" s="362"/>
      <c r="II2" s="362"/>
      <c r="IJ2" s="362"/>
      <c r="IK2" s="362"/>
      <c r="IL2" s="362"/>
      <c r="IM2" s="362"/>
      <c r="IN2" s="362"/>
      <c r="IO2" s="362"/>
      <c r="IP2" s="362"/>
      <c r="IQ2" s="362"/>
      <c r="IR2" s="362"/>
      <c r="IS2" s="362"/>
      <c r="IT2" s="362"/>
    </row>
    <row r="3" spans="1:254" ht="6" customHeight="1" x14ac:dyDescent="0.15">
      <c r="A3" s="295"/>
      <c r="O3" s="1052" t="s">
        <v>485</v>
      </c>
      <c r="P3" s="364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3"/>
      <c r="AE3" s="363"/>
      <c r="AF3" s="363"/>
      <c r="AG3" s="362"/>
      <c r="AH3" s="362"/>
      <c r="AI3" s="362"/>
      <c r="AJ3" s="362"/>
      <c r="AK3" s="362"/>
      <c r="AL3" s="362"/>
      <c r="AM3" s="362"/>
      <c r="AN3" s="362"/>
      <c r="AO3" s="362"/>
      <c r="AP3" s="362"/>
      <c r="AQ3" s="362"/>
      <c r="AR3" s="362"/>
      <c r="AS3" s="362"/>
      <c r="AT3" s="362"/>
      <c r="AU3" s="362"/>
      <c r="AV3" s="362"/>
      <c r="AW3" s="362"/>
      <c r="AX3" s="362"/>
      <c r="AY3" s="362"/>
      <c r="AZ3" s="362"/>
      <c r="BA3" s="1069"/>
      <c r="BB3" s="362"/>
      <c r="BC3" s="362"/>
      <c r="BD3" s="362"/>
      <c r="BE3" s="362"/>
      <c r="BF3" s="362"/>
      <c r="BG3" s="362"/>
      <c r="BH3" s="362"/>
      <c r="BI3" s="362"/>
      <c r="BJ3" s="362"/>
      <c r="BK3" s="362"/>
      <c r="BL3" s="362"/>
      <c r="BM3" s="362"/>
      <c r="BN3" s="362"/>
      <c r="BO3" s="362"/>
      <c r="BP3" s="362"/>
      <c r="BQ3" s="362"/>
      <c r="BR3" s="362"/>
      <c r="BS3" s="362"/>
      <c r="BT3" s="362"/>
      <c r="BU3" s="362"/>
      <c r="BV3" s="362"/>
      <c r="BW3" s="362"/>
      <c r="BX3" s="362"/>
      <c r="BY3" s="362"/>
      <c r="BZ3" s="362"/>
      <c r="CA3" s="362"/>
      <c r="CB3" s="362"/>
      <c r="CC3" s="362"/>
      <c r="CD3" s="362"/>
      <c r="CE3" s="362"/>
      <c r="CF3" s="362"/>
      <c r="CG3" s="362"/>
      <c r="CH3" s="362"/>
      <c r="CI3" s="362"/>
      <c r="CJ3" s="362"/>
      <c r="CK3" s="362"/>
      <c r="CL3" s="362"/>
      <c r="CM3" s="362"/>
      <c r="CN3" s="362"/>
      <c r="CO3" s="362"/>
      <c r="CP3" s="362"/>
      <c r="CQ3" s="362"/>
      <c r="CR3" s="362"/>
      <c r="CS3" s="362"/>
      <c r="CT3" s="362"/>
      <c r="CU3" s="362"/>
      <c r="CV3" s="362"/>
      <c r="CW3" s="362"/>
      <c r="CX3" s="362"/>
      <c r="CY3" s="362"/>
      <c r="CZ3" s="362"/>
      <c r="DA3" s="362"/>
      <c r="DB3" s="362"/>
      <c r="DC3" s="362"/>
      <c r="DD3" s="362"/>
      <c r="DE3" s="362"/>
      <c r="DF3" s="362"/>
      <c r="DG3" s="362"/>
      <c r="DH3" s="362"/>
      <c r="DI3" s="362"/>
      <c r="DJ3" s="362"/>
      <c r="DK3" s="362"/>
      <c r="DL3" s="362"/>
      <c r="DM3" s="362"/>
      <c r="DN3" s="362"/>
      <c r="DO3" s="362"/>
      <c r="DP3" s="362"/>
      <c r="DQ3" s="362"/>
      <c r="DR3" s="362"/>
      <c r="DS3" s="362"/>
      <c r="DT3" s="362"/>
      <c r="DU3" s="362"/>
      <c r="DV3" s="362"/>
      <c r="DW3" s="362"/>
      <c r="DX3" s="362"/>
      <c r="DY3" s="362"/>
      <c r="DZ3" s="362"/>
      <c r="EA3" s="362"/>
      <c r="EB3" s="362"/>
      <c r="EC3" s="362"/>
      <c r="ED3" s="362"/>
      <c r="EE3" s="362"/>
      <c r="EF3" s="362"/>
      <c r="EG3" s="362"/>
      <c r="EH3" s="362"/>
      <c r="EI3" s="362"/>
      <c r="EJ3" s="362"/>
      <c r="EK3" s="362"/>
      <c r="EL3" s="362"/>
      <c r="EM3" s="362"/>
      <c r="EN3" s="362"/>
      <c r="EO3" s="362"/>
      <c r="EP3" s="362"/>
      <c r="EQ3" s="362"/>
      <c r="ER3" s="362"/>
      <c r="ES3" s="362"/>
      <c r="ET3" s="362"/>
      <c r="EU3" s="362"/>
      <c r="EV3" s="362"/>
      <c r="EW3" s="362"/>
      <c r="EX3" s="362"/>
      <c r="EY3" s="362"/>
      <c r="EZ3" s="362"/>
      <c r="FA3" s="362"/>
      <c r="FB3" s="362"/>
      <c r="FC3" s="362"/>
      <c r="FD3" s="362"/>
      <c r="FE3" s="362"/>
      <c r="FF3" s="362"/>
      <c r="FG3" s="362"/>
      <c r="FH3" s="362"/>
      <c r="FI3" s="362"/>
      <c r="FJ3" s="362"/>
      <c r="FK3" s="362"/>
      <c r="FL3" s="362"/>
      <c r="FM3" s="362"/>
      <c r="FN3" s="362"/>
      <c r="FO3" s="362"/>
      <c r="FP3" s="362"/>
      <c r="FQ3" s="362"/>
      <c r="FR3" s="362"/>
      <c r="FS3" s="362"/>
      <c r="FT3" s="362"/>
      <c r="FU3" s="362"/>
      <c r="FV3" s="362"/>
      <c r="FW3" s="362"/>
      <c r="FX3" s="362"/>
      <c r="FY3" s="362"/>
      <c r="FZ3" s="362"/>
      <c r="GA3" s="362"/>
      <c r="GB3" s="362"/>
      <c r="GC3" s="362"/>
      <c r="GD3" s="362"/>
      <c r="GE3" s="362"/>
      <c r="GF3" s="362"/>
      <c r="GG3" s="362"/>
      <c r="GH3" s="362"/>
      <c r="GI3" s="362"/>
      <c r="GJ3" s="362"/>
      <c r="GK3" s="362"/>
      <c r="GL3" s="362"/>
      <c r="GM3" s="362"/>
      <c r="GN3" s="362"/>
      <c r="GO3" s="362"/>
      <c r="GP3" s="362"/>
      <c r="GQ3" s="362"/>
      <c r="GR3" s="362"/>
      <c r="GS3" s="362"/>
      <c r="GT3" s="362"/>
      <c r="GU3" s="362"/>
      <c r="GV3" s="362"/>
      <c r="GW3" s="362"/>
      <c r="GX3" s="362"/>
      <c r="GY3" s="362"/>
      <c r="GZ3" s="362"/>
      <c r="HA3" s="362"/>
      <c r="HB3" s="362"/>
      <c r="HC3" s="362"/>
      <c r="HD3" s="362"/>
      <c r="HE3" s="362"/>
      <c r="HF3" s="362"/>
      <c r="HG3" s="362"/>
      <c r="HH3" s="362"/>
      <c r="HI3" s="362"/>
      <c r="HJ3" s="362"/>
      <c r="HK3" s="362"/>
      <c r="HL3" s="362"/>
      <c r="HM3" s="362"/>
      <c r="HN3" s="362"/>
      <c r="HO3" s="362"/>
      <c r="HP3" s="362"/>
      <c r="HQ3" s="362"/>
      <c r="HR3" s="362"/>
      <c r="HS3" s="362"/>
      <c r="HT3" s="362"/>
      <c r="HU3" s="362"/>
      <c r="HV3" s="362"/>
      <c r="HW3" s="362"/>
      <c r="HX3" s="362"/>
      <c r="HY3" s="362"/>
      <c r="HZ3" s="362"/>
      <c r="IA3" s="362"/>
      <c r="IB3" s="362"/>
      <c r="IC3" s="362"/>
      <c r="ID3" s="362"/>
      <c r="IE3" s="362"/>
      <c r="IF3" s="362"/>
      <c r="IG3" s="362"/>
      <c r="IH3" s="362"/>
      <c r="II3" s="362"/>
      <c r="IJ3" s="362"/>
      <c r="IK3" s="362"/>
      <c r="IL3" s="362"/>
      <c r="IM3" s="362"/>
      <c r="IN3" s="362"/>
      <c r="IO3" s="362"/>
      <c r="IP3" s="362"/>
      <c r="IQ3" s="362"/>
      <c r="IR3" s="362"/>
      <c r="IS3" s="362"/>
      <c r="IT3" s="362"/>
    </row>
    <row r="4" spans="1:254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364" t="s">
        <v>529</v>
      </c>
      <c r="Q4" s="362" t="str">
        <f>IF(OR($E$2=$B$86,$E$2=$B$87,E2=B88),IF($M$13&gt;=5,"ATENDE","NÃO CUMPRE"),"NÃO CABE")</f>
        <v>NÃO CUMPRE</v>
      </c>
      <c r="R4" s="362" t="str">
        <f>IF($N$8&lt;$Q$11,IF($M$13&gt;=5,"ATENDE","NÃO CUMPRE"),"REVER FUNDAMENTAÇÃO")</f>
        <v>NÃO CUMPRE</v>
      </c>
      <c r="S4" s="362" t="str">
        <f>IF($N$8&lt;$Q$13,IF($M$13&gt;=5,"ATENDE","NÃO ATENDE"),"REVER FUNDAMENTAÇÃO")</f>
        <v>NÃO ATENDE</v>
      </c>
      <c r="T4" s="362" t="str">
        <f>IF($N$8&lt;$Q$11,IF($M$13&gt;=5,"ATENDE","NÃO ATENDE"),"REVER FUNDAMENT.")</f>
        <v>NÃO ATENDE</v>
      </c>
      <c r="U4" s="362" t="str">
        <f>IF($N$8&lt;$Q$11,IF($M$13&gt;=5,"ATENDE","NÃO ATENDE"),"REVER FUNDAMENT.")</f>
        <v>NÃO ATENDE</v>
      </c>
      <c r="V4" s="362"/>
      <c r="W4" s="362"/>
      <c r="X4" s="362"/>
      <c r="Y4" s="362"/>
      <c r="Z4" s="362"/>
      <c r="AA4" s="362"/>
      <c r="AB4" s="362"/>
      <c r="AC4" s="362"/>
      <c r="AD4" s="363"/>
      <c r="AE4" s="363"/>
      <c r="AF4" s="363"/>
      <c r="AG4" s="362"/>
      <c r="AH4" s="362"/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362"/>
      <c r="AT4" s="362"/>
      <c r="AU4" s="362"/>
      <c r="AV4" s="362"/>
      <c r="AW4" s="362"/>
      <c r="AX4" s="362"/>
      <c r="AY4" s="362"/>
      <c r="AZ4" s="362"/>
      <c r="BA4" s="1069"/>
      <c r="BB4" s="362"/>
      <c r="BC4" s="362"/>
      <c r="BD4" s="362"/>
      <c r="BE4" s="362"/>
      <c r="BF4" s="362"/>
      <c r="BG4" s="362"/>
      <c r="BH4" s="362"/>
      <c r="BI4" s="362"/>
      <c r="BJ4" s="362"/>
      <c r="BK4" s="362"/>
      <c r="BL4" s="362"/>
      <c r="BM4" s="362"/>
      <c r="BN4" s="362"/>
      <c r="BO4" s="362"/>
      <c r="BP4" s="362"/>
      <c r="BQ4" s="362"/>
      <c r="BR4" s="362"/>
      <c r="BS4" s="362"/>
      <c r="BT4" s="362"/>
      <c r="BU4" s="362"/>
      <c r="BV4" s="362"/>
      <c r="BW4" s="362"/>
      <c r="BX4" s="362"/>
      <c r="BY4" s="362"/>
      <c r="BZ4" s="362"/>
      <c r="CA4" s="362"/>
      <c r="CB4" s="362"/>
      <c r="CC4" s="362"/>
      <c r="CD4" s="362"/>
      <c r="CE4" s="362"/>
      <c r="CF4" s="362"/>
      <c r="CG4" s="362"/>
      <c r="CH4" s="362"/>
      <c r="CI4" s="362"/>
      <c r="CJ4" s="362"/>
      <c r="CK4" s="362"/>
      <c r="CL4" s="362"/>
      <c r="CM4" s="362"/>
      <c r="CN4" s="362"/>
      <c r="CO4" s="362"/>
      <c r="CP4" s="362"/>
      <c r="CQ4" s="362"/>
      <c r="CR4" s="362"/>
      <c r="CS4" s="362"/>
      <c r="CT4" s="362"/>
      <c r="CU4" s="362"/>
      <c r="CV4" s="362"/>
      <c r="CW4" s="362"/>
      <c r="CX4" s="362"/>
      <c r="CY4" s="362"/>
      <c r="CZ4" s="362"/>
      <c r="DA4" s="362"/>
      <c r="DB4" s="362"/>
      <c r="DC4" s="362"/>
      <c r="DD4" s="362"/>
      <c r="DE4" s="362"/>
      <c r="DF4" s="362"/>
      <c r="DG4" s="362"/>
      <c r="DH4" s="362"/>
      <c r="DI4" s="362"/>
      <c r="DJ4" s="362"/>
      <c r="DK4" s="362"/>
      <c r="DL4" s="362"/>
      <c r="DM4" s="362"/>
      <c r="DN4" s="362"/>
      <c r="DO4" s="362"/>
      <c r="DP4" s="362"/>
      <c r="DQ4" s="362"/>
      <c r="DR4" s="362"/>
      <c r="DS4" s="362"/>
      <c r="DT4" s="362"/>
      <c r="DU4" s="362"/>
      <c r="DV4" s="362"/>
      <c r="DW4" s="362"/>
      <c r="DX4" s="362"/>
      <c r="DY4" s="362"/>
      <c r="DZ4" s="362"/>
      <c r="EA4" s="362"/>
      <c r="EB4" s="362"/>
      <c r="EC4" s="362"/>
      <c r="ED4" s="362"/>
      <c r="EE4" s="362"/>
      <c r="EF4" s="362"/>
      <c r="EG4" s="362"/>
      <c r="EH4" s="362"/>
      <c r="EI4" s="362"/>
      <c r="EJ4" s="362"/>
      <c r="EK4" s="362"/>
      <c r="EL4" s="362"/>
      <c r="EM4" s="362"/>
      <c r="EN4" s="362"/>
      <c r="EO4" s="362"/>
      <c r="EP4" s="362"/>
      <c r="EQ4" s="362"/>
      <c r="ER4" s="362"/>
      <c r="ES4" s="362"/>
      <c r="ET4" s="362"/>
      <c r="EU4" s="362"/>
      <c r="EV4" s="362"/>
      <c r="EW4" s="362"/>
      <c r="EX4" s="362"/>
      <c r="EY4" s="362"/>
      <c r="EZ4" s="362"/>
      <c r="FA4" s="362"/>
      <c r="FB4" s="362"/>
      <c r="FC4" s="362"/>
      <c r="FD4" s="362"/>
      <c r="FE4" s="362"/>
      <c r="FF4" s="362"/>
      <c r="FG4" s="362"/>
      <c r="FH4" s="362"/>
      <c r="FI4" s="362"/>
      <c r="FJ4" s="362"/>
      <c r="FK4" s="362"/>
      <c r="FL4" s="362"/>
      <c r="FM4" s="362"/>
      <c r="FN4" s="362"/>
      <c r="FO4" s="362"/>
      <c r="FP4" s="362"/>
      <c r="FQ4" s="362"/>
      <c r="FR4" s="362"/>
      <c r="FS4" s="362"/>
      <c r="FT4" s="362"/>
      <c r="FU4" s="362"/>
      <c r="FV4" s="362"/>
      <c r="FW4" s="362"/>
      <c r="FX4" s="362"/>
      <c r="FY4" s="362"/>
      <c r="FZ4" s="362"/>
      <c r="GA4" s="362"/>
      <c r="GB4" s="362"/>
      <c r="GC4" s="362"/>
      <c r="GD4" s="362"/>
      <c r="GE4" s="362"/>
      <c r="GF4" s="362"/>
      <c r="GG4" s="362"/>
      <c r="GH4" s="362"/>
      <c r="GI4" s="362"/>
      <c r="GJ4" s="362"/>
      <c r="GK4" s="362"/>
      <c r="GL4" s="362"/>
      <c r="GM4" s="362"/>
      <c r="GN4" s="362"/>
      <c r="GO4" s="362"/>
      <c r="GP4" s="362"/>
      <c r="GQ4" s="362"/>
      <c r="GR4" s="362"/>
      <c r="GS4" s="362"/>
      <c r="GT4" s="362"/>
      <c r="GU4" s="362"/>
      <c r="GV4" s="362"/>
      <c r="GW4" s="362"/>
      <c r="GX4" s="362"/>
      <c r="GY4" s="362"/>
      <c r="GZ4" s="362"/>
      <c r="HA4" s="362"/>
      <c r="HB4" s="362"/>
      <c r="HC4" s="362"/>
      <c r="HD4" s="362"/>
      <c r="HE4" s="362"/>
      <c r="HF4" s="362"/>
      <c r="HG4" s="362"/>
      <c r="HH4" s="362"/>
      <c r="HI4" s="362"/>
      <c r="HJ4" s="362"/>
      <c r="HK4" s="362"/>
      <c r="HL4" s="362"/>
      <c r="HM4" s="362"/>
      <c r="HN4" s="362"/>
      <c r="HO4" s="362"/>
      <c r="HP4" s="362"/>
      <c r="HQ4" s="362"/>
      <c r="HR4" s="362"/>
      <c r="HS4" s="362"/>
      <c r="HT4" s="362"/>
      <c r="HU4" s="362"/>
      <c r="HV4" s="362"/>
      <c r="HW4" s="362"/>
      <c r="HX4" s="362"/>
      <c r="HY4" s="362"/>
      <c r="HZ4" s="362"/>
      <c r="IA4" s="362"/>
      <c r="IB4" s="362"/>
      <c r="IC4" s="362"/>
      <c r="ID4" s="362"/>
      <c r="IE4" s="362"/>
      <c r="IF4" s="362"/>
      <c r="IG4" s="362"/>
      <c r="IH4" s="362"/>
      <c r="II4" s="362"/>
      <c r="IJ4" s="362"/>
      <c r="IK4" s="362"/>
      <c r="IL4" s="362"/>
      <c r="IM4" s="362"/>
      <c r="IN4" s="362"/>
      <c r="IO4" s="362"/>
      <c r="IP4" s="362"/>
      <c r="IQ4" s="362"/>
      <c r="IR4" s="362"/>
      <c r="IS4" s="362"/>
      <c r="IT4" s="362"/>
    </row>
    <row r="5" spans="1:254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1070"/>
      <c r="Q5" s="1071"/>
      <c r="R5" s="1071"/>
      <c r="S5" s="1071"/>
      <c r="T5" s="1071"/>
      <c r="U5" s="1071"/>
      <c r="V5" s="1071"/>
      <c r="W5" s="1071"/>
      <c r="X5" s="1071"/>
      <c r="Y5" s="1071"/>
      <c r="Z5" s="1071"/>
      <c r="AA5" s="1071"/>
      <c r="AB5" s="1071"/>
      <c r="AC5" s="1071"/>
      <c r="AD5" s="1072"/>
      <c r="AE5" s="1072"/>
      <c r="AF5" s="1072"/>
      <c r="AG5" s="1071"/>
      <c r="AH5" s="1071"/>
      <c r="AI5" s="1071"/>
      <c r="AJ5" s="1071"/>
      <c r="AK5" s="1071"/>
      <c r="AL5" s="1071"/>
      <c r="AM5" s="1071"/>
      <c r="AN5" s="1071"/>
      <c r="AO5" s="1071"/>
      <c r="AP5" s="1071"/>
      <c r="AQ5" s="1071"/>
      <c r="AR5" s="1071"/>
      <c r="AS5" s="1071"/>
      <c r="AT5" s="1071"/>
      <c r="AU5" s="1071"/>
      <c r="AV5" s="1071"/>
      <c r="AW5" s="1071"/>
      <c r="AX5" s="1071"/>
      <c r="AY5" s="1071"/>
      <c r="AZ5" s="1071"/>
      <c r="BA5" s="1073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</row>
    <row r="6" spans="1:254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366" t="s">
        <v>530</v>
      </c>
      <c r="Q6" s="2" t="s">
        <v>537</v>
      </c>
      <c r="R6" s="2" t="str">
        <f>IF($N$8&lt;$Q$11,"NÃO CABE","REVER FUNDAM.")</f>
        <v>NÃO CABE</v>
      </c>
      <c r="S6" s="2" t="str">
        <f>IF($N$8&lt;$Q$13,IF($M$14&gt;=10,"ATENDE","NÃO ATENDE"),"REVER FUNDAMEN.")</f>
        <v>NÃO ATENDE</v>
      </c>
      <c r="T6" s="2" t="str">
        <f>IF($N$8&lt;$Q$11,"NÃO CABE","REVER FUNDAMENT.")</f>
        <v>NÃO CABE</v>
      </c>
      <c r="U6" s="2" t="str">
        <f>IF($N$8&lt;$Q$11,IF($M$14&gt;=15,"ATENDE","NÃO ATENDE"),"REVER FUNDAMENT.")</f>
        <v>NÃO ATENDE</v>
      </c>
      <c r="V6" s="2"/>
      <c r="W6" s="2"/>
      <c r="X6" s="2"/>
      <c r="Y6" s="2"/>
      <c r="Z6" s="2"/>
      <c r="AA6" s="2"/>
      <c r="AB6" s="2"/>
      <c r="AC6" s="1074"/>
      <c r="AD6" s="1075"/>
      <c r="AE6" s="1075"/>
      <c r="AF6" s="1075"/>
      <c r="AG6" s="1074"/>
      <c r="AH6" s="1074"/>
      <c r="AI6" s="1074"/>
      <c r="AJ6" s="1074"/>
      <c r="AK6" s="1074"/>
      <c r="AL6" s="1074"/>
      <c r="AM6" s="1074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1076"/>
      <c r="BB6" s="362"/>
      <c r="BC6" s="362"/>
      <c r="BD6" s="362"/>
      <c r="BE6" s="362"/>
      <c r="BF6" s="362"/>
      <c r="BG6" s="362"/>
      <c r="BH6" s="362"/>
      <c r="BI6" s="362"/>
      <c r="BJ6" s="362"/>
      <c r="BK6" s="362"/>
      <c r="BL6" s="362"/>
      <c r="BM6" s="362"/>
      <c r="BN6" s="362"/>
      <c r="BO6" s="362"/>
      <c r="BP6" s="362"/>
      <c r="BQ6" s="362"/>
      <c r="BR6" s="362"/>
      <c r="BS6" s="362"/>
      <c r="BT6" s="362"/>
      <c r="BU6" s="362"/>
      <c r="BV6" s="362"/>
      <c r="BW6" s="362"/>
      <c r="BX6" s="362"/>
      <c r="BY6" s="362"/>
      <c r="BZ6" s="362"/>
      <c r="CA6" s="362"/>
      <c r="CB6" s="362"/>
      <c r="CC6" s="362"/>
      <c r="CD6" s="362"/>
      <c r="CE6" s="362"/>
      <c r="CF6" s="362"/>
      <c r="CG6" s="362"/>
      <c r="CH6" s="362"/>
      <c r="CI6" s="362"/>
      <c r="CJ6" s="362"/>
      <c r="CK6" s="362"/>
      <c r="CL6" s="362"/>
      <c r="CM6" s="362"/>
      <c r="CN6" s="362"/>
      <c r="CO6" s="362"/>
      <c r="CP6" s="362"/>
      <c r="CQ6" s="362"/>
      <c r="CR6" s="362"/>
      <c r="CS6" s="362"/>
      <c r="CT6" s="362"/>
      <c r="CU6" s="362"/>
      <c r="CV6" s="362"/>
      <c r="CW6" s="362"/>
      <c r="CX6" s="362"/>
      <c r="CY6" s="362"/>
      <c r="CZ6" s="362"/>
      <c r="DA6" s="362"/>
      <c r="DB6" s="362"/>
      <c r="DC6" s="362"/>
      <c r="DD6" s="362"/>
      <c r="DE6" s="362"/>
      <c r="DF6" s="362"/>
      <c r="DG6" s="362"/>
      <c r="DH6" s="362"/>
      <c r="DI6" s="362"/>
      <c r="DJ6" s="362"/>
      <c r="DK6" s="362"/>
      <c r="DL6" s="362"/>
      <c r="DM6" s="362"/>
      <c r="DN6" s="362"/>
      <c r="DO6" s="362"/>
      <c r="DP6" s="362"/>
      <c r="DQ6" s="362"/>
      <c r="DR6" s="362"/>
      <c r="DS6" s="362"/>
      <c r="DT6" s="362"/>
      <c r="DU6" s="362"/>
      <c r="DV6" s="362"/>
      <c r="DW6" s="362"/>
      <c r="DX6" s="362"/>
      <c r="DY6" s="362"/>
      <c r="DZ6" s="362"/>
      <c r="EA6" s="362"/>
      <c r="EB6" s="362"/>
      <c r="EC6" s="362"/>
      <c r="ED6" s="362"/>
      <c r="EE6" s="362"/>
      <c r="EF6" s="362"/>
      <c r="EG6" s="362"/>
      <c r="EH6" s="362"/>
      <c r="EI6" s="362"/>
      <c r="EJ6" s="362"/>
      <c r="EK6" s="362"/>
      <c r="EL6" s="362"/>
      <c r="EM6" s="362"/>
      <c r="EN6" s="362"/>
      <c r="EO6" s="362"/>
      <c r="EP6" s="362"/>
      <c r="EQ6" s="362"/>
      <c r="ER6" s="362"/>
      <c r="ES6" s="362"/>
      <c r="ET6" s="362"/>
      <c r="EU6" s="362"/>
      <c r="EV6" s="362"/>
      <c r="EW6" s="362"/>
      <c r="EX6" s="362"/>
      <c r="EY6" s="362"/>
      <c r="EZ6" s="362"/>
      <c r="FA6" s="362"/>
      <c r="FB6" s="362"/>
      <c r="FC6" s="362"/>
      <c r="FD6" s="362"/>
      <c r="FE6" s="362"/>
      <c r="FF6" s="362"/>
      <c r="FG6" s="362"/>
      <c r="FH6" s="362"/>
      <c r="FI6" s="362"/>
      <c r="FJ6" s="362"/>
      <c r="FK6" s="362"/>
      <c r="FL6" s="362"/>
      <c r="FM6" s="362"/>
      <c r="FN6" s="362"/>
      <c r="FO6" s="362"/>
      <c r="FP6" s="362"/>
      <c r="FQ6" s="362"/>
      <c r="FR6" s="362"/>
      <c r="FS6" s="362"/>
      <c r="FT6" s="362"/>
      <c r="FU6" s="362"/>
      <c r="FV6" s="362"/>
      <c r="FW6" s="362"/>
      <c r="FX6" s="362"/>
      <c r="FY6" s="362"/>
      <c r="FZ6" s="362"/>
      <c r="GA6" s="362"/>
      <c r="GB6" s="362"/>
      <c r="GC6" s="362"/>
      <c r="GD6" s="362"/>
      <c r="GE6" s="362"/>
      <c r="GF6" s="362"/>
      <c r="GG6" s="362"/>
      <c r="GH6" s="362"/>
      <c r="GI6" s="362"/>
      <c r="GJ6" s="362"/>
      <c r="GK6" s="362"/>
      <c r="GL6" s="362"/>
      <c r="GM6" s="362"/>
      <c r="GN6" s="362"/>
      <c r="GO6" s="362"/>
      <c r="GP6" s="362"/>
      <c r="GQ6" s="362"/>
      <c r="GR6" s="362"/>
      <c r="GS6" s="362"/>
      <c r="GT6" s="362"/>
      <c r="GU6" s="362"/>
      <c r="GV6" s="362"/>
      <c r="GW6" s="362"/>
      <c r="GX6" s="362"/>
      <c r="GY6" s="362"/>
      <c r="GZ6" s="362"/>
      <c r="HA6" s="362"/>
      <c r="HB6" s="362"/>
      <c r="HC6" s="362"/>
      <c r="HD6" s="362"/>
      <c r="HE6" s="362"/>
      <c r="HF6" s="362"/>
      <c r="HG6" s="362"/>
      <c r="HH6" s="362"/>
      <c r="HI6" s="362"/>
      <c r="HJ6" s="362"/>
      <c r="HK6" s="362"/>
      <c r="HL6" s="362"/>
      <c r="HM6" s="362"/>
      <c r="HN6" s="362"/>
      <c r="HO6" s="362"/>
      <c r="HP6" s="362"/>
      <c r="HQ6" s="362"/>
      <c r="HR6" s="362"/>
      <c r="HS6" s="362"/>
      <c r="HT6" s="362"/>
      <c r="HU6" s="362"/>
      <c r="HV6" s="362"/>
      <c r="HW6" s="362"/>
      <c r="HX6" s="362"/>
      <c r="HY6" s="362"/>
      <c r="HZ6" s="362"/>
      <c r="IA6" s="362"/>
      <c r="IB6" s="362"/>
      <c r="IC6" s="362"/>
      <c r="ID6" s="362"/>
      <c r="IE6" s="362"/>
      <c r="IF6" s="362"/>
      <c r="IG6" s="362"/>
      <c r="IH6" s="362"/>
      <c r="II6" s="362"/>
      <c r="IJ6" s="362"/>
      <c r="IK6" s="362"/>
      <c r="IL6" s="362"/>
      <c r="IM6" s="362"/>
      <c r="IN6" s="362"/>
      <c r="IO6" s="362"/>
      <c r="IP6" s="362"/>
      <c r="IQ6" s="362"/>
      <c r="IR6" s="362"/>
      <c r="IS6" s="362"/>
      <c r="IT6" s="362"/>
    </row>
    <row r="7" spans="1:254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366" t="s">
        <v>531</v>
      </c>
      <c r="Q7" s="972" t="str">
        <f>IF(OR($E$2=$B$86,$E$2=$B$87,E2=B88),IF($M$15&gt;=10,"ATENDE","NÃO CUMPRE"),O82)</f>
        <v>NÃO CUMPRE</v>
      </c>
      <c r="R7" s="3">
        <v>0</v>
      </c>
      <c r="S7" s="2" t="str">
        <f>IF($N$8&lt;$Q$13,IF($M$15&gt;=20,"ATENDE","NÃO ATENDE"),"REVER FUNDAMENT.")</f>
        <v>NÃO ATENDE</v>
      </c>
      <c r="T7" s="3">
        <v>0</v>
      </c>
      <c r="U7" s="2" t="str">
        <f>IF($N$8&lt;$Q$11,IF($M$15&gt;=25,"ATENDE","NÃO ATENDE"),"REVER FUNDAMENT.")</f>
        <v>NÃO ATENDE</v>
      </c>
      <c r="V7" s="2"/>
      <c r="W7" s="2"/>
      <c r="X7" s="2"/>
      <c r="Y7" s="2"/>
      <c r="Z7" s="2"/>
      <c r="AA7" s="2"/>
      <c r="AB7" s="2"/>
      <c r="AC7" s="1074"/>
      <c r="AD7" s="1075"/>
      <c r="AE7" s="1075"/>
      <c r="AF7" s="1075"/>
      <c r="AG7" s="1074"/>
      <c r="AH7" s="1074"/>
      <c r="AI7" s="1074"/>
      <c r="AJ7" s="1074"/>
      <c r="AK7" s="1074"/>
      <c r="AL7" s="1074"/>
      <c r="AM7" s="1074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1076"/>
      <c r="BB7" s="362"/>
      <c r="BC7" s="362"/>
      <c r="BD7" s="362"/>
      <c r="BE7" s="362"/>
      <c r="BF7" s="362"/>
      <c r="BG7" s="362"/>
      <c r="BH7" s="362"/>
      <c r="BI7" s="362"/>
      <c r="BJ7" s="362"/>
      <c r="BK7" s="362"/>
      <c r="BL7" s="362"/>
      <c r="BM7" s="362"/>
      <c r="BN7" s="362"/>
      <c r="BO7" s="362"/>
      <c r="BP7" s="362"/>
      <c r="BQ7" s="362"/>
      <c r="BR7" s="362"/>
      <c r="BS7" s="362"/>
      <c r="BT7" s="362"/>
      <c r="BU7" s="362"/>
      <c r="BV7" s="362"/>
      <c r="BW7" s="362"/>
      <c r="BX7" s="362"/>
      <c r="BY7" s="362"/>
      <c r="BZ7" s="362"/>
      <c r="CA7" s="362"/>
      <c r="CB7" s="362"/>
      <c r="CC7" s="362"/>
      <c r="CD7" s="362"/>
      <c r="CE7" s="362"/>
      <c r="CF7" s="362"/>
      <c r="CG7" s="362"/>
      <c r="CH7" s="362"/>
      <c r="CI7" s="362"/>
      <c r="CJ7" s="362"/>
      <c r="CK7" s="362"/>
      <c r="CL7" s="362"/>
      <c r="CM7" s="362"/>
      <c r="CN7" s="362"/>
      <c r="CO7" s="362"/>
      <c r="CP7" s="362"/>
      <c r="CQ7" s="362"/>
      <c r="CR7" s="362"/>
      <c r="CS7" s="362"/>
      <c r="CT7" s="362"/>
      <c r="CU7" s="362"/>
      <c r="CV7" s="362"/>
      <c r="CW7" s="362"/>
      <c r="CX7" s="362"/>
      <c r="CY7" s="362"/>
      <c r="CZ7" s="362"/>
      <c r="DA7" s="362"/>
      <c r="DB7" s="362"/>
      <c r="DC7" s="362"/>
      <c r="DD7" s="362"/>
      <c r="DE7" s="362"/>
      <c r="DF7" s="362"/>
      <c r="DG7" s="362"/>
      <c r="DH7" s="362"/>
      <c r="DI7" s="362"/>
      <c r="DJ7" s="362"/>
      <c r="DK7" s="362"/>
      <c r="DL7" s="362"/>
      <c r="DM7" s="362"/>
      <c r="DN7" s="362"/>
      <c r="DO7" s="362"/>
      <c r="DP7" s="362"/>
      <c r="DQ7" s="362"/>
      <c r="DR7" s="362"/>
      <c r="DS7" s="362"/>
      <c r="DT7" s="362"/>
      <c r="DU7" s="362"/>
      <c r="DV7" s="362"/>
      <c r="DW7" s="362"/>
      <c r="DX7" s="362"/>
      <c r="DY7" s="362"/>
      <c r="DZ7" s="362"/>
      <c r="EA7" s="362"/>
      <c r="EB7" s="362"/>
      <c r="EC7" s="362"/>
      <c r="ED7" s="362"/>
      <c r="EE7" s="362"/>
      <c r="EF7" s="362"/>
      <c r="EG7" s="362"/>
      <c r="EH7" s="362"/>
      <c r="EI7" s="362"/>
      <c r="EJ7" s="362"/>
      <c r="EK7" s="362"/>
      <c r="EL7" s="362"/>
      <c r="EM7" s="362"/>
      <c r="EN7" s="362"/>
      <c r="EO7" s="362"/>
      <c r="EP7" s="362"/>
      <c r="EQ7" s="362"/>
      <c r="ER7" s="362"/>
      <c r="ES7" s="362"/>
      <c r="ET7" s="362"/>
      <c r="EU7" s="362"/>
      <c r="EV7" s="362"/>
      <c r="EW7" s="362"/>
      <c r="EX7" s="362"/>
      <c r="EY7" s="362"/>
      <c r="EZ7" s="362"/>
      <c r="FA7" s="362"/>
      <c r="FB7" s="362"/>
      <c r="FC7" s="362"/>
      <c r="FD7" s="362"/>
      <c r="FE7" s="362"/>
      <c r="FF7" s="362"/>
      <c r="FG7" s="362"/>
      <c r="FH7" s="362"/>
      <c r="FI7" s="362"/>
      <c r="FJ7" s="362"/>
      <c r="FK7" s="362"/>
      <c r="FL7" s="362"/>
      <c r="FM7" s="362"/>
      <c r="FN7" s="362"/>
      <c r="FO7" s="362"/>
      <c r="FP7" s="362"/>
      <c r="FQ7" s="362"/>
      <c r="FR7" s="362"/>
      <c r="FS7" s="362"/>
      <c r="FT7" s="362"/>
      <c r="FU7" s="362"/>
      <c r="FV7" s="362"/>
      <c r="FW7" s="362"/>
      <c r="FX7" s="362"/>
      <c r="FY7" s="362"/>
      <c r="FZ7" s="362"/>
      <c r="GA7" s="362"/>
      <c r="GB7" s="362"/>
      <c r="GC7" s="362"/>
      <c r="GD7" s="362"/>
      <c r="GE7" s="362"/>
      <c r="GF7" s="362"/>
      <c r="GG7" s="362"/>
      <c r="GH7" s="362"/>
      <c r="GI7" s="362"/>
      <c r="GJ7" s="362"/>
      <c r="GK7" s="362"/>
      <c r="GL7" s="362"/>
      <c r="GM7" s="362"/>
      <c r="GN7" s="362"/>
      <c r="GO7" s="362"/>
      <c r="GP7" s="362"/>
      <c r="GQ7" s="362"/>
      <c r="GR7" s="362"/>
      <c r="GS7" s="362"/>
      <c r="GT7" s="362"/>
      <c r="GU7" s="362"/>
      <c r="GV7" s="362"/>
      <c r="GW7" s="362"/>
      <c r="GX7" s="362"/>
      <c r="GY7" s="362"/>
      <c r="GZ7" s="362"/>
      <c r="HA7" s="362"/>
      <c r="HB7" s="362"/>
      <c r="HC7" s="362"/>
      <c r="HD7" s="362"/>
      <c r="HE7" s="362"/>
      <c r="HF7" s="362"/>
      <c r="HG7" s="362"/>
      <c r="HH7" s="362"/>
      <c r="HI7" s="362"/>
      <c r="HJ7" s="362"/>
      <c r="HK7" s="362"/>
      <c r="HL7" s="362"/>
      <c r="HM7" s="362"/>
      <c r="HN7" s="362"/>
      <c r="HO7" s="362"/>
      <c r="HP7" s="362"/>
      <c r="HQ7" s="362"/>
      <c r="HR7" s="362"/>
      <c r="HS7" s="362"/>
      <c r="HT7" s="362"/>
      <c r="HU7" s="362"/>
      <c r="HV7" s="362"/>
      <c r="HW7" s="362"/>
      <c r="HX7" s="362"/>
      <c r="HY7" s="362"/>
      <c r="HZ7" s="362"/>
      <c r="IA7" s="362"/>
      <c r="IB7" s="362"/>
      <c r="IC7" s="362"/>
      <c r="ID7" s="362"/>
      <c r="IE7" s="362"/>
      <c r="IF7" s="362"/>
      <c r="IG7" s="362"/>
      <c r="IH7" s="362"/>
      <c r="II7" s="362"/>
      <c r="IJ7" s="362"/>
      <c r="IK7" s="362"/>
      <c r="IL7" s="362"/>
      <c r="IM7" s="362"/>
      <c r="IN7" s="362"/>
      <c r="IO7" s="362"/>
      <c r="IP7" s="362"/>
      <c r="IQ7" s="362"/>
      <c r="IR7" s="362"/>
      <c r="IS7" s="362"/>
      <c r="IT7" s="362"/>
    </row>
    <row r="8" spans="1:254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37">
        <f>CRÍTICA_IGP1!N8</f>
        <v>0</v>
      </c>
      <c r="O8" s="1065"/>
      <c r="P8" s="366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074"/>
      <c r="AD8" s="1075"/>
      <c r="AE8" s="1075"/>
      <c r="AF8" s="1075"/>
      <c r="AG8" s="1074"/>
      <c r="AH8" s="1074"/>
      <c r="AI8" s="1074"/>
      <c r="AJ8" s="1074"/>
      <c r="AK8" s="1074"/>
      <c r="AL8" s="1074"/>
      <c r="AM8" s="1074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1076"/>
      <c r="BB8" s="362"/>
      <c r="BC8" s="362"/>
      <c r="BD8" s="362"/>
      <c r="BE8" s="362"/>
      <c r="BF8" s="362"/>
      <c r="BG8" s="362"/>
      <c r="BH8" s="362"/>
      <c r="BI8" s="362"/>
      <c r="BJ8" s="362"/>
      <c r="BK8" s="362"/>
      <c r="BL8" s="362"/>
      <c r="BM8" s="362"/>
      <c r="BN8" s="362"/>
      <c r="BO8" s="362"/>
      <c r="BP8" s="362"/>
      <c r="BQ8" s="362"/>
      <c r="BR8" s="362"/>
      <c r="BS8" s="362"/>
      <c r="BT8" s="362"/>
      <c r="BU8" s="362"/>
      <c r="BV8" s="362"/>
      <c r="BW8" s="362"/>
      <c r="BX8" s="362"/>
      <c r="BY8" s="362"/>
      <c r="BZ8" s="362"/>
      <c r="CA8" s="362"/>
      <c r="CB8" s="362"/>
      <c r="CC8" s="362"/>
      <c r="CD8" s="362"/>
      <c r="CE8" s="362"/>
      <c r="CF8" s="362"/>
      <c r="CG8" s="362"/>
      <c r="CH8" s="362"/>
      <c r="CI8" s="362"/>
      <c r="CJ8" s="362"/>
      <c r="CK8" s="362"/>
      <c r="CL8" s="362"/>
      <c r="CM8" s="362"/>
      <c r="CN8" s="362"/>
      <c r="CO8" s="362"/>
      <c r="CP8" s="362"/>
      <c r="CQ8" s="362"/>
      <c r="CR8" s="362"/>
      <c r="CS8" s="362"/>
      <c r="CT8" s="362"/>
      <c r="CU8" s="362"/>
      <c r="CV8" s="362"/>
      <c r="CW8" s="362"/>
      <c r="CX8" s="362"/>
      <c r="CY8" s="362"/>
      <c r="CZ8" s="362"/>
      <c r="DA8" s="362"/>
      <c r="DB8" s="362"/>
      <c r="DC8" s="362"/>
      <c r="DD8" s="362"/>
      <c r="DE8" s="362"/>
      <c r="DF8" s="362"/>
      <c r="DG8" s="362"/>
      <c r="DH8" s="362"/>
      <c r="DI8" s="362"/>
      <c r="DJ8" s="362"/>
      <c r="DK8" s="362"/>
      <c r="DL8" s="362"/>
      <c r="DM8" s="362"/>
      <c r="DN8" s="362"/>
      <c r="DO8" s="362"/>
      <c r="DP8" s="362"/>
      <c r="DQ8" s="362"/>
      <c r="DR8" s="362"/>
      <c r="DS8" s="362"/>
      <c r="DT8" s="362"/>
      <c r="DU8" s="362"/>
      <c r="DV8" s="362"/>
      <c r="DW8" s="362"/>
      <c r="DX8" s="362"/>
      <c r="DY8" s="362"/>
      <c r="DZ8" s="362"/>
      <c r="EA8" s="362"/>
      <c r="EB8" s="362"/>
      <c r="EC8" s="362"/>
      <c r="ED8" s="362"/>
      <c r="EE8" s="362"/>
      <c r="EF8" s="362"/>
      <c r="EG8" s="362"/>
      <c r="EH8" s="362"/>
      <c r="EI8" s="362"/>
      <c r="EJ8" s="362"/>
      <c r="EK8" s="362"/>
      <c r="EL8" s="362"/>
      <c r="EM8" s="362"/>
      <c r="EN8" s="362"/>
      <c r="EO8" s="362"/>
      <c r="EP8" s="362"/>
      <c r="EQ8" s="362"/>
      <c r="ER8" s="362"/>
      <c r="ES8" s="362"/>
      <c r="ET8" s="362"/>
      <c r="EU8" s="362"/>
      <c r="EV8" s="362"/>
      <c r="EW8" s="362"/>
      <c r="EX8" s="362"/>
      <c r="EY8" s="362"/>
      <c r="EZ8" s="362"/>
      <c r="FA8" s="362"/>
      <c r="FB8" s="362"/>
      <c r="FC8" s="362"/>
      <c r="FD8" s="362"/>
      <c r="FE8" s="362"/>
      <c r="FF8" s="362"/>
      <c r="FG8" s="362"/>
      <c r="FH8" s="362"/>
      <c r="FI8" s="362"/>
      <c r="FJ8" s="362"/>
      <c r="FK8" s="362"/>
      <c r="FL8" s="362"/>
      <c r="FM8" s="362"/>
      <c r="FN8" s="362"/>
      <c r="FO8" s="362"/>
      <c r="FP8" s="362"/>
      <c r="FQ8" s="362"/>
      <c r="FR8" s="362"/>
      <c r="FS8" s="362"/>
      <c r="FT8" s="362"/>
      <c r="FU8" s="362"/>
      <c r="FV8" s="362"/>
      <c r="FW8" s="362"/>
      <c r="FX8" s="362"/>
      <c r="FY8" s="362"/>
      <c r="FZ8" s="362"/>
      <c r="GA8" s="362"/>
      <c r="GB8" s="362"/>
      <c r="GC8" s="362"/>
      <c r="GD8" s="362"/>
      <c r="GE8" s="362"/>
      <c r="GF8" s="362"/>
      <c r="GG8" s="362"/>
      <c r="GH8" s="362"/>
      <c r="GI8" s="362"/>
      <c r="GJ8" s="362"/>
      <c r="GK8" s="362"/>
      <c r="GL8" s="362"/>
      <c r="GM8" s="362"/>
      <c r="GN8" s="362"/>
      <c r="GO8" s="362"/>
      <c r="GP8" s="362"/>
      <c r="GQ8" s="362"/>
      <c r="GR8" s="362"/>
      <c r="GS8" s="362"/>
      <c r="GT8" s="362"/>
      <c r="GU8" s="362"/>
      <c r="GV8" s="362"/>
      <c r="GW8" s="362"/>
      <c r="GX8" s="362"/>
      <c r="GY8" s="362"/>
      <c r="GZ8" s="362"/>
      <c r="HA8" s="362"/>
      <c r="HB8" s="362"/>
      <c r="HC8" s="362"/>
      <c r="HD8" s="362"/>
      <c r="HE8" s="362"/>
      <c r="HF8" s="362"/>
      <c r="HG8" s="362"/>
      <c r="HH8" s="362"/>
      <c r="HI8" s="362"/>
      <c r="HJ8" s="362"/>
      <c r="HK8" s="362"/>
      <c r="HL8" s="362"/>
      <c r="HM8" s="362"/>
      <c r="HN8" s="362"/>
      <c r="HO8" s="362"/>
      <c r="HP8" s="362"/>
      <c r="HQ8" s="362"/>
      <c r="HR8" s="362"/>
      <c r="HS8" s="362"/>
      <c r="HT8" s="362"/>
      <c r="HU8" s="362"/>
      <c r="HV8" s="362"/>
      <c r="HW8" s="362"/>
      <c r="HX8" s="362"/>
      <c r="HY8" s="362"/>
      <c r="HZ8" s="362"/>
      <c r="IA8" s="362"/>
      <c r="IB8" s="362"/>
      <c r="IC8" s="362"/>
      <c r="ID8" s="362"/>
      <c r="IE8" s="362"/>
      <c r="IF8" s="362"/>
      <c r="IG8" s="362"/>
      <c r="IH8" s="362"/>
      <c r="II8" s="362"/>
      <c r="IJ8" s="362"/>
      <c r="IK8" s="362"/>
      <c r="IL8" s="362"/>
      <c r="IM8" s="362"/>
      <c r="IN8" s="362"/>
      <c r="IO8" s="362"/>
      <c r="IP8" s="362"/>
      <c r="IQ8" s="362"/>
      <c r="IR8" s="362"/>
      <c r="IS8" s="362"/>
      <c r="IT8" s="362"/>
    </row>
    <row r="9" spans="1:254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37">
        <f>CRÍTICA_IGP1!N9</f>
        <v>0</v>
      </c>
      <c r="O9" s="1055">
        <f>IF($N$9=0,0,O$10-N9)</f>
        <v>0</v>
      </c>
      <c r="P9" s="362"/>
      <c r="Q9" s="36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074"/>
      <c r="AD9" s="1075"/>
      <c r="AE9" s="1075"/>
      <c r="AF9" s="1075"/>
      <c r="AG9" s="1074"/>
      <c r="AH9" s="1074"/>
      <c r="AI9" s="1074"/>
      <c r="AJ9" s="1074"/>
      <c r="AK9" s="1074"/>
      <c r="AL9" s="1074"/>
      <c r="AM9" s="1074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1076"/>
      <c r="BB9" s="362"/>
      <c r="BC9" s="362"/>
      <c r="BD9" s="362"/>
      <c r="BE9" s="362"/>
      <c r="BF9" s="362"/>
      <c r="BG9" s="362"/>
      <c r="BH9" s="362"/>
      <c r="BI9" s="362"/>
      <c r="BJ9" s="362"/>
      <c r="BK9" s="362"/>
      <c r="BL9" s="362"/>
      <c r="BM9" s="362"/>
      <c r="BN9" s="362"/>
      <c r="BO9" s="362"/>
      <c r="BP9" s="362"/>
      <c r="BQ9" s="362"/>
      <c r="BR9" s="362"/>
      <c r="BS9" s="362"/>
      <c r="BT9" s="362"/>
      <c r="BU9" s="362"/>
      <c r="BV9" s="362"/>
      <c r="BW9" s="362"/>
      <c r="BX9" s="362"/>
      <c r="BY9" s="362"/>
      <c r="BZ9" s="362"/>
      <c r="CA9" s="362"/>
      <c r="CB9" s="362"/>
      <c r="CC9" s="362"/>
      <c r="CD9" s="362"/>
      <c r="CE9" s="362"/>
      <c r="CF9" s="362"/>
      <c r="CG9" s="362"/>
      <c r="CH9" s="362"/>
      <c r="CI9" s="362"/>
      <c r="CJ9" s="362"/>
      <c r="CK9" s="362"/>
      <c r="CL9" s="362"/>
      <c r="CM9" s="362"/>
      <c r="CN9" s="362"/>
      <c r="CO9" s="362"/>
      <c r="CP9" s="362"/>
      <c r="CQ9" s="362"/>
      <c r="CR9" s="362"/>
      <c r="CS9" s="362"/>
      <c r="CT9" s="362"/>
      <c r="CU9" s="362"/>
      <c r="CV9" s="362"/>
      <c r="CW9" s="362"/>
      <c r="CX9" s="362"/>
      <c r="CY9" s="362"/>
      <c r="CZ9" s="362"/>
      <c r="DA9" s="362"/>
      <c r="DB9" s="362"/>
      <c r="DC9" s="362"/>
      <c r="DD9" s="362"/>
      <c r="DE9" s="362"/>
      <c r="DF9" s="362"/>
      <c r="DG9" s="362"/>
      <c r="DH9" s="362"/>
      <c r="DI9" s="362"/>
      <c r="DJ9" s="362"/>
      <c r="DK9" s="362"/>
      <c r="DL9" s="362"/>
      <c r="DM9" s="362"/>
      <c r="DN9" s="362"/>
      <c r="DO9" s="362"/>
      <c r="DP9" s="362"/>
      <c r="DQ9" s="362"/>
      <c r="DR9" s="362"/>
      <c r="DS9" s="362"/>
      <c r="DT9" s="362"/>
      <c r="DU9" s="362"/>
      <c r="DV9" s="362"/>
      <c r="DW9" s="362"/>
      <c r="DX9" s="362"/>
      <c r="DY9" s="362"/>
      <c r="DZ9" s="362"/>
      <c r="EA9" s="362"/>
      <c r="EB9" s="362"/>
      <c r="EC9" s="362"/>
      <c r="ED9" s="362"/>
      <c r="EE9" s="362"/>
      <c r="EF9" s="362"/>
      <c r="EG9" s="362"/>
      <c r="EH9" s="362"/>
      <c r="EI9" s="362"/>
      <c r="EJ9" s="362"/>
      <c r="EK9" s="362"/>
      <c r="EL9" s="362"/>
      <c r="EM9" s="362"/>
      <c r="EN9" s="362"/>
      <c r="EO9" s="362"/>
      <c r="EP9" s="362"/>
      <c r="EQ9" s="362"/>
      <c r="ER9" s="362"/>
      <c r="ES9" s="362"/>
      <c r="ET9" s="362"/>
      <c r="EU9" s="362"/>
      <c r="EV9" s="362"/>
      <c r="EW9" s="362"/>
      <c r="EX9" s="362"/>
      <c r="EY9" s="362"/>
      <c r="EZ9" s="362"/>
      <c r="FA9" s="362"/>
      <c r="FB9" s="362"/>
      <c r="FC9" s="362"/>
      <c r="FD9" s="362"/>
      <c r="FE9" s="362"/>
      <c r="FF9" s="362"/>
      <c r="FG9" s="362"/>
      <c r="FH9" s="362"/>
      <c r="FI9" s="362"/>
      <c r="FJ9" s="362"/>
      <c r="FK9" s="362"/>
      <c r="FL9" s="362"/>
      <c r="FM9" s="362"/>
      <c r="FN9" s="362"/>
      <c r="FO9" s="362"/>
      <c r="FP9" s="362"/>
      <c r="FQ9" s="362"/>
      <c r="FR9" s="362"/>
      <c r="FS9" s="362"/>
      <c r="FT9" s="362"/>
      <c r="FU9" s="362"/>
      <c r="FV9" s="362"/>
      <c r="FW9" s="362"/>
      <c r="FX9" s="362"/>
      <c r="FY9" s="362"/>
      <c r="FZ9" s="362"/>
      <c r="GA9" s="362"/>
      <c r="GB9" s="362"/>
      <c r="GC9" s="362"/>
      <c r="GD9" s="362"/>
      <c r="GE9" s="362"/>
      <c r="GF9" s="362"/>
      <c r="GG9" s="362"/>
      <c r="GH9" s="362"/>
      <c r="GI9" s="362"/>
      <c r="GJ9" s="362"/>
      <c r="GK9" s="362"/>
      <c r="GL9" s="362"/>
      <c r="GM9" s="362"/>
      <c r="GN9" s="362"/>
      <c r="GO9" s="362"/>
      <c r="GP9" s="362"/>
      <c r="GQ9" s="362"/>
      <c r="GR9" s="362"/>
      <c r="GS9" s="362"/>
      <c r="GT9" s="362"/>
      <c r="GU9" s="362"/>
      <c r="GV9" s="362"/>
      <c r="GW9" s="362"/>
      <c r="GX9" s="362"/>
      <c r="GY9" s="362"/>
      <c r="GZ9" s="362"/>
      <c r="HA9" s="362"/>
      <c r="HB9" s="362"/>
      <c r="HC9" s="362"/>
      <c r="HD9" s="362"/>
      <c r="HE9" s="362"/>
      <c r="HF9" s="362"/>
      <c r="HG9" s="362"/>
      <c r="HH9" s="362"/>
      <c r="HI9" s="362"/>
      <c r="HJ9" s="362"/>
      <c r="HK9" s="362"/>
      <c r="HL9" s="362"/>
      <c r="HM9" s="362"/>
      <c r="HN9" s="362"/>
      <c r="HO9" s="362"/>
      <c r="HP9" s="362"/>
      <c r="HQ9" s="362"/>
      <c r="HR9" s="362"/>
      <c r="HS9" s="362"/>
      <c r="HT9" s="362"/>
      <c r="HU9" s="362"/>
      <c r="HV9" s="362"/>
      <c r="HW9" s="362"/>
      <c r="HX9" s="362"/>
      <c r="HY9" s="362"/>
      <c r="HZ9" s="362"/>
      <c r="IA9" s="362"/>
      <c r="IB9" s="362"/>
      <c r="IC9" s="362"/>
      <c r="ID9" s="362"/>
      <c r="IE9" s="362"/>
      <c r="IF9" s="362"/>
      <c r="IG9" s="362"/>
      <c r="IH9" s="362"/>
      <c r="II9" s="362"/>
      <c r="IJ9" s="362"/>
      <c r="IK9" s="362"/>
      <c r="IL9" s="362"/>
      <c r="IM9" s="362"/>
      <c r="IN9" s="362"/>
      <c r="IO9" s="362"/>
      <c r="IP9" s="362"/>
      <c r="IQ9" s="362"/>
      <c r="IR9" s="362"/>
      <c r="IS9" s="362"/>
      <c r="IT9" s="362"/>
    </row>
    <row r="10" spans="1:254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1074"/>
      <c r="AD10" s="1075"/>
      <c r="AE10" s="1075"/>
      <c r="AF10" s="1075"/>
      <c r="AG10" s="1074"/>
      <c r="AH10" s="1074"/>
      <c r="AI10" s="1074"/>
      <c r="AJ10" s="1074"/>
      <c r="AK10" s="1074"/>
      <c r="AL10" s="1074"/>
      <c r="AM10" s="1074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1076"/>
      <c r="BB10" s="362"/>
      <c r="BC10" s="362"/>
      <c r="BD10" s="362"/>
      <c r="BE10" s="362"/>
      <c r="BF10" s="362"/>
      <c r="BG10" s="362"/>
      <c r="BH10" s="362"/>
      <c r="BI10" s="362"/>
      <c r="BJ10" s="362"/>
      <c r="BK10" s="362"/>
      <c r="BL10" s="362"/>
      <c r="BM10" s="362"/>
      <c r="BN10" s="362"/>
      <c r="BO10" s="362"/>
      <c r="BP10" s="362"/>
      <c r="BQ10" s="362"/>
      <c r="BR10" s="362"/>
      <c r="BS10" s="362"/>
      <c r="BT10" s="362"/>
      <c r="BU10" s="362"/>
      <c r="BV10" s="362"/>
      <c r="BW10" s="362"/>
      <c r="BX10" s="362"/>
      <c r="BY10" s="362"/>
      <c r="BZ10" s="362"/>
      <c r="CA10" s="362"/>
      <c r="CB10" s="362"/>
      <c r="CC10" s="362"/>
      <c r="CD10" s="362"/>
      <c r="CE10" s="362"/>
      <c r="CF10" s="362"/>
      <c r="CG10" s="362"/>
      <c r="CH10" s="362"/>
      <c r="CI10" s="362"/>
      <c r="CJ10" s="362"/>
      <c r="CK10" s="362"/>
      <c r="CL10" s="362"/>
      <c r="CM10" s="362"/>
      <c r="CN10" s="362"/>
      <c r="CO10" s="362"/>
      <c r="CP10" s="362"/>
      <c r="CQ10" s="362"/>
      <c r="CR10" s="362"/>
      <c r="CS10" s="362"/>
      <c r="CT10" s="362"/>
      <c r="CU10" s="362"/>
      <c r="CV10" s="362"/>
      <c r="CW10" s="362"/>
      <c r="CX10" s="362"/>
      <c r="CY10" s="362"/>
      <c r="CZ10" s="362"/>
      <c r="DA10" s="362"/>
      <c r="DB10" s="362"/>
      <c r="DC10" s="362"/>
      <c r="DD10" s="362"/>
      <c r="DE10" s="362"/>
      <c r="DF10" s="362"/>
      <c r="DG10" s="362"/>
      <c r="DH10" s="362"/>
      <c r="DI10" s="362"/>
      <c r="DJ10" s="362"/>
      <c r="DK10" s="362"/>
      <c r="DL10" s="362"/>
      <c r="DM10" s="362"/>
      <c r="DN10" s="362"/>
      <c r="DO10" s="362"/>
      <c r="DP10" s="362"/>
      <c r="DQ10" s="362"/>
      <c r="DR10" s="362"/>
      <c r="DS10" s="362"/>
      <c r="DT10" s="362"/>
      <c r="DU10" s="362"/>
      <c r="DV10" s="362"/>
      <c r="DW10" s="362"/>
      <c r="DX10" s="362"/>
      <c r="DY10" s="362"/>
      <c r="DZ10" s="362"/>
      <c r="EA10" s="362"/>
      <c r="EB10" s="362"/>
      <c r="EC10" s="362"/>
      <c r="ED10" s="362"/>
      <c r="EE10" s="362"/>
      <c r="EF10" s="362"/>
      <c r="EG10" s="362"/>
      <c r="EH10" s="362"/>
      <c r="EI10" s="362"/>
      <c r="EJ10" s="362"/>
      <c r="EK10" s="362"/>
      <c r="EL10" s="362"/>
      <c r="EM10" s="362"/>
      <c r="EN10" s="362"/>
      <c r="EO10" s="362"/>
      <c r="EP10" s="362"/>
      <c r="EQ10" s="362"/>
      <c r="ER10" s="362"/>
      <c r="ES10" s="362"/>
      <c r="ET10" s="362"/>
      <c r="EU10" s="362"/>
      <c r="EV10" s="362"/>
      <c r="EW10" s="362"/>
      <c r="EX10" s="362"/>
      <c r="EY10" s="362"/>
      <c r="EZ10" s="362"/>
      <c r="FA10" s="362"/>
      <c r="FB10" s="362"/>
      <c r="FC10" s="362"/>
      <c r="FD10" s="362"/>
      <c r="FE10" s="362"/>
      <c r="FF10" s="362"/>
      <c r="FG10" s="362"/>
      <c r="FH10" s="362"/>
      <c r="FI10" s="362"/>
      <c r="FJ10" s="362"/>
      <c r="FK10" s="362"/>
      <c r="FL10" s="362"/>
      <c r="FM10" s="362"/>
      <c r="FN10" s="362"/>
      <c r="FO10" s="362"/>
      <c r="FP10" s="362"/>
      <c r="FQ10" s="362"/>
      <c r="FR10" s="362"/>
      <c r="FS10" s="362"/>
      <c r="FT10" s="362"/>
      <c r="FU10" s="362"/>
      <c r="FV10" s="362"/>
      <c r="FW10" s="362"/>
      <c r="FX10" s="362"/>
      <c r="FY10" s="362"/>
      <c r="FZ10" s="362"/>
      <c r="GA10" s="362"/>
      <c r="GB10" s="362"/>
      <c r="GC10" s="362"/>
      <c r="GD10" s="362"/>
      <c r="GE10" s="362"/>
      <c r="GF10" s="362"/>
      <c r="GG10" s="362"/>
      <c r="GH10" s="362"/>
      <c r="GI10" s="362"/>
      <c r="GJ10" s="362"/>
      <c r="GK10" s="362"/>
      <c r="GL10" s="362"/>
      <c r="GM10" s="362"/>
      <c r="GN10" s="362"/>
      <c r="GO10" s="362"/>
      <c r="GP10" s="362"/>
      <c r="GQ10" s="362"/>
      <c r="GR10" s="362"/>
      <c r="GS10" s="362"/>
      <c r="GT10" s="362"/>
      <c r="GU10" s="362"/>
      <c r="GV10" s="362"/>
      <c r="GW10" s="362"/>
      <c r="GX10" s="362"/>
      <c r="GY10" s="362"/>
      <c r="GZ10" s="362"/>
      <c r="HA10" s="362"/>
      <c r="HB10" s="362"/>
      <c r="HC10" s="362"/>
      <c r="HD10" s="362"/>
      <c r="HE10" s="362"/>
      <c r="HF10" s="362"/>
      <c r="HG10" s="362"/>
      <c r="HH10" s="362"/>
      <c r="HI10" s="362"/>
      <c r="HJ10" s="362"/>
      <c r="HK10" s="362"/>
      <c r="HL10" s="362"/>
      <c r="HM10" s="362"/>
      <c r="HN10" s="362"/>
      <c r="HO10" s="362"/>
      <c r="HP10" s="362"/>
      <c r="HQ10" s="362"/>
      <c r="HR10" s="362"/>
      <c r="HS10" s="362"/>
      <c r="HT10" s="362"/>
      <c r="HU10" s="362"/>
      <c r="HV10" s="362"/>
      <c r="HW10" s="362"/>
      <c r="HX10" s="362"/>
      <c r="HY10" s="362"/>
      <c r="HZ10" s="362"/>
      <c r="IA10" s="362"/>
      <c r="IB10" s="362"/>
      <c r="IC10" s="362"/>
      <c r="ID10" s="362"/>
      <c r="IE10" s="362"/>
      <c r="IF10" s="362"/>
      <c r="IG10" s="362"/>
      <c r="IH10" s="362"/>
      <c r="II10" s="362"/>
      <c r="IJ10" s="362"/>
      <c r="IK10" s="362"/>
      <c r="IL10" s="362"/>
      <c r="IM10" s="362"/>
      <c r="IN10" s="362"/>
      <c r="IO10" s="362"/>
      <c r="IP10" s="362"/>
      <c r="IQ10" s="362"/>
      <c r="IR10" s="362"/>
      <c r="IS10" s="362"/>
      <c r="IT10" s="362"/>
    </row>
    <row r="11" spans="1:254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3" t="s">
        <v>715</v>
      </c>
      <c r="Q11" s="1077">
        <v>36145</v>
      </c>
      <c r="R11" s="1078">
        <f>IF($H$19&lt;36144,$H$19,36144)</f>
        <v>0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1074"/>
      <c r="AD11" s="1075"/>
      <c r="AE11" s="1075"/>
      <c r="AF11" s="1075"/>
      <c r="AG11" s="1074"/>
      <c r="AH11" s="1074"/>
      <c r="AI11" s="1074"/>
      <c r="AJ11" s="1074"/>
      <c r="AK11" s="1074"/>
      <c r="AL11" s="1074"/>
      <c r="AM11" s="1074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1076"/>
      <c r="BB11" s="362"/>
      <c r="BC11" s="362"/>
      <c r="BD11" s="362"/>
      <c r="BE11" s="362"/>
      <c r="BF11" s="362"/>
      <c r="BG11" s="362"/>
      <c r="BH11" s="362"/>
      <c r="BI11" s="362"/>
      <c r="BJ11" s="362"/>
      <c r="BK11" s="362"/>
      <c r="BL11" s="362"/>
      <c r="BM11" s="362"/>
      <c r="BN11" s="362"/>
      <c r="BO11" s="362"/>
      <c r="BP11" s="362"/>
      <c r="BQ11" s="362"/>
      <c r="BR11" s="362"/>
      <c r="BS11" s="362"/>
      <c r="BT11" s="362"/>
      <c r="BU11" s="362"/>
      <c r="BV11" s="362"/>
      <c r="BW11" s="362"/>
      <c r="BX11" s="362"/>
      <c r="BY11" s="362"/>
      <c r="BZ11" s="362"/>
      <c r="CA11" s="362"/>
      <c r="CB11" s="362"/>
      <c r="CC11" s="362"/>
      <c r="CD11" s="362"/>
      <c r="CE11" s="362"/>
      <c r="CF11" s="362"/>
      <c r="CG11" s="362"/>
      <c r="CH11" s="362"/>
      <c r="CI11" s="362"/>
      <c r="CJ11" s="362"/>
      <c r="CK11" s="362"/>
      <c r="CL11" s="362"/>
      <c r="CM11" s="362"/>
      <c r="CN11" s="362"/>
      <c r="CO11" s="362"/>
      <c r="CP11" s="362"/>
      <c r="CQ11" s="362"/>
      <c r="CR11" s="362"/>
      <c r="CS11" s="362"/>
      <c r="CT11" s="362"/>
      <c r="CU11" s="362"/>
      <c r="CV11" s="362"/>
      <c r="CW11" s="362"/>
      <c r="CX11" s="362"/>
      <c r="CY11" s="362"/>
      <c r="CZ11" s="362"/>
      <c r="DA11" s="362"/>
      <c r="DB11" s="362"/>
      <c r="DC11" s="362"/>
      <c r="DD11" s="362"/>
      <c r="DE11" s="362"/>
      <c r="DF11" s="362"/>
      <c r="DG11" s="362"/>
      <c r="DH11" s="362"/>
      <c r="DI11" s="362"/>
      <c r="DJ11" s="362"/>
      <c r="DK11" s="362"/>
      <c r="DL11" s="362"/>
      <c r="DM11" s="362"/>
      <c r="DN11" s="362"/>
      <c r="DO11" s="362"/>
      <c r="DP11" s="362"/>
      <c r="DQ11" s="362"/>
      <c r="DR11" s="362"/>
      <c r="DS11" s="362"/>
      <c r="DT11" s="362"/>
      <c r="DU11" s="362"/>
      <c r="DV11" s="362"/>
      <c r="DW11" s="362"/>
      <c r="DX11" s="362"/>
      <c r="DY11" s="362"/>
      <c r="DZ11" s="362"/>
      <c r="EA11" s="362"/>
      <c r="EB11" s="362"/>
      <c r="EC11" s="362"/>
      <c r="ED11" s="362"/>
      <c r="EE11" s="362"/>
      <c r="EF11" s="362"/>
      <c r="EG11" s="362"/>
      <c r="EH11" s="362"/>
      <c r="EI11" s="362"/>
      <c r="EJ11" s="362"/>
      <c r="EK11" s="362"/>
      <c r="EL11" s="362"/>
      <c r="EM11" s="362"/>
      <c r="EN11" s="362"/>
      <c r="EO11" s="362"/>
      <c r="EP11" s="362"/>
      <c r="EQ11" s="362"/>
      <c r="ER11" s="362"/>
      <c r="ES11" s="362"/>
      <c r="ET11" s="362"/>
      <c r="EU11" s="362"/>
      <c r="EV11" s="362"/>
      <c r="EW11" s="362"/>
      <c r="EX11" s="362"/>
      <c r="EY11" s="362"/>
      <c r="EZ11" s="362"/>
      <c r="FA11" s="362"/>
      <c r="FB11" s="362"/>
      <c r="FC11" s="362"/>
      <c r="FD11" s="362"/>
      <c r="FE11" s="362"/>
      <c r="FF11" s="362"/>
      <c r="FG11" s="362"/>
      <c r="FH11" s="362"/>
      <c r="FI11" s="362"/>
      <c r="FJ11" s="362"/>
      <c r="FK11" s="362"/>
      <c r="FL11" s="362"/>
      <c r="FM11" s="362"/>
      <c r="FN11" s="362"/>
      <c r="FO11" s="362"/>
      <c r="FP11" s="362"/>
      <c r="FQ11" s="362"/>
      <c r="FR11" s="362"/>
      <c r="FS11" s="362"/>
      <c r="FT11" s="362"/>
      <c r="FU11" s="362"/>
      <c r="FV11" s="362"/>
      <c r="FW11" s="362"/>
      <c r="FX11" s="362"/>
      <c r="FY11" s="362"/>
      <c r="FZ11" s="362"/>
      <c r="GA11" s="362"/>
      <c r="GB11" s="362"/>
      <c r="GC11" s="362"/>
      <c r="GD11" s="362"/>
      <c r="GE11" s="362"/>
      <c r="GF11" s="362"/>
      <c r="GG11" s="362"/>
      <c r="GH11" s="362"/>
      <c r="GI11" s="362"/>
      <c r="GJ11" s="362"/>
      <c r="GK11" s="362"/>
      <c r="GL11" s="362"/>
      <c r="GM11" s="362"/>
      <c r="GN11" s="362"/>
      <c r="GO11" s="362"/>
      <c r="GP11" s="362"/>
      <c r="GQ11" s="362"/>
      <c r="GR11" s="362"/>
      <c r="GS11" s="362"/>
      <c r="GT11" s="362"/>
      <c r="GU11" s="362"/>
      <c r="GV11" s="362"/>
      <c r="GW11" s="362"/>
      <c r="GX11" s="362"/>
      <c r="GY11" s="362"/>
      <c r="GZ11" s="362"/>
      <c r="HA11" s="362"/>
      <c r="HB11" s="362"/>
      <c r="HC11" s="362"/>
      <c r="HD11" s="362"/>
      <c r="HE11" s="362"/>
      <c r="HF11" s="362"/>
      <c r="HG11" s="362"/>
      <c r="HH11" s="362"/>
      <c r="HI11" s="362"/>
      <c r="HJ11" s="362"/>
      <c r="HK11" s="362"/>
      <c r="HL11" s="362"/>
      <c r="HM11" s="362"/>
      <c r="HN11" s="362"/>
      <c r="HO11" s="362"/>
      <c r="HP11" s="362"/>
      <c r="HQ11" s="362"/>
      <c r="HR11" s="362"/>
      <c r="HS11" s="362"/>
      <c r="HT11" s="362"/>
      <c r="HU11" s="362"/>
      <c r="HV11" s="362"/>
      <c r="HW11" s="362"/>
      <c r="HX11" s="362"/>
      <c r="HY11" s="362"/>
      <c r="HZ11" s="362"/>
      <c r="IA11" s="362"/>
      <c r="IB11" s="362"/>
      <c r="IC11" s="362"/>
      <c r="ID11" s="362"/>
      <c r="IE11" s="362"/>
      <c r="IF11" s="362"/>
      <c r="IG11" s="362"/>
      <c r="IH11" s="362"/>
      <c r="II11" s="362"/>
      <c r="IJ11" s="362"/>
      <c r="IK11" s="362"/>
      <c r="IL11" s="362"/>
      <c r="IM11" s="362"/>
      <c r="IN11" s="362"/>
      <c r="IO11" s="362"/>
      <c r="IP11" s="362"/>
      <c r="IQ11" s="362"/>
      <c r="IR11" s="362"/>
      <c r="IS11" s="362"/>
      <c r="IT11" s="362"/>
    </row>
    <row r="12" spans="1:254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3" t="s">
        <v>717</v>
      </c>
      <c r="Q12" s="1079">
        <v>38037</v>
      </c>
      <c r="R12" s="1078">
        <f>IF($H$19&lt;38036,$H$19,38036)</f>
        <v>0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1074"/>
      <c r="AD12" s="1075"/>
      <c r="AE12" s="1075"/>
      <c r="AF12" s="1075"/>
      <c r="AG12" s="1074"/>
      <c r="AH12" s="1074"/>
      <c r="AI12" s="1074"/>
      <c r="AJ12" s="1074"/>
      <c r="AK12" s="1074"/>
      <c r="AL12" s="1074"/>
      <c r="AM12" s="1074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1076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  <c r="BL12" s="362"/>
      <c r="BM12" s="362"/>
      <c r="BN12" s="362"/>
      <c r="BO12" s="362"/>
      <c r="BP12" s="362"/>
      <c r="BQ12" s="362"/>
      <c r="BR12" s="362"/>
      <c r="BS12" s="362"/>
      <c r="BT12" s="362"/>
      <c r="BU12" s="362"/>
      <c r="BV12" s="362"/>
      <c r="BW12" s="362"/>
      <c r="BX12" s="362"/>
      <c r="BY12" s="362"/>
      <c r="BZ12" s="362"/>
      <c r="CA12" s="362"/>
      <c r="CB12" s="362"/>
      <c r="CC12" s="362"/>
      <c r="CD12" s="362"/>
      <c r="CE12" s="362"/>
      <c r="CF12" s="362"/>
      <c r="CG12" s="362"/>
      <c r="CH12" s="362"/>
      <c r="CI12" s="362"/>
      <c r="CJ12" s="362"/>
      <c r="CK12" s="362"/>
      <c r="CL12" s="362"/>
      <c r="CM12" s="362"/>
      <c r="CN12" s="362"/>
      <c r="CO12" s="362"/>
      <c r="CP12" s="362"/>
      <c r="CQ12" s="362"/>
      <c r="CR12" s="362"/>
      <c r="CS12" s="362"/>
      <c r="CT12" s="362"/>
      <c r="CU12" s="362"/>
      <c r="CV12" s="362"/>
      <c r="CW12" s="362"/>
      <c r="CX12" s="362"/>
      <c r="CY12" s="362"/>
      <c r="CZ12" s="362"/>
      <c r="DA12" s="362"/>
      <c r="DB12" s="362"/>
      <c r="DC12" s="362"/>
      <c r="DD12" s="362"/>
      <c r="DE12" s="362"/>
      <c r="DF12" s="362"/>
      <c r="DG12" s="362"/>
      <c r="DH12" s="362"/>
      <c r="DI12" s="362"/>
      <c r="DJ12" s="362"/>
      <c r="DK12" s="362"/>
      <c r="DL12" s="362"/>
      <c r="DM12" s="362"/>
      <c r="DN12" s="362"/>
      <c r="DO12" s="362"/>
      <c r="DP12" s="362"/>
      <c r="DQ12" s="362"/>
      <c r="DR12" s="362"/>
      <c r="DS12" s="362"/>
      <c r="DT12" s="362"/>
      <c r="DU12" s="362"/>
      <c r="DV12" s="362"/>
      <c r="DW12" s="362"/>
      <c r="DX12" s="362"/>
      <c r="DY12" s="362"/>
      <c r="DZ12" s="362"/>
      <c r="EA12" s="362"/>
      <c r="EB12" s="362"/>
      <c r="EC12" s="362"/>
      <c r="ED12" s="362"/>
      <c r="EE12" s="362"/>
      <c r="EF12" s="362"/>
      <c r="EG12" s="362"/>
      <c r="EH12" s="362"/>
      <c r="EI12" s="362"/>
      <c r="EJ12" s="362"/>
      <c r="EK12" s="362"/>
      <c r="EL12" s="362"/>
      <c r="EM12" s="362"/>
      <c r="EN12" s="362"/>
      <c r="EO12" s="362"/>
      <c r="EP12" s="362"/>
      <c r="EQ12" s="362"/>
      <c r="ER12" s="362"/>
      <c r="ES12" s="362"/>
      <c r="ET12" s="362"/>
      <c r="EU12" s="362"/>
      <c r="EV12" s="362"/>
      <c r="EW12" s="362"/>
      <c r="EX12" s="362"/>
      <c r="EY12" s="362"/>
      <c r="EZ12" s="362"/>
      <c r="FA12" s="362"/>
      <c r="FB12" s="362"/>
      <c r="FC12" s="362"/>
      <c r="FD12" s="362"/>
      <c r="FE12" s="362"/>
      <c r="FF12" s="362"/>
      <c r="FG12" s="362"/>
      <c r="FH12" s="362"/>
      <c r="FI12" s="362"/>
      <c r="FJ12" s="362"/>
      <c r="FK12" s="362"/>
      <c r="FL12" s="362"/>
      <c r="FM12" s="362"/>
      <c r="FN12" s="362"/>
      <c r="FO12" s="362"/>
      <c r="FP12" s="362"/>
      <c r="FQ12" s="362"/>
      <c r="FR12" s="362"/>
      <c r="FS12" s="362"/>
      <c r="FT12" s="362"/>
      <c r="FU12" s="362"/>
      <c r="FV12" s="362"/>
      <c r="FW12" s="362"/>
      <c r="FX12" s="362"/>
      <c r="FY12" s="362"/>
      <c r="FZ12" s="362"/>
      <c r="GA12" s="362"/>
      <c r="GB12" s="362"/>
      <c r="GC12" s="362"/>
      <c r="GD12" s="362"/>
      <c r="GE12" s="362"/>
      <c r="GF12" s="362"/>
      <c r="GG12" s="362"/>
      <c r="GH12" s="362"/>
      <c r="GI12" s="362"/>
      <c r="GJ12" s="362"/>
      <c r="GK12" s="362"/>
      <c r="GL12" s="362"/>
      <c r="GM12" s="362"/>
      <c r="GN12" s="362"/>
      <c r="GO12" s="362"/>
      <c r="GP12" s="362"/>
      <c r="GQ12" s="362"/>
      <c r="GR12" s="362"/>
      <c r="GS12" s="362"/>
      <c r="GT12" s="362"/>
      <c r="GU12" s="362"/>
      <c r="GV12" s="362"/>
      <c r="GW12" s="362"/>
      <c r="GX12" s="362"/>
      <c r="GY12" s="362"/>
      <c r="GZ12" s="362"/>
      <c r="HA12" s="362"/>
      <c r="HB12" s="362"/>
      <c r="HC12" s="362"/>
      <c r="HD12" s="362"/>
      <c r="HE12" s="362"/>
      <c r="HF12" s="362"/>
      <c r="HG12" s="362"/>
      <c r="HH12" s="362"/>
      <c r="HI12" s="362"/>
      <c r="HJ12" s="362"/>
      <c r="HK12" s="362"/>
      <c r="HL12" s="362"/>
      <c r="HM12" s="362"/>
      <c r="HN12" s="362"/>
      <c r="HO12" s="362"/>
      <c r="HP12" s="362"/>
      <c r="HQ12" s="362"/>
      <c r="HR12" s="362"/>
      <c r="HS12" s="362"/>
      <c r="HT12" s="362"/>
      <c r="HU12" s="362"/>
      <c r="HV12" s="362"/>
      <c r="HW12" s="362"/>
      <c r="HX12" s="362"/>
      <c r="HY12" s="362"/>
      <c r="HZ12" s="362"/>
      <c r="IA12" s="362"/>
      <c r="IB12" s="362"/>
      <c r="IC12" s="362"/>
      <c r="ID12" s="362"/>
      <c r="IE12" s="362"/>
      <c r="IF12" s="362"/>
      <c r="IG12" s="362"/>
      <c r="IH12" s="362"/>
      <c r="II12" s="362"/>
      <c r="IJ12" s="362"/>
      <c r="IK12" s="362"/>
      <c r="IL12" s="362"/>
      <c r="IM12" s="362"/>
      <c r="IN12" s="362"/>
      <c r="IO12" s="362"/>
      <c r="IP12" s="362"/>
      <c r="IQ12" s="362"/>
      <c r="IR12" s="362"/>
      <c r="IS12" s="362"/>
      <c r="IT12" s="362"/>
    </row>
    <row r="13" spans="1:254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055">
        <f>IF($J$8=0,0,O$10-$J$8-$O$63-$O$61)</f>
        <v>0</v>
      </c>
      <c r="P13" s="3" t="s">
        <v>716</v>
      </c>
      <c r="Q13" s="1077">
        <v>37986</v>
      </c>
      <c r="R13" s="1078">
        <f>IF($H$19&lt;37985,$H$19,37985)</f>
        <v>0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1074"/>
      <c r="AD13" s="1075"/>
      <c r="AE13" s="1075"/>
      <c r="AF13" s="1075"/>
      <c r="AG13" s="1074"/>
      <c r="AH13" s="1074"/>
      <c r="AI13" s="1074"/>
      <c r="AJ13" s="1074"/>
      <c r="AK13" s="1074"/>
      <c r="AL13" s="1074"/>
      <c r="AM13" s="1074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1076"/>
      <c r="BB13" s="362"/>
      <c r="BC13" s="362"/>
      <c r="BD13" s="362"/>
      <c r="BE13" s="362"/>
      <c r="BF13" s="362"/>
      <c r="BG13" s="362"/>
      <c r="BH13" s="362"/>
      <c r="BI13" s="362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2"/>
      <c r="BV13" s="362"/>
      <c r="BW13" s="362"/>
      <c r="BX13" s="362"/>
      <c r="BY13" s="362"/>
      <c r="BZ13" s="362"/>
      <c r="CA13" s="362"/>
      <c r="CB13" s="362"/>
      <c r="CC13" s="362"/>
      <c r="CD13" s="362"/>
      <c r="CE13" s="362"/>
      <c r="CF13" s="362"/>
      <c r="CG13" s="362"/>
      <c r="CH13" s="362"/>
      <c r="CI13" s="362"/>
      <c r="CJ13" s="362"/>
      <c r="CK13" s="362"/>
      <c r="CL13" s="362"/>
      <c r="CM13" s="362"/>
      <c r="CN13" s="362"/>
      <c r="CO13" s="362"/>
      <c r="CP13" s="362"/>
      <c r="CQ13" s="362"/>
      <c r="CR13" s="362"/>
      <c r="CS13" s="362"/>
      <c r="CT13" s="362"/>
      <c r="CU13" s="362"/>
      <c r="CV13" s="362"/>
      <c r="CW13" s="362"/>
      <c r="CX13" s="362"/>
      <c r="CY13" s="362"/>
      <c r="CZ13" s="362"/>
      <c r="DA13" s="362"/>
      <c r="DB13" s="362"/>
      <c r="DC13" s="362"/>
      <c r="DD13" s="362"/>
      <c r="DE13" s="362"/>
      <c r="DF13" s="362"/>
      <c r="DG13" s="362"/>
      <c r="DH13" s="362"/>
      <c r="DI13" s="362"/>
      <c r="DJ13" s="362"/>
      <c r="DK13" s="362"/>
      <c r="DL13" s="362"/>
      <c r="DM13" s="362"/>
      <c r="DN13" s="362"/>
      <c r="DO13" s="362"/>
      <c r="DP13" s="362"/>
      <c r="DQ13" s="362"/>
      <c r="DR13" s="362"/>
      <c r="DS13" s="362"/>
      <c r="DT13" s="362"/>
      <c r="DU13" s="362"/>
      <c r="DV13" s="362"/>
      <c r="DW13" s="362"/>
      <c r="DX13" s="362"/>
      <c r="DY13" s="362"/>
      <c r="DZ13" s="362"/>
      <c r="EA13" s="362"/>
      <c r="EB13" s="362"/>
      <c r="EC13" s="362"/>
      <c r="ED13" s="362"/>
      <c r="EE13" s="362"/>
      <c r="EF13" s="362"/>
      <c r="EG13" s="362"/>
      <c r="EH13" s="362"/>
      <c r="EI13" s="362"/>
      <c r="EJ13" s="362"/>
      <c r="EK13" s="362"/>
      <c r="EL13" s="362"/>
      <c r="EM13" s="362"/>
      <c r="EN13" s="362"/>
      <c r="EO13" s="362"/>
      <c r="EP13" s="362"/>
      <c r="EQ13" s="362"/>
      <c r="ER13" s="362"/>
      <c r="ES13" s="362"/>
      <c r="ET13" s="362"/>
      <c r="EU13" s="362"/>
      <c r="EV13" s="362"/>
      <c r="EW13" s="362"/>
      <c r="EX13" s="362"/>
      <c r="EY13" s="362"/>
      <c r="EZ13" s="362"/>
      <c r="FA13" s="362"/>
      <c r="FB13" s="362"/>
      <c r="FC13" s="362"/>
      <c r="FD13" s="362"/>
      <c r="FE13" s="362"/>
      <c r="FF13" s="362"/>
      <c r="FG13" s="362"/>
      <c r="FH13" s="362"/>
      <c r="FI13" s="362"/>
      <c r="FJ13" s="362"/>
      <c r="FK13" s="362"/>
      <c r="FL13" s="362"/>
      <c r="FM13" s="362"/>
      <c r="FN13" s="362"/>
      <c r="FO13" s="362"/>
      <c r="FP13" s="362"/>
      <c r="FQ13" s="362"/>
      <c r="FR13" s="362"/>
      <c r="FS13" s="362"/>
      <c r="FT13" s="362"/>
      <c r="FU13" s="362"/>
      <c r="FV13" s="362"/>
      <c r="FW13" s="362"/>
      <c r="FX13" s="362"/>
      <c r="FY13" s="362"/>
      <c r="FZ13" s="362"/>
      <c r="GA13" s="362"/>
      <c r="GB13" s="362"/>
      <c r="GC13" s="362"/>
      <c r="GD13" s="362"/>
      <c r="GE13" s="362"/>
      <c r="GF13" s="362"/>
      <c r="GG13" s="362"/>
      <c r="GH13" s="362"/>
      <c r="GI13" s="362"/>
      <c r="GJ13" s="362"/>
      <c r="GK13" s="362"/>
      <c r="GL13" s="362"/>
      <c r="GM13" s="362"/>
      <c r="GN13" s="362"/>
      <c r="GO13" s="362"/>
      <c r="GP13" s="362"/>
      <c r="GQ13" s="362"/>
      <c r="GR13" s="362"/>
      <c r="GS13" s="362"/>
      <c r="GT13" s="362"/>
      <c r="GU13" s="362"/>
      <c r="GV13" s="362"/>
      <c r="GW13" s="362"/>
      <c r="GX13" s="362"/>
      <c r="GY13" s="362"/>
      <c r="GZ13" s="362"/>
      <c r="HA13" s="362"/>
      <c r="HB13" s="362"/>
      <c r="HC13" s="362"/>
      <c r="HD13" s="362"/>
      <c r="HE13" s="362"/>
      <c r="HF13" s="362"/>
      <c r="HG13" s="362"/>
      <c r="HH13" s="362"/>
      <c r="HI13" s="362"/>
      <c r="HJ13" s="362"/>
      <c r="HK13" s="362"/>
      <c r="HL13" s="362"/>
      <c r="HM13" s="362"/>
      <c r="HN13" s="362"/>
      <c r="HO13" s="362"/>
      <c r="HP13" s="362"/>
      <c r="HQ13" s="362"/>
      <c r="HR13" s="362"/>
      <c r="HS13" s="362"/>
      <c r="HT13" s="362"/>
      <c r="HU13" s="362"/>
      <c r="HV13" s="362"/>
      <c r="HW13" s="362"/>
      <c r="HX13" s="362"/>
      <c r="HY13" s="362"/>
      <c r="HZ13" s="362"/>
      <c r="IA13" s="362"/>
      <c r="IB13" s="362"/>
      <c r="IC13" s="362"/>
      <c r="ID13" s="362"/>
      <c r="IE13" s="362"/>
      <c r="IF13" s="362"/>
      <c r="IG13" s="362"/>
      <c r="IH13" s="362"/>
      <c r="II13" s="362"/>
      <c r="IJ13" s="362"/>
      <c r="IK13" s="362"/>
      <c r="IL13" s="362"/>
      <c r="IM13" s="362"/>
      <c r="IN13" s="362"/>
      <c r="IO13" s="362"/>
      <c r="IP13" s="362"/>
      <c r="IQ13" s="362"/>
      <c r="IR13" s="362"/>
      <c r="IS13" s="362"/>
      <c r="IT13" s="362"/>
    </row>
    <row r="14" spans="1:254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 t="s">
        <v>744</v>
      </c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055">
        <f>IF($J$9=0,0,O$10-$J$9-$O$63-$O$61)</f>
        <v>0</v>
      </c>
      <c r="P14" s="3" t="s">
        <v>545</v>
      </c>
      <c r="Q14" s="1077">
        <v>32421</v>
      </c>
      <c r="R14" s="1077"/>
      <c r="S14" s="2"/>
      <c r="T14" s="2"/>
      <c r="U14" s="2"/>
      <c r="V14" s="2"/>
      <c r="W14" s="2"/>
      <c r="X14" s="2"/>
      <c r="Y14" s="2"/>
      <c r="Z14" s="2"/>
      <c r="AA14" s="2"/>
      <c r="AB14" s="2"/>
      <c r="AC14" s="1074"/>
      <c r="AD14" s="1075"/>
      <c r="AE14" s="1075"/>
      <c r="AF14" s="1075"/>
      <c r="AG14" s="1074"/>
      <c r="AH14" s="1074"/>
      <c r="AI14" s="1074"/>
      <c r="AJ14" s="1074"/>
      <c r="AK14" s="1074"/>
      <c r="AL14" s="1074"/>
      <c r="AM14" s="1074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1076"/>
      <c r="BB14" s="362"/>
      <c r="BC14" s="362"/>
      <c r="BD14" s="362"/>
      <c r="BE14" s="362"/>
      <c r="BF14" s="362"/>
      <c r="BG14" s="362"/>
      <c r="BH14" s="362"/>
      <c r="BI14" s="362"/>
      <c r="BJ14" s="362"/>
      <c r="BK14" s="362"/>
      <c r="BL14" s="362"/>
      <c r="BM14" s="362"/>
      <c r="BN14" s="362"/>
      <c r="BO14" s="362"/>
      <c r="BP14" s="362"/>
      <c r="BQ14" s="362"/>
      <c r="BR14" s="362"/>
      <c r="BS14" s="362"/>
      <c r="BT14" s="362"/>
      <c r="BU14" s="362"/>
      <c r="BV14" s="362"/>
      <c r="BW14" s="362"/>
      <c r="BX14" s="362"/>
      <c r="BY14" s="362"/>
      <c r="BZ14" s="362"/>
      <c r="CA14" s="362"/>
      <c r="CB14" s="362"/>
      <c r="CC14" s="362"/>
      <c r="CD14" s="362"/>
      <c r="CE14" s="362"/>
      <c r="CF14" s="362"/>
      <c r="CG14" s="362"/>
      <c r="CH14" s="362"/>
      <c r="CI14" s="362"/>
      <c r="CJ14" s="362"/>
      <c r="CK14" s="362"/>
      <c r="CL14" s="362"/>
      <c r="CM14" s="362"/>
      <c r="CN14" s="362"/>
      <c r="CO14" s="362"/>
      <c r="CP14" s="362"/>
      <c r="CQ14" s="362"/>
      <c r="CR14" s="362"/>
      <c r="CS14" s="362"/>
      <c r="CT14" s="362"/>
      <c r="CU14" s="362"/>
      <c r="CV14" s="362"/>
      <c r="CW14" s="362"/>
      <c r="CX14" s="362"/>
      <c r="CY14" s="362"/>
      <c r="CZ14" s="362"/>
      <c r="DA14" s="362"/>
      <c r="DB14" s="362"/>
      <c r="DC14" s="362"/>
      <c r="DD14" s="362"/>
      <c r="DE14" s="362"/>
      <c r="DF14" s="362"/>
      <c r="DG14" s="362"/>
      <c r="DH14" s="362"/>
      <c r="DI14" s="362"/>
      <c r="DJ14" s="362"/>
      <c r="DK14" s="362"/>
      <c r="DL14" s="362"/>
      <c r="DM14" s="362"/>
      <c r="DN14" s="362"/>
      <c r="DO14" s="362"/>
      <c r="DP14" s="362"/>
      <c r="DQ14" s="362"/>
      <c r="DR14" s="362"/>
      <c r="DS14" s="362"/>
      <c r="DT14" s="362"/>
      <c r="DU14" s="362"/>
      <c r="DV14" s="362"/>
      <c r="DW14" s="362"/>
      <c r="DX14" s="362"/>
      <c r="DY14" s="362"/>
      <c r="DZ14" s="362"/>
      <c r="EA14" s="362"/>
      <c r="EB14" s="362"/>
      <c r="EC14" s="362"/>
      <c r="ED14" s="362"/>
      <c r="EE14" s="362"/>
      <c r="EF14" s="362"/>
      <c r="EG14" s="362"/>
      <c r="EH14" s="362"/>
      <c r="EI14" s="362"/>
      <c r="EJ14" s="362"/>
      <c r="EK14" s="362"/>
      <c r="EL14" s="362"/>
      <c r="EM14" s="362"/>
      <c r="EN14" s="362"/>
      <c r="EO14" s="362"/>
      <c r="EP14" s="362"/>
      <c r="EQ14" s="362"/>
      <c r="ER14" s="362"/>
      <c r="ES14" s="362"/>
      <c r="ET14" s="362"/>
      <c r="EU14" s="362"/>
      <c r="EV14" s="362"/>
      <c r="EW14" s="362"/>
      <c r="EX14" s="362"/>
      <c r="EY14" s="362"/>
      <c r="EZ14" s="362"/>
      <c r="FA14" s="362"/>
      <c r="FB14" s="362"/>
      <c r="FC14" s="362"/>
      <c r="FD14" s="362"/>
      <c r="FE14" s="362"/>
      <c r="FF14" s="362"/>
      <c r="FG14" s="362"/>
      <c r="FH14" s="362"/>
      <c r="FI14" s="362"/>
      <c r="FJ14" s="362"/>
      <c r="FK14" s="362"/>
      <c r="FL14" s="362"/>
      <c r="FM14" s="362"/>
      <c r="FN14" s="362"/>
      <c r="FO14" s="362"/>
      <c r="FP14" s="362"/>
      <c r="FQ14" s="362"/>
      <c r="FR14" s="362"/>
      <c r="FS14" s="362"/>
      <c r="FT14" s="362"/>
      <c r="FU14" s="362"/>
      <c r="FV14" s="362"/>
      <c r="FW14" s="362"/>
      <c r="FX14" s="362"/>
      <c r="FY14" s="362"/>
      <c r="FZ14" s="362"/>
      <c r="GA14" s="362"/>
      <c r="GB14" s="362"/>
      <c r="GC14" s="362"/>
      <c r="GD14" s="362"/>
      <c r="GE14" s="362"/>
      <c r="GF14" s="362"/>
      <c r="GG14" s="362"/>
      <c r="GH14" s="362"/>
      <c r="GI14" s="362"/>
      <c r="GJ14" s="362"/>
      <c r="GK14" s="362"/>
      <c r="GL14" s="362"/>
      <c r="GM14" s="362"/>
      <c r="GN14" s="362"/>
      <c r="GO14" s="362"/>
      <c r="GP14" s="362"/>
      <c r="GQ14" s="362"/>
      <c r="GR14" s="362"/>
      <c r="GS14" s="362"/>
      <c r="GT14" s="362"/>
      <c r="GU14" s="362"/>
      <c r="GV14" s="362"/>
      <c r="GW14" s="362"/>
      <c r="GX14" s="362"/>
      <c r="GY14" s="362"/>
      <c r="GZ14" s="362"/>
      <c r="HA14" s="362"/>
      <c r="HB14" s="362"/>
      <c r="HC14" s="362"/>
      <c r="HD14" s="362"/>
      <c r="HE14" s="362"/>
      <c r="HF14" s="362"/>
      <c r="HG14" s="362"/>
      <c r="HH14" s="362"/>
      <c r="HI14" s="362"/>
      <c r="HJ14" s="362"/>
      <c r="HK14" s="362"/>
      <c r="HL14" s="362"/>
      <c r="HM14" s="362"/>
      <c r="HN14" s="362"/>
      <c r="HO14" s="362"/>
      <c r="HP14" s="362"/>
      <c r="HQ14" s="362"/>
      <c r="HR14" s="362"/>
      <c r="HS14" s="362"/>
      <c r="HT14" s="362"/>
      <c r="HU14" s="362"/>
      <c r="HV14" s="362"/>
      <c r="HW14" s="362"/>
      <c r="HX14" s="362"/>
      <c r="HY14" s="362"/>
      <c r="HZ14" s="362"/>
      <c r="IA14" s="362"/>
      <c r="IB14" s="362"/>
      <c r="IC14" s="362"/>
      <c r="ID14" s="362"/>
      <c r="IE14" s="362"/>
      <c r="IF14" s="362"/>
      <c r="IG14" s="362"/>
      <c r="IH14" s="362"/>
      <c r="II14" s="362"/>
      <c r="IJ14" s="362"/>
      <c r="IK14" s="362"/>
      <c r="IL14" s="362"/>
      <c r="IM14" s="362"/>
      <c r="IN14" s="362"/>
      <c r="IO14" s="362"/>
      <c r="IP14" s="362"/>
      <c r="IQ14" s="362"/>
      <c r="IR14" s="362"/>
      <c r="IS14" s="362"/>
      <c r="IT14" s="362"/>
    </row>
    <row r="15" spans="1:254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056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3" t="s">
        <v>705</v>
      </c>
      <c r="Q15" s="1077">
        <v>35915</v>
      </c>
      <c r="R15" s="1077"/>
      <c r="S15" s="2"/>
      <c r="T15" s="2"/>
      <c r="U15" s="2"/>
      <c r="V15" s="2"/>
      <c r="W15" s="2"/>
      <c r="X15" s="2"/>
      <c r="Y15" s="2"/>
      <c r="Z15" s="2"/>
      <c r="AA15" s="2"/>
      <c r="AB15" s="2"/>
      <c r="AC15" s="1074"/>
      <c r="AD15" s="1075"/>
      <c r="AE15" s="1075"/>
      <c r="AF15" s="1075"/>
      <c r="AG15" s="1074"/>
      <c r="AH15" s="1074"/>
      <c r="AI15" s="1074"/>
      <c r="AJ15" s="1074"/>
      <c r="AK15" s="1074"/>
      <c r="AL15" s="1074"/>
      <c r="AM15" s="1074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1076"/>
      <c r="BB15" s="362"/>
      <c r="BC15" s="362"/>
      <c r="BD15" s="362"/>
      <c r="BE15" s="362"/>
      <c r="BF15" s="362"/>
      <c r="BG15" s="362"/>
      <c r="BH15" s="362"/>
      <c r="BI15" s="362"/>
      <c r="BJ15" s="362"/>
      <c r="BK15" s="362"/>
      <c r="BL15" s="362"/>
      <c r="BM15" s="362"/>
      <c r="BN15" s="362"/>
      <c r="BO15" s="362"/>
      <c r="BP15" s="362"/>
      <c r="BQ15" s="362"/>
      <c r="BR15" s="362"/>
      <c r="BS15" s="362"/>
      <c r="BT15" s="362"/>
      <c r="BU15" s="362"/>
      <c r="BV15" s="362"/>
      <c r="BW15" s="362"/>
      <c r="BX15" s="362"/>
      <c r="BY15" s="362"/>
      <c r="BZ15" s="362"/>
      <c r="CA15" s="362"/>
      <c r="CB15" s="362"/>
      <c r="CC15" s="362"/>
      <c r="CD15" s="362"/>
      <c r="CE15" s="362"/>
      <c r="CF15" s="362"/>
      <c r="CG15" s="362"/>
      <c r="CH15" s="362"/>
      <c r="CI15" s="362"/>
      <c r="CJ15" s="362"/>
      <c r="CK15" s="362"/>
      <c r="CL15" s="362"/>
      <c r="CM15" s="362"/>
      <c r="CN15" s="362"/>
      <c r="CO15" s="362"/>
      <c r="CP15" s="362"/>
      <c r="CQ15" s="362"/>
      <c r="CR15" s="362"/>
      <c r="CS15" s="362"/>
      <c r="CT15" s="362"/>
      <c r="CU15" s="362"/>
      <c r="CV15" s="362"/>
      <c r="CW15" s="362"/>
      <c r="CX15" s="362"/>
      <c r="CY15" s="362"/>
      <c r="CZ15" s="362"/>
      <c r="DA15" s="362"/>
      <c r="DB15" s="362"/>
      <c r="DC15" s="362"/>
      <c r="DD15" s="362"/>
      <c r="DE15" s="362"/>
      <c r="DF15" s="362"/>
      <c r="DG15" s="362"/>
      <c r="DH15" s="362"/>
      <c r="DI15" s="362"/>
      <c r="DJ15" s="362"/>
      <c r="DK15" s="362"/>
      <c r="DL15" s="362"/>
      <c r="DM15" s="362"/>
      <c r="DN15" s="362"/>
      <c r="DO15" s="362"/>
      <c r="DP15" s="362"/>
      <c r="DQ15" s="362"/>
      <c r="DR15" s="362"/>
      <c r="DS15" s="362"/>
      <c r="DT15" s="362"/>
      <c r="DU15" s="362"/>
      <c r="DV15" s="362"/>
      <c r="DW15" s="362"/>
      <c r="DX15" s="362"/>
      <c r="DY15" s="362"/>
      <c r="DZ15" s="362"/>
      <c r="EA15" s="362"/>
      <c r="EB15" s="362"/>
      <c r="EC15" s="362"/>
      <c r="ED15" s="362"/>
      <c r="EE15" s="362"/>
      <c r="EF15" s="362"/>
      <c r="EG15" s="362"/>
      <c r="EH15" s="362"/>
      <c r="EI15" s="362"/>
      <c r="EJ15" s="362"/>
      <c r="EK15" s="362"/>
      <c r="EL15" s="362"/>
      <c r="EM15" s="362"/>
      <c r="EN15" s="362"/>
      <c r="EO15" s="362"/>
      <c r="EP15" s="362"/>
      <c r="EQ15" s="362"/>
      <c r="ER15" s="362"/>
      <c r="ES15" s="362"/>
      <c r="ET15" s="362"/>
      <c r="EU15" s="362"/>
      <c r="EV15" s="362"/>
      <c r="EW15" s="362"/>
      <c r="EX15" s="362"/>
      <c r="EY15" s="362"/>
      <c r="EZ15" s="362"/>
      <c r="FA15" s="362"/>
      <c r="FB15" s="362"/>
      <c r="FC15" s="362"/>
      <c r="FD15" s="362"/>
      <c r="FE15" s="362"/>
      <c r="FF15" s="362"/>
      <c r="FG15" s="362"/>
      <c r="FH15" s="362"/>
      <c r="FI15" s="362"/>
      <c r="FJ15" s="362"/>
      <c r="FK15" s="362"/>
      <c r="FL15" s="362"/>
      <c r="FM15" s="362"/>
      <c r="FN15" s="362"/>
      <c r="FO15" s="362"/>
      <c r="FP15" s="362"/>
      <c r="FQ15" s="362"/>
      <c r="FR15" s="362"/>
      <c r="FS15" s="362"/>
      <c r="FT15" s="362"/>
      <c r="FU15" s="362"/>
      <c r="FV15" s="362"/>
      <c r="FW15" s="362"/>
      <c r="FX15" s="362"/>
      <c r="FY15" s="362"/>
      <c r="FZ15" s="362"/>
      <c r="GA15" s="362"/>
      <c r="GB15" s="362"/>
      <c r="GC15" s="362"/>
      <c r="GD15" s="362"/>
      <c r="GE15" s="362"/>
      <c r="GF15" s="362"/>
      <c r="GG15" s="362"/>
      <c r="GH15" s="362"/>
      <c r="GI15" s="362"/>
      <c r="GJ15" s="362"/>
      <c r="GK15" s="362"/>
      <c r="GL15" s="362"/>
      <c r="GM15" s="362"/>
      <c r="GN15" s="362"/>
      <c r="GO15" s="362"/>
      <c r="GP15" s="362"/>
      <c r="GQ15" s="362"/>
      <c r="GR15" s="362"/>
      <c r="GS15" s="362"/>
      <c r="GT15" s="362"/>
      <c r="GU15" s="362"/>
      <c r="GV15" s="362"/>
      <c r="GW15" s="362"/>
      <c r="GX15" s="362"/>
      <c r="GY15" s="362"/>
      <c r="GZ15" s="362"/>
      <c r="HA15" s="362"/>
      <c r="HB15" s="362"/>
      <c r="HC15" s="362"/>
      <c r="HD15" s="362"/>
      <c r="HE15" s="362"/>
      <c r="HF15" s="362"/>
      <c r="HG15" s="362"/>
      <c r="HH15" s="362"/>
      <c r="HI15" s="362"/>
      <c r="HJ15" s="362"/>
      <c r="HK15" s="362"/>
      <c r="HL15" s="362"/>
      <c r="HM15" s="362"/>
      <c r="HN15" s="362"/>
      <c r="HO15" s="362"/>
      <c r="HP15" s="362"/>
      <c r="HQ15" s="362"/>
      <c r="HR15" s="362"/>
      <c r="HS15" s="362"/>
      <c r="HT15" s="362"/>
      <c r="HU15" s="362"/>
      <c r="HV15" s="362"/>
      <c r="HW15" s="362"/>
      <c r="HX15" s="362"/>
      <c r="HY15" s="362"/>
      <c r="HZ15" s="362"/>
      <c r="IA15" s="362"/>
      <c r="IB15" s="362"/>
      <c r="IC15" s="362"/>
      <c r="ID15" s="362"/>
      <c r="IE15" s="362"/>
      <c r="IF15" s="362"/>
      <c r="IG15" s="362"/>
      <c r="IH15" s="362"/>
      <c r="II15" s="362"/>
      <c r="IJ15" s="362"/>
      <c r="IK15" s="362"/>
      <c r="IL15" s="362"/>
      <c r="IM15" s="362"/>
      <c r="IN15" s="362"/>
      <c r="IO15" s="362"/>
      <c r="IP15" s="362"/>
      <c r="IQ15" s="362"/>
      <c r="IR15" s="362"/>
      <c r="IS15" s="362"/>
      <c r="IT15" s="362"/>
    </row>
    <row r="16" spans="1:254" x14ac:dyDescent="0.15">
      <c r="A16" s="295"/>
      <c r="N16" s="658"/>
      <c r="O16" s="1056">
        <f>IF($N$10&lt;$Q$11,SUM($F$27:$F$34),IF($N$10&lt;$Q$12,SUM($F$27:$F$34)+$H$51-$O$20,SUM($F$27:$F$34)+$H$51+$H$60-$O$22))</f>
        <v>0</v>
      </c>
      <c r="P16" s="362"/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1074"/>
      <c r="AD16" s="1075"/>
      <c r="AE16" s="1075"/>
      <c r="AF16" s="1075"/>
      <c r="AG16" s="1074"/>
      <c r="AH16" s="1074"/>
      <c r="AI16" s="1074"/>
      <c r="AJ16" s="1074"/>
      <c r="AK16" s="1074"/>
      <c r="AL16" s="1074"/>
      <c r="AM16" s="1074"/>
      <c r="AN16" s="362"/>
      <c r="AO16" s="362"/>
      <c r="AP16" s="362"/>
      <c r="AQ16" s="362"/>
      <c r="AR16" s="362"/>
      <c r="AS16" s="362"/>
      <c r="AT16" s="362"/>
      <c r="AU16" s="362"/>
      <c r="AV16" s="362"/>
      <c r="AW16" s="362"/>
      <c r="AX16" s="362"/>
      <c r="AY16" s="362"/>
      <c r="AZ16" s="362"/>
      <c r="BA16" s="1069"/>
      <c r="BB16" s="362"/>
      <c r="BC16" s="362"/>
      <c r="BD16" s="362"/>
      <c r="BE16" s="362"/>
      <c r="BF16" s="362"/>
      <c r="BG16" s="362"/>
      <c r="BH16" s="362"/>
      <c r="BI16" s="362"/>
      <c r="BJ16" s="362"/>
      <c r="BK16" s="362"/>
      <c r="BL16" s="362"/>
      <c r="BM16" s="362"/>
      <c r="BN16" s="362"/>
      <c r="BO16" s="362"/>
      <c r="BP16" s="362"/>
      <c r="BQ16" s="362"/>
      <c r="BR16" s="362"/>
      <c r="BS16" s="362"/>
      <c r="BT16" s="362"/>
      <c r="BU16" s="362"/>
      <c r="BV16" s="362"/>
      <c r="BW16" s="362"/>
      <c r="BX16" s="362"/>
      <c r="BY16" s="362"/>
      <c r="BZ16" s="362"/>
      <c r="CA16" s="362"/>
      <c r="CB16" s="362"/>
      <c r="CC16" s="362"/>
      <c r="CD16" s="362"/>
      <c r="CE16" s="362"/>
      <c r="CF16" s="362"/>
      <c r="CG16" s="362"/>
      <c r="CH16" s="362"/>
      <c r="CI16" s="362"/>
      <c r="CJ16" s="362"/>
      <c r="CK16" s="362"/>
      <c r="CL16" s="362"/>
      <c r="CM16" s="362"/>
      <c r="CN16" s="362"/>
      <c r="CO16" s="362"/>
      <c r="CP16" s="362"/>
      <c r="CQ16" s="362"/>
      <c r="CR16" s="362"/>
      <c r="CS16" s="362"/>
      <c r="CT16" s="362"/>
      <c r="CU16" s="362"/>
      <c r="CV16" s="362"/>
      <c r="CW16" s="362"/>
      <c r="CX16" s="362"/>
      <c r="CY16" s="362"/>
      <c r="CZ16" s="362"/>
      <c r="DA16" s="362"/>
      <c r="DB16" s="362"/>
      <c r="DC16" s="362"/>
      <c r="DD16" s="362"/>
      <c r="DE16" s="362"/>
      <c r="DF16" s="362"/>
      <c r="DG16" s="362"/>
      <c r="DH16" s="362"/>
      <c r="DI16" s="362"/>
      <c r="DJ16" s="362"/>
      <c r="DK16" s="362"/>
      <c r="DL16" s="362"/>
      <c r="DM16" s="362"/>
      <c r="DN16" s="362"/>
      <c r="DO16" s="362"/>
      <c r="DP16" s="362"/>
      <c r="DQ16" s="362"/>
      <c r="DR16" s="362"/>
      <c r="DS16" s="362"/>
      <c r="DT16" s="362"/>
      <c r="DU16" s="362"/>
      <c r="DV16" s="362"/>
      <c r="DW16" s="362"/>
      <c r="DX16" s="362"/>
      <c r="DY16" s="362"/>
      <c r="DZ16" s="362"/>
      <c r="EA16" s="362"/>
      <c r="EB16" s="362"/>
      <c r="EC16" s="362"/>
      <c r="ED16" s="362"/>
      <c r="EE16" s="362"/>
      <c r="EF16" s="362"/>
      <c r="EG16" s="362"/>
      <c r="EH16" s="362"/>
      <c r="EI16" s="362"/>
      <c r="EJ16" s="362"/>
      <c r="EK16" s="362"/>
      <c r="EL16" s="362"/>
      <c r="EM16" s="362"/>
      <c r="EN16" s="362"/>
      <c r="EO16" s="362"/>
      <c r="EP16" s="362"/>
      <c r="EQ16" s="362"/>
      <c r="ER16" s="362"/>
      <c r="ES16" s="362"/>
      <c r="ET16" s="362"/>
      <c r="EU16" s="362"/>
      <c r="EV16" s="362"/>
      <c r="EW16" s="362"/>
      <c r="EX16" s="362"/>
      <c r="EY16" s="362"/>
      <c r="EZ16" s="362"/>
      <c r="FA16" s="362"/>
      <c r="FB16" s="362"/>
      <c r="FC16" s="362"/>
      <c r="FD16" s="362"/>
      <c r="FE16" s="362"/>
      <c r="FF16" s="362"/>
      <c r="FG16" s="362"/>
      <c r="FH16" s="362"/>
      <c r="FI16" s="362"/>
      <c r="FJ16" s="362"/>
      <c r="FK16" s="362"/>
      <c r="FL16" s="362"/>
      <c r="FM16" s="362"/>
      <c r="FN16" s="362"/>
      <c r="FO16" s="362"/>
      <c r="FP16" s="362"/>
      <c r="FQ16" s="362"/>
      <c r="FR16" s="362"/>
      <c r="FS16" s="362"/>
      <c r="FT16" s="362"/>
      <c r="FU16" s="362"/>
      <c r="FV16" s="362"/>
      <c r="FW16" s="362"/>
      <c r="FX16" s="362"/>
      <c r="FY16" s="362"/>
      <c r="FZ16" s="362"/>
      <c r="GA16" s="362"/>
      <c r="GB16" s="362"/>
      <c r="GC16" s="362"/>
      <c r="GD16" s="362"/>
      <c r="GE16" s="362"/>
      <c r="GF16" s="362"/>
      <c r="GG16" s="362"/>
      <c r="GH16" s="362"/>
      <c r="GI16" s="362"/>
      <c r="GJ16" s="362"/>
      <c r="GK16" s="362"/>
      <c r="GL16" s="362"/>
      <c r="GM16" s="362"/>
      <c r="GN16" s="362"/>
      <c r="GO16" s="362"/>
      <c r="GP16" s="362"/>
      <c r="GQ16" s="362"/>
      <c r="GR16" s="362"/>
      <c r="GS16" s="362"/>
      <c r="GT16" s="362"/>
      <c r="GU16" s="362"/>
      <c r="GV16" s="362"/>
      <c r="GW16" s="362"/>
      <c r="GX16" s="362"/>
      <c r="GY16" s="362"/>
      <c r="GZ16" s="362"/>
      <c r="HA16" s="362"/>
      <c r="HB16" s="362"/>
      <c r="HC16" s="362"/>
      <c r="HD16" s="362"/>
      <c r="HE16" s="362"/>
      <c r="HF16" s="362"/>
      <c r="HG16" s="362"/>
      <c r="HH16" s="362"/>
      <c r="HI16" s="362"/>
      <c r="HJ16" s="362"/>
      <c r="HK16" s="362"/>
      <c r="HL16" s="362"/>
      <c r="HM16" s="362"/>
      <c r="HN16" s="362"/>
      <c r="HO16" s="362"/>
      <c r="HP16" s="362"/>
      <c r="HQ16" s="362"/>
      <c r="HR16" s="362"/>
      <c r="HS16" s="362"/>
      <c r="HT16" s="362"/>
      <c r="HU16" s="362"/>
      <c r="HV16" s="362"/>
      <c r="HW16" s="362"/>
      <c r="HX16" s="362"/>
      <c r="HY16" s="362"/>
      <c r="HZ16" s="362"/>
      <c r="IA16" s="362"/>
      <c r="IB16" s="362"/>
      <c r="IC16" s="362"/>
      <c r="ID16" s="362"/>
      <c r="IE16" s="362"/>
      <c r="IF16" s="362"/>
      <c r="IG16" s="362"/>
      <c r="IH16" s="362"/>
      <c r="II16" s="362"/>
      <c r="IJ16" s="362"/>
      <c r="IK16" s="362"/>
      <c r="IL16" s="362"/>
      <c r="IM16" s="362"/>
      <c r="IN16" s="362"/>
      <c r="IO16" s="362"/>
      <c r="IP16" s="362"/>
      <c r="IQ16" s="362"/>
      <c r="IR16" s="362"/>
      <c r="IS16" s="362"/>
      <c r="IT16" s="362"/>
    </row>
    <row r="17" spans="1:254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056">
        <f>IF($N$10&lt;$Q$11,SUM($F$27:$F$34),IF($N$10&lt;$Q$12,SUM($F$27:$F$34)+$H$51-$O$20,SUM($F$27:$F$34)+$H$51-$O$20+$H$60))</f>
        <v>0</v>
      </c>
      <c r="P17" s="362" t="s">
        <v>696</v>
      </c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1074"/>
      <c r="AD17" s="1075"/>
      <c r="AE17" s="1075"/>
      <c r="AF17" s="1075"/>
      <c r="AG17" s="1074"/>
      <c r="AH17" s="1074"/>
      <c r="AI17" s="1074"/>
      <c r="AJ17" s="1074"/>
      <c r="AK17" s="1074"/>
      <c r="AL17" s="1074"/>
      <c r="AM17" s="1074"/>
      <c r="AN17" s="362"/>
      <c r="AO17" s="362"/>
      <c r="AP17" s="362"/>
      <c r="AQ17" s="362"/>
      <c r="AR17" s="362"/>
      <c r="AS17" s="362"/>
      <c r="AT17" s="362"/>
      <c r="AU17" s="362"/>
      <c r="AV17" s="362"/>
      <c r="AW17" s="362"/>
      <c r="AX17" s="362"/>
      <c r="AY17" s="362"/>
      <c r="AZ17" s="362"/>
      <c r="BA17" s="1069"/>
      <c r="BB17" s="362"/>
      <c r="BC17" s="362"/>
      <c r="BD17" s="362"/>
      <c r="BE17" s="362"/>
      <c r="BF17" s="362"/>
      <c r="BG17" s="362"/>
      <c r="BH17" s="362"/>
      <c r="BI17" s="362"/>
      <c r="BJ17" s="362"/>
      <c r="BK17" s="362"/>
      <c r="BL17" s="362"/>
      <c r="BM17" s="362"/>
      <c r="BN17" s="362"/>
      <c r="BO17" s="362"/>
      <c r="BP17" s="362"/>
      <c r="BQ17" s="362"/>
      <c r="BR17" s="362"/>
      <c r="BS17" s="362"/>
      <c r="BT17" s="362"/>
      <c r="BU17" s="362"/>
      <c r="BV17" s="362"/>
      <c r="BW17" s="362"/>
      <c r="BX17" s="362"/>
      <c r="BY17" s="362"/>
      <c r="BZ17" s="362"/>
      <c r="CA17" s="362"/>
      <c r="CB17" s="362"/>
      <c r="CC17" s="362"/>
      <c r="CD17" s="362"/>
      <c r="CE17" s="362"/>
      <c r="CF17" s="362"/>
      <c r="CG17" s="362"/>
      <c r="CH17" s="362"/>
      <c r="CI17" s="362"/>
      <c r="CJ17" s="362"/>
      <c r="CK17" s="362"/>
      <c r="CL17" s="362"/>
      <c r="CM17" s="362"/>
      <c r="CN17" s="362"/>
      <c r="CO17" s="362"/>
      <c r="CP17" s="362"/>
      <c r="CQ17" s="362"/>
      <c r="CR17" s="362"/>
      <c r="CS17" s="362"/>
      <c r="CT17" s="362"/>
      <c r="CU17" s="362"/>
      <c r="CV17" s="362"/>
      <c r="CW17" s="362"/>
      <c r="CX17" s="362"/>
      <c r="CY17" s="362"/>
      <c r="CZ17" s="362"/>
      <c r="DA17" s="362"/>
      <c r="DB17" s="362"/>
      <c r="DC17" s="362"/>
      <c r="DD17" s="362"/>
      <c r="DE17" s="362"/>
      <c r="DF17" s="362"/>
      <c r="DG17" s="362"/>
      <c r="DH17" s="362"/>
      <c r="DI17" s="362"/>
      <c r="DJ17" s="362"/>
      <c r="DK17" s="362"/>
      <c r="DL17" s="362"/>
      <c r="DM17" s="362"/>
      <c r="DN17" s="362"/>
      <c r="DO17" s="362"/>
      <c r="DP17" s="362"/>
      <c r="DQ17" s="362"/>
      <c r="DR17" s="362"/>
      <c r="DS17" s="362"/>
      <c r="DT17" s="362"/>
      <c r="DU17" s="362"/>
      <c r="DV17" s="362"/>
      <c r="DW17" s="362"/>
      <c r="DX17" s="362"/>
      <c r="DY17" s="362"/>
      <c r="DZ17" s="362"/>
      <c r="EA17" s="362"/>
      <c r="EB17" s="362"/>
      <c r="EC17" s="362"/>
      <c r="ED17" s="362"/>
      <c r="EE17" s="362"/>
      <c r="EF17" s="362"/>
      <c r="EG17" s="362"/>
      <c r="EH17" s="362"/>
      <c r="EI17" s="362"/>
      <c r="EJ17" s="362"/>
      <c r="EK17" s="362"/>
      <c r="EL17" s="362"/>
      <c r="EM17" s="362"/>
      <c r="EN17" s="362"/>
      <c r="EO17" s="362"/>
      <c r="EP17" s="362"/>
      <c r="EQ17" s="362"/>
      <c r="ER17" s="362"/>
      <c r="ES17" s="362"/>
      <c r="ET17" s="362"/>
      <c r="EU17" s="362"/>
      <c r="EV17" s="362"/>
      <c r="EW17" s="362"/>
      <c r="EX17" s="362"/>
      <c r="EY17" s="362"/>
      <c r="EZ17" s="362"/>
      <c r="FA17" s="362"/>
      <c r="FB17" s="362"/>
      <c r="FC17" s="362"/>
      <c r="FD17" s="362"/>
      <c r="FE17" s="362"/>
      <c r="FF17" s="362"/>
      <c r="FG17" s="362"/>
      <c r="FH17" s="362"/>
      <c r="FI17" s="362"/>
      <c r="FJ17" s="362"/>
      <c r="FK17" s="362"/>
      <c r="FL17" s="362"/>
      <c r="FM17" s="362"/>
      <c r="FN17" s="362"/>
      <c r="FO17" s="362"/>
      <c r="FP17" s="362"/>
      <c r="FQ17" s="362"/>
      <c r="FR17" s="362"/>
      <c r="FS17" s="362"/>
      <c r="FT17" s="362"/>
      <c r="FU17" s="362"/>
      <c r="FV17" s="362"/>
      <c r="FW17" s="362"/>
      <c r="FX17" s="362"/>
      <c r="FY17" s="362"/>
      <c r="FZ17" s="362"/>
      <c r="GA17" s="362"/>
      <c r="GB17" s="362"/>
      <c r="GC17" s="362"/>
      <c r="GD17" s="362"/>
      <c r="GE17" s="362"/>
      <c r="GF17" s="362"/>
      <c r="GG17" s="362"/>
      <c r="GH17" s="362"/>
      <c r="GI17" s="362"/>
      <c r="GJ17" s="362"/>
      <c r="GK17" s="362"/>
      <c r="GL17" s="362"/>
      <c r="GM17" s="362"/>
      <c r="GN17" s="362"/>
      <c r="GO17" s="362"/>
      <c r="GP17" s="362"/>
      <c r="GQ17" s="362"/>
      <c r="GR17" s="362"/>
      <c r="GS17" s="362"/>
      <c r="GT17" s="362"/>
      <c r="GU17" s="362"/>
      <c r="GV17" s="362"/>
      <c r="GW17" s="362"/>
      <c r="GX17" s="362"/>
      <c r="GY17" s="362"/>
      <c r="GZ17" s="362"/>
      <c r="HA17" s="362"/>
      <c r="HB17" s="362"/>
      <c r="HC17" s="362"/>
      <c r="HD17" s="362"/>
      <c r="HE17" s="362"/>
      <c r="HF17" s="362"/>
      <c r="HG17" s="362"/>
      <c r="HH17" s="362"/>
      <c r="HI17" s="362"/>
      <c r="HJ17" s="362"/>
      <c r="HK17" s="362"/>
      <c r="HL17" s="362"/>
      <c r="HM17" s="362"/>
      <c r="HN17" s="362"/>
      <c r="HO17" s="362"/>
      <c r="HP17" s="362"/>
      <c r="HQ17" s="362"/>
      <c r="HR17" s="362"/>
      <c r="HS17" s="362"/>
      <c r="HT17" s="362"/>
      <c r="HU17" s="362"/>
      <c r="HV17" s="362"/>
      <c r="HW17" s="362"/>
      <c r="HX17" s="362"/>
      <c r="HY17" s="362"/>
      <c r="HZ17" s="362"/>
      <c r="IA17" s="362"/>
      <c r="IB17" s="362"/>
      <c r="IC17" s="362"/>
      <c r="ID17" s="362"/>
      <c r="IE17" s="362"/>
      <c r="IF17" s="362"/>
      <c r="IG17" s="362"/>
      <c r="IH17" s="362"/>
      <c r="II17" s="362"/>
      <c r="IJ17" s="362"/>
      <c r="IK17" s="362"/>
      <c r="IL17" s="362"/>
      <c r="IM17" s="362"/>
      <c r="IN17" s="362"/>
      <c r="IO17" s="362"/>
      <c r="IP17" s="362"/>
      <c r="IQ17" s="362"/>
      <c r="IR17" s="362"/>
      <c r="IS17" s="362"/>
      <c r="IT17" s="362"/>
    </row>
    <row r="18" spans="1:254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056">
        <f>IF($N$10&lt;$Q$11,SUM($F$27:$F$34),IF($N$10&lt;$Q$12,SUM($F$27:$F$34)+$H$51,SUM($F$27:$F$34)+$H$51+$H$60-$O$21))</f>
        <v>0</v>
      </c>
      <c r="P18" s="1080" t="s">
        <v>527</v>
      </c>
      <c r="Q18" s="362"/>
      <c r="R18" s="362"/>
      <c r="S18" s="362"/>
      <c r="T18" s="362"/>
      <c r="U18" s="362"/>
      <c r="V18" s="362"/>
      <c r="W18" s="362"/>
      <c r="X18" s="362"/>
      <c r="Y18" s="362"/>
      <c r="Z18" s="362"/>
      <c r="AA18" s="362"/>
      <c r="AB18" s="362"/>
      <c r="AC18" s="1074"/>
      <c r="AD18" s="1075"/>
      <c r="AE18" s="1075"/>
      <c r="AF18" s="1075"/>
      <c r="AG18" s="1074"/>
      <c r="AH18" s="1074"/>
      <c r="AI18" s="1074"/>
      <c r="AJ18" s="1074"/>
      <c r="AK18" s="1074"/>
      <c r="AL18" s="1074"/>
      <c r="AM18" s="1074"/>
      <c r="AN18" s="362"/>
      <c r="AO18" s="362"/>
      <c r="AP18" s="362"/>
      <c r="AQ18" s="362"/>
      <c r="AR18" s="362"/>
      <c r="AS18" s="362"/>
      <c r="AT18" s="362"/>
      <c r="AU18" s="362"/>
      <c r="AV18" s="362"/>
      <c r="AW18" s="362"/>
      <c r="AX18" s="362"/>
      <c r="AY18" s="362"/>
      <c r="AZ18" s="362"/>
      <c r="BA18" s="1069"/>
      <c r="BB18" s="362"/>
      <c r="BC18" s="362"/>
      <c r="BD18" s="362"/>
      <c r="BE18" s="362"/>
      <c r="BF18" s="362"/>
      <c r="BG18" s="362"/>
      <c r="BH18" s="362"/>
      <c r="BI18" s="362"/>
      <c r="BJ18" s="362"/>
      <c r="BK18" s="362"/>
      <c r="BL18" s="362"/>
      <c r="BM18" s="362"/>
      <c r="BN18" s="362"/>
      <c r="BO18" s="362"/>
      <c r="BP18" s="362"/>
      <c r="BQ18" s="362"/>
      <c r="BR18" s="362"/>
      <c r="BS18" s="362"/>
      <c r="BT18" s="362"/>
      <c r="BU18" s="362"/>
      <c r="BV18" s="362"/>
      <c r="BW18" s="362"/>
      <c r="BX18" s="362"/>
      <c r="BY18" s="362"/>
      <c r="BZ18" s="362"/>
      <c r="CA18" s="362"/>
      <c r="CB18" s="362"/>
      <c r="CC18" s="362"/>
      <c r="CD18" s="362"/>
      <c r="CE18" s="362"/>
      <c r="CF18" s="362"/>
      <c r="CG18" s="362"/>
      <c r="CH18" s="362"/>
      <c r="CI18" s="362"/>
      <c r="CJ18" s="362"/>
      <c r="CK18" s="362"/>
      <c r="CL18" s="362"/>
      <c r="CM18" s="362"/>
      <c r="CN18" s="362"/>
      <c r="CO18" s="362"/>
      <c r="CP18" s="362"/>
      <c r="CQ18" s="362"/>
      <c r="CR18" s="362"/>
      <c r="CS18" s="362"/>
      <c r="CT18" s="362"/>
      <c r="CU18" s="362"/>
      <c r="CV18" s="362"/>
      <c r="CW18" s="362"/>
      <c r="CX18" s="362"/>
      <c r="CY18" s="362"/>
      <c r="CZ18" s="362"/>
      <c r="DA18" s="362"/>
      <c r="DB18" s="362"/>
      <c r="DC18" s="362"/>
      <c r="DD18" s="362"/>
      <c r="DE18" s="362"/>
      <c r="DF18" s="362"/>
      <c r="DG18" s="362"/>
      <c r="DH18" s="362"/>
      <c r="DI18" s="362"/>
      <c r="DJ18" s="362"/>
      <c r="DK18" s="362"/>
      <c r="DL18" s="362"/>
      <c r="DM18" s="362"/>
      <c r="DN18" s="362"/>
      <c r="DO18" s="362"/>
      <c r="DP18" s="362"/>
      <c r="DQ18" s="362"/>
      <c r="DR18" s="362"/>
      <c r="DS18" s="362"/>
      <c r="DT18" s="362"/>
      <c r="DU18" s="362"/>
      <c r="DV18" s="362"/>
      <c r="DW18" s="362"/>
      <c r="DX18" s="362"/>
      <c r="DY18" s="362"/>
      <c r="DZ18" s="362"/>
      <c r="EA18" s="362"/>
      <c r="EB18" s="362"/>
      <c r="EC18" s="362"/>
      <c r="ED18" s="362"/>
      <c r="EE18" s="362"/>
      <c r="EF18" s="362"/>
      <c r="EG18" s="362"/>
      <c r="EH18" s="362"/>
      <c r="EI18" s="362"/>
      <c r="EJ18" s="362"/>
      <c r="EK18" s="362"/>
      <c r="EL18" s="362"/>
      <c r="EM18" s="362"/>
      <c r="EN18" s="362"/>
      <c r="EO18" s="362"/>
      <c r="EP18" s="362"/>
      <c r="EQ18" s="362"/>
      <c r="ER18" s="362"/>
      <c r="ES18" s="362"/>
      <c r="ET18" s="362"/>
      <c r="EU18" s="362"/>
      <c r="EV18" s="362"/>
      <c r="EW18" s="362"/>
      <c r="EX18" s="362"/>
      <c r="EY18" s="362"/>
      <c r="EZ18" s="362"/>
      <c r="FA18" s="362"/>
      <c r="FB18" s="362"/>
      <c r="FC18" s="362"/>
      <c r="FD18" s="362"/>
      <c r="FE18" s="362"/>
      <c r="FF18" s="362"/>
      <c r="FG18" s="362"/>
      <c r="FH18" s="362"/>
      <c r="FI18" s="362"/>
      <c r="FJ18" s="362"/>
      <c r="FK18" s="362"/>
      <c r="FL18" s="362"/>
      <c r="FM18" s="362"/>
      <c r="FN18" s="362"/>
      <c r="FO18" s="362"/>
      <c r="FP18" s="362"/>
      <c r="FQ18" s="362"/>
      <c r="FR18" s="362"/>
      <c r="FS18" s="362"/>
      <c r="FT18" s="362"/>
      <c r="FU18" s="362"/>
      <c r="FV18" s="362"/>
      <c r="FW18" s="362"/>
      <c r="FX18" s="362"/>
      <c r="FY18" s="362"/>
      <c r="FZ18" s="362"/>
      <c r="GA18" s="362"/>
      <c r="GB18" s="362"/>
      <c r="GC18" s="362"/>
      <c r="GD18" s="362"/>
      <c r="GE18" s="362"/>
      <c r="GF18" s="362"/>
      <c r="GG18" s="362"/>
      <c r="GH18" s="362"/>
      <c r="GI18" s="362"/>
      <c r="GJ18" s="362"/>
      <c r="GK18" s="362"/>
      <c r="GL18" s="362"/>
      <c r="GM18" s="362"/>
      <c r="GN18" s="362"/>
      <c r="GO18" s="362"/>
      <c r="GP18" s="362"/>
      <c r="GQ18" s="362"/>
      <c r="GR18" s="362"/>
      <c r="GS18" s="362"/>
      <c r="GT18" s="362"/>
      <c r="GU18" s="362"/>
      <c r="GV18" s="362"/>
      <c r="GW18" s="362"/>
      <c r="GX18" s="362"/>
      <c r="GY18" s="362"/>
      <c r="GZ18" s="362"/>
      <c r="HA18" s="362"/>
      <c r="HB18" s="362"/>
      <c r="HC18" s="362"/>
      <c r="HD18" s="362"/>
      <c r="HE18" s="362"/>
      <c r="HF18" s="362"/>
      <c r="HG18" s="362"/>
      <c r="HH18" s="362"/>
      <c r="HI18" s="362"/>
      <c r="HJ18" s="362"/>
      <c r="HK18" s="362"/>
      <c r="HL18" s="362"/>
      <c r="HM18" s="362"/>
      <c r="HN18" s="362"/>
      <c r="HO18" s="362"/>
      <c r="HP18" s="362"/>
      <c r="HQ18" s="362"/>
      <c r="HR18" s="362"/>
      <c r="HS18" s="362"/>
      <c r="HT18" s="362"/>
      <c r="HU18" s="362"/>
      <c r="HV18" s="362"/>
      <c r="HW18" s="362"/>
      <c r="HX18" s="362"/>
      <c r="HY18" s="362"/>
      <c r="HZ18" s="362"/>
      <c r="IA18" s="362"/>
      <c r="IB18" s="362"/>
      <c r="IC18" s="362"/>
      <c r="ID18" s="362"/>
      <c r="IE18" s="362"/>
      <c r="IF18" s="362"/>
      <c r="IG18" s="362"/>
      <c r="IH18" s="362"/>
      <c r="II18" s="362"/>
      <c r="IJ18" s="362"/>
      <c r="IK18" s="362"/>
      <c r="IL18" s="362"/>
      <c r="IM18" s="362"/>
      <c r="IN18" s="362"/>
      <c r="IO18" s="362"/>
      <c r="IP18" s="362"/>
      <c r="IQ18" s="362"/>
      <c r="IR18" s="362"/>
      <c r="IS18" s="362"/>
      <c r="IT18" s="362"/>
    </row>
    <row r="19" spans="1:254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056">
        <f>IF($N$10&lt;$Q$11,SUM($F$27:$F$34),IF($N$10&lt;$Q$12,SUM($F$27:$F$34)+$H$51,SUM($F$27:$F$34)+$H$51+$H$60))</f>
        <v>0</v>
      </c>
      <c r="P19" s="1081" t="s">
        <v>613</v>
      </c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1074"/>
      <c r="AD19" s="1075"/>
      <c r="AE19" s="1075"/>
      <c r="AF19" s="1075"/>
      <c r="AG19" s="1074"/>
      <c r="AH19" s="1074"/>
      <c r="AI19" s="1074"/>
      <c r="AJ19" s="1074"/>
      <c r="AK19" s="1074"/>
      <c r="AL19" s="1074"/>
      <c r="AM19" s="1074"/>
      <c r="AN19" s="362"/>
      <c r="AO19" s="362"/>
      <c r="AP19" s="362"/>
      <c r="AQ19" s="362"/>
      <c r="AR19" s="362"/>
      <c r="AS19" s="362"/>
      <c r="AT19" s="362"/>
      <c r="AU19" s="362"/>
      <c r="AV19" s="362"/>
      <c r="AW19" s="362"/>
      <c r="AX19" s="362"/>
      <c r="AY19" s="362"/>
      <c r="AZ19" s="362"/>
      <c r="BA19" s="1069"/>
      <c r="BB19" s="362"/>
      <c r="BC19" s="362"/>
      <c r="BD19" s="362"/>
      <c r="BE19" s="362"/>
      <c r="BF19" s="362"/>
      <c r="BG19" s="362"/>
      <c r="BH19" s="362"/>
      <c r="BI19" s="362"/>
      <c r="BJ19" s="362"/>
      <c r="BK19" s="362"/>
      <c r="BL19" s="362"/>
      <c r="BM19" s="362"/>
      <c r="BN19" s="362"/>
      <c r="BO19" s="362"/>
      <c r="BP19" s="362"/>
      <c r="BQ19" s="362"/>
      <c r="BR19" s="362"/>
      <c r="BS19" s="362"/>
      <c r="BT19" s="362"/>
      <c r="BU19" s="362"/>
      <c r="BV19" s="362"/>
      <c r="BW19" s="362"/>
      <c r="BX19" s="362"/>
      <c r="BY19" s="362"/>
      <c r="BZ19" s="362"/>
      <c r="CA19" s="362"/>
      <c r="CB19" s="362"/>
      <c r="CC19" s="362"/>
      <c r="CD19" s="362"/>
      <c r="CE19" s="362"/>
      <c r="CF19" s="362"/>
      <c r="CG19" s="362"/>
      <c r="CH19" s="362"/>
      <c r="CI19" s="362"/>
      <c r="CJ19" s="362"/>
      <c r="CK19" s="362"/>
      <c r="CL19" s="362"/>
      <c r="CM19" s="362"/>
      <c r="CN19" s="362"/>
      <c r="CO19" s="362"/>
      <c r="CP19" s="362"/>
      <c r="CQ19" s="362"/>
      <c r="CR19" s="362"/>
      <c r="CS19" s="362"/>
      <c r="CT19" s="362"/>
      <c r="CU19" s="362"/>
      <c r="CV19" s="362"/>
      <c r="CW19" s="362"/>
      <c r="CX19" s="362"/>
      <c r="CY19" s="362"/>
      <c r="CZ19" s="362"/>
      <c r="DA19" s="362"/>
      <c r="DB19" s="362"/>
      <c r="DC19" s="362"/>
      <c r="DD19" s="362"/>
      <c r="DE19" s="362"/>
      <c r="DF19" s="362"/>
      <c r="DG19" s="362"/>
      <c r="DH19" s="362"/>
      <c r="DI19" s="362"/>
      <c r="DJ19" s="362"/>
      <c r="DK19" s="362"/>
      <c r="DL19" s="362"/>
      <c r="DM19" s="362"/>
      <c r="DN19" s="362"/>
      <c r="DO19" s="362"/>
      <c r="DP19" s="362"/>
      <c r="DQ19" s="362"/>
      <c r="DR19" s="362"/>
      <c r="DS19" s="362"/>
      <c r="DT19" s="362"/>
      <c r="DU19" s="362"/>
      <c r="DV19" s="362"/>
      <c r="DW19" s="362"/>
      <c r="DX19" s="362"/>
      <c r="DY19" s="362"/>
      <c r="DZ19" s="362"/>
      <c r="EA19" s="362"/>
      <c r="EB19" s="362"/>
      <c r="EC19" s="362"/>
      <c r="ED19" s="362"/>
      <c r="EE19" s="362"/>
      <c r="EF19" s="362"/>
      <c r="EG19" s="362"/>
      <c r="EH19" s="362"/>
      <c r="EI19" s="362"/>
      <c r="EJ19" s="362"/>
      <c r="EK19" s="362"/>
      <c r="EL19" s="362"/>
      <c r="EM19" s="362"/>
      <c r="EN19" s="362"/>
      <c r="EO19" s="362"/>
      <c r="EP19" s="362"/>
      <c r="EQ19" s="362"/>
      <c r="ER19" s="362"/>
      <c r="ES19" s="362"/>
      <c r="ET19" s="362"/>
      <c r="EU19" s="362"/>
      <c r="EV19" s="362"/>
      <c r="EW19" s="362"/>
      <c r="EX19" s="362"/>
      <c r="EY19" s="362"/>
      <c r="EZ19" s="362"/>
      <c r="FA19" s="362"/>
      <c r="FB19" s="362"/>
      <c r="FC19" s="362"/>
      <c r="FD19" s="362"/>
      <c r="FE19" s="362"/>
      <c r="FF19" s="362"/>
      <c r="FG19" s="362"/>
      <c r="FH19" s="362"/>
      <c r="FI19" s="362"/>
      <c r="FJ19" s="362"/>
      <c r="FK19" s="362"/>
      <c r="FL19" s="362"/>
      <c r="FM19" s="362"/>
      <c r="FN19" s="362"/>
      <c r="FO19" s="362"/>
      <c r="FP19" s="362"/>
      <c r="FQ19" s="362"/>
      <c r="FR19" s="362"/>
      <c r="FS19" s="362"/>
      <c r="FT19" s="362"/>
      <c r="FU19" s="362"/>
      <c r="FV19" s="362"/>
      <c r="FW19" s="362"/>
      <c r="FX19" s="362"/>
      <c r="FY19" s="362"/>
      <c r="FZ19" s="362"/>
      <c r="GA19" s="362"/>
      <c r="GB19" s="362"/>
      <c r="GC19" s="362"/>
      <c r="GD19" s="362"/>
      <c r="GE19" s="362"/>
      <c r="GF19" s="362"/>
      <c r="GG19" s="362"/>
      <c r="GH19" s="362"/>
      <c r="GI19" s="362"/>
      <c r="GJ19" s="362"/>
      <c r="GK19" s="362"/>
      <c r="GL19" s="362"/>
      <c r="GM19" s="362"/>
      <c r="GN19" s="362"/>
      <c r="GO19" s="362"/>
      <c r="GP19" s="362"/>
      <c r="GQ19" s="362"/>
      <c r="GR19" s="362"/>
      <c r="GS19" s="362"/>
      <c r="GT19" s="362"/>
      <c r="GU19" s="362"/>
      <c r="GV19" s="362"/>
      <c r="GW19" s="362"/>
      <c r="GX19" s="362"/>
      <c r="GY19" s="362"/>
      <c r="GZ19" s="362"/>
      <c r="HA19" s="362"/>
      <c r="HB19" s="362"/>
      <c r="HC19" s="362"/>
      <c r="HD19" s="362"/>
      <c r="HE19" s="362"/>
      <c r="HF19" s="362"/>
      <c r="HG19" s="362"/>
      <c r="HH19" s="362"/>
      <c r="HI19" s="362"/>
      <c r="HJ19" s="362"/>
      <c r="HK19" s="362"/>
      <c r="HL19" s="362"/>
      <c r="HM19" s="362"/>
      <c r="HN19" s="362"/>
      <c r="HO19" s="362"/>
      <c r="HP19" s="362"/>
      <c r="HQ19" s="362"/>
      <c r="HR19" s="362"/>
      <c r="HS19" s="362"/>
      <c r="HT19" s="362"/>
      <c r="HU19" s="362"/>
      <c r="HV19" s="362"/>
      <c r="HW19" s="362"/>
      <c r="HX19" s="362"/>
      <c r="HY19" s="362"/>
      <c r="HZ19" s="362"/>
      <c r="IA19" s="362"/>
      <c r="IB19" s="362"/>
      <c r="IC19" s="362"/>
      <c r="ID19" s="362"/>
      <c r="IE19" s="362"/>
      <c r="IF19" s="362"/>
      <c r="IG19" s="362"/>
      <c r="IH19" s="362"/>
      <c r="II19" s="362"/>
      <c r="IJ19" s="362"/>
      <c r="IK19" s="362"/>
      <c r="IL19" s="362"/>
      <c r="IM19" s="362"/>
      <c r="IN19" s="362"/>
      <c r="IO19" s="362"/>
      <c r="IP19" s="362"/>
      <c r="IQ19" s="362"/>
      <c r="IR19" s="362"/>
      <c r="IS19" s="362"/>
      <c r="IT19" s="362"/>
    </row>
    <row r="20" spans="1:254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057">
        <f>'MTS - MAPA DE TEMPO DE SERVIÇO'!H42</f>
        <v>0</v>
      </c>
      <c r="P20" s="1081" t="s">
        <v>547</v>
      </c>
      <c r="Q20" s="362"/>
      <c r="R20" s="362"/>
      <c r="S20" s="362"/>
      <c r="T20" s="362"/>
      <c r="U20" s="362"/>
      <c r="V20" s="362"/>
      <c r="W20" s="362"/>
      <c r="X20" s="362"/>
      <c r="Y20" s="362"/>
      <c r="Z20" s="362"/>
      <c r="AA20" s="362"/>
      <c r="AB20" s="362"/>
      <c r="AC20" s="1074"/>
      <c r="AD20" s="1075"/>
      <c r="AE20" s="1075"/>
      <c r="AF20" s="1075"/>
      <c r="AG20" s="1074"/>
      <c r="AH20" s="1074"/>
      <c r="AI20" s="1074"/>
      <c r="AJ20" s="1074"/>
      <c r="AK20" s="1074"/>
      <c r="AL20" s="1074"/>
      <c r="AM20" s="1074"/>
      <c r="AN20" s="362"/>
      <c r="AO20" s="362"/>
      <c r="AP20" s="362"/>
      <c r="AQ20" s="362"/>
      <c r="AR20" s="362"/>
      <c r="AS20" s="362"/>
      <c r="AT20" s="362"/>
      <c r="AU20" s="362"/>
      <c r="AV20" s="362"/>
      <c r="AW20" s="362"/>
      <c r="AX20" s="362"/>
      <c r="AY20" s="362"/>
      <c r="AZ20" s="362"/>
      <c r="BA20" s="1069"/>
      <c r="BB20" s="362"/>
      <c r="BC20" s="362"/>
      <c r="BD20" s="362"/>
      <c r="BE20" s="362"/>
      <c r="BF20" s="362"/>
      <c r="BG20" s="362"/>
      <c r="BH20" s="362"/>
      <c r="BI20" s="362"/>
      <c r="BJ20" s="362"/>
      <c r="BK20" s="362"/>
      <c r="BL20" s="362"/>
      <c r="BM20" s="362"/>
      <c r="BN20" s="362"/>
      <c r="BO20" s="362"/>
      <c r="BP20" s="362"/>
      <c r="BQ20" s="362"/>
      <c r="BR20" s="362"/>
      <c r="BS20" s="362"/>
      <c r="BT20" s="362"/>
      <c r="BU20" s="362"/>
      <c r="BV20" s="362"/>
      <c r="BW20" s="362"/>
      <c r="BX20" s="362"/>
      <c r="BY20" s="362"/>
      <c r="BZ20" s="362"/>
      <c r="CA20" s="362"/>
      <c r="CB20" s="362"/>
      <c r="CC20" s="362"/>
      <c r="CD20" s="362"/>
      <c r="CE20" s="362"/>
      <c r="CF20" s="362"/>
      <c r="CG20" s="362"/>
      <c r="CH20" s="362"/>
      <c r="CI20" s="362"/>
      <c r="CJ20" s="362"/>
      <c r="CK20" s="362"/>
      <c r="CL20" s="362"/>
      <c r="CM20" s="362"/>
      <c r="CN20" s="362"/>
      <c r="CO20" s="362"/>
      <c r="CP20" s="362"/>
      <c r="CQ20" s="362"/>
      <c r="CR20" s="362"/>
      <c r="CS20" s="362"/>
      <c r="CT20" s="362"/>
      <c r="CU20" s="362"/>
      <c r="CV20" s="362"/>
      <c r="CW20" s="362"/>
      <c r="CX20" s="362"/>
      <c r="CY20" s="362"/>
      <c r="CZ20" s="362"/>
      <c r="DA20" s="362"/>
      <c r="DB20" s="362"/>
      <c r="DC20" s="362"/>
      <c r="DD20" s="362"/>
      <c r="DE20" s="362"/>
      <c r="DF20" s="362"/>
      <c r="DG20" s="362"/>
      <c r="DH20" s="362"/>
      <c r="DI20" s="362"/>
      <c r="DJ20" s="362"/>
      <c r="DK20" s="362"/>
      <c r="DL20" s="362"/>
      <c r="DM20" s="362"/>
      <c r="DN20" s="362"/>
      <c r="DO20" s="362"/>
      <c r="DP20" s="362"/>
      <c r="DQ20" s="362"/>
      <c r="DR20" s="362"/>
      <c r="DS20" s="362"/>
      <c r="DT20" s="362"/>
      <c r="DU20" s="362"/>
      <c r="DV20" s="362"/>
      <c r="DW20" s="362"/>
      <c r="DX20" s="362"/>
      <c r="DY20" s="362"/>
      <c r="DZ20" s="362"/>
      <c r="EA20" s="362"/>
      <c r="EB20" s="362"/>
      <c r="EC20" s="362"/>
      <c r="ED20" s="362"/>
      <c r="EE20" s="362"/>
      <c r="EF20" s="362"/>
      <c r="EG20" s="362"/>
      <c r="EH20" s="362"/>
      <c r="EI20" s="362"/>
      <c r="EJ20" s="362"/>
      <c r="EK20" s="362"/>
      <c r="EL20" s="362"/>
      <c r="EM20" s="362"/>
      <c r="EN20" s="362"/>
      <c r="EO20" s="362"/>
      <c r="EP20" s="362"/>
      <c r="EQ20" s="362"/>
      <c r="ER20" s="362"/>
      <c r="ES20" s="362"/>
      <c r="ET20" s="362"/>
      <c r="EU20" s="362"/>
      <c r="EV20" s="362"/>
      <c r="EW20" s="362"/>
      <c r="EX20" s="362"/>
      <c r="EY20" s="362"/>
      <c r="EZ20" s="362"/>
      <c r="FA20" s="362"/>
      <c r="FB20" s="362"/>
      <c r="FC20" s="362"/>
      <c r="FD20" s="362"/>
      <c r="FE20" s="362"/>
      <c r="FF20" s="362"/>
      <c r="FG20" s="362"/>
      <c r="FH20" s="362"/>
      <c r="FI20" s="362"/>
      <c r="FJ20" s="362"/>
      <c r="FK20" s="362"/>
      <c r="FL20" s="362"/>
      <c r="FM20" s="362"/>
      <c r="FN20" s="362"/>
      <c r="FO20" s="362"/>
      <c r="FP20" s="362"/>
      <c r="FQ20" s="362"/>
      <c r="FR20" s="362"/>
      <c r="FS20" s="362"/>
      <c r="FT20" s="362"/>
      <c r="FU20" s="362"/>
      <c r="FV20" s="362"/>
      <c r="FW20" s="362"/>
      <c r="FX20" s="362"/>
      <c r="FY20" s="362"/>
      <c r="FZ20" s="362"/>
      <c r="GA20" s="362"/>
      <c r="GB20" s="362"/>
      <c r="GC20" s="362"/>
      <c r="GD20" s="362"/>
      <c r="GE20" s="362"/>
      <c r="GF20" s="362"/>
      <c r="GG20" s="362"/>
      <c r="GH20" s="362"/>
      <c r="GI20" s="362"/>
      <c r="GJ20" s="362"/>
      <c r="GK20" s="362"/>
      <c r="GL20" s="362"/>
      <c r="GM20" s="362"/>
      <c r="GN20" s="362"/>
      <c r="GO20" s="362"/>
      <c r="GP20" s="362"/>
      <c r="GQ20" s="362"/>
      <c r="GR20" s="362"/>
      <c r="GS20" s="362"/>
      <c r="GT20" s="362"/>
      <c r="GU20" s="362"/>
      <c r="GV20" s="362"/>
      <c r="GW20" s="362"/>
      <c r="GX20" s="362"/>
      <c r="GY20" s="362"/>
      <c r="GZ20" s="362"/>
      <c r="HA20" s="362"/>
      <c r="HB20" s="362"/>
      <c r="HC20" s="362"/>
      <c r="HD20" s="362"/>
      <c r="HE20" s="362"/>
      <c r="HF20" s="362"/>
      <c r="HG20" s="362"/>
      <c r="HH20" s="362"/>
      <c r="HI20" s="362"/>
      <c r="HJ20" s="362"/>
      <c r="HK20" s="362"/>
      <c r="HL20" s="362"/>
      <c r="HM20" s="362"/>
      <c r="HN20" s="362"/>
      <c r="HO20" s="362"/>
      <c r="HP20" s="362"/>
      <c r="HQ20" s="362"/>
      <c r="HR20" s="362"/>
      <c r="HS20" s="362"/>
      <c r="HT20" s="362"/>
      <c r="HU20" s="362"/>
      <c r="HV20" s="362"/>
      <c r="HW20" s="362"/>
      <c r="HX20" s="362"/>
      <c r="HY20" s="362"/>
      <c r="HZ20" s="362"/>
      <c r="IA20" s="362"/>
      <c r="IB20" s="362"/>
      <c r="IC20" s="362"/>
      <c r="ID20" s="362"/>
      <c r="IE20" s="362"/>
      <c r="IF20" s="362"/>
      <c r="IG20" s="362"/>
      <c r="IH20" s="362"/>
      <c r="II20" s="362"/>
      <c r="IJ20" s="362"/>
      <c r="IK20" s="362"/>
      <c r="IL20" s="362"/>
      <c r="IM20" s="362"/>
      <c r="IN20" s="362"/>
      <c r="IO20" s="362"/>
      <c r="IP20" s="362"/>
      <c r="IQ20" s="362"/>
      <c r="IR20" s="362"/>
      <c r="IS20" s="362"/>
      <c r="IT20" s="362"/>
    </row>
    <row r="21" spans="1:254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057">
        <f>'MTS - MAPA DE TEMPO DE SERVIÇO'!H58</f>
        <v>0</v>
      </c>
      <c r="P21" s="1081" t="s">
        <v>702</v>
      </c>
      <c r="Q21" s="362"/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1074"/>
      <c r="AD21" s="1075"/>
      <c r="AE21" s="1075"/>
      <c r="AF21" s="1075"/>
      <c r="AG21" s="1074"/>
      <c r="AH21" s="1074"/>
      <c r="AI21" s="1074"/>
      <c r="AJ21" s="1074"/>
      <c r="AK21" s="1074"/>
      <c r="AL21" s="1074"/>
      <c r="AM21" s="1074"/>
      <c r="AN21" s="362"/>
      <c r="AO21" s="362"/>
      <c r="AP21" s="362"/>
      <c r="AQ21" s="362"/>
      <c r="AR21" s="362"/>
      <c r="AS21" s="362"/>
      <c r="AT21" s="362"/>
      <c r="AU21" s="362"/>
      <c r="AV21" s="362"/>
      <c r="AW21" s="362"/>
      <c r="AX21" s="362"/>
      <c r="AY21" s="362"/>
      <c r="AZ21" s="362"/>
      <c r="BA21" s="1069"/>
      <c r="BB21" s="362"/>
      <c r="BC21" s="362"/>
      <c r="BD21" s="362"/>
      <c r="BE21" s="362"/>
      <c r="BF21" s="362"/>
      <c r="BG21" s="362"/>
      <c r="BH21" s="362"/>
      <c r="BI21" s="362"/>
      <c r="BJ21" s="362"/>
      <c r="BK21" s="362"/>
      <c r="BL21" s="362"/>
      <c r="BM21" s="362"/>
      <c r="BN21" s="362"/>
      <c r="BO21" s="362"/>
      <c r="BP21" s="362"/>
      <c r="BQ21" s="362"/>
      <c r="BR21" s="362"/>
      <c r="BS21" s="362"/>
      <c r="BT21" s="362"/>
      <c r="BU21" s="362"/>
      <c r="BV21" s="362"/>
      <c r="BW21" s="362"/>
      <c r="BX21" s="362"/>
      <c r="BY21" s="362"/>
      <c r="BZ21" s="362"/>
      <c r="CA21" s="362"/>
      <c r="CB21" s="362"/>
      <c r="CC21" s="362"/>
      <c r="CD21" s="362"/>
      <c r="CE21" s="362"/>
      <c r="CF21" s="362"/>
      <c r="CG21" s="362"/>
      <c r="CH21" s="362"/>
      <c r="CI21" s="362"/>
      <c r="CJ21" s="362"/>
      <c r="CK21" s="362"/>
      <c r="CL21" s="362"/>
      <c r="CM21" s="362"/>
      <c r="CN21" s="362"/>
      <c r="CO21" s="362"/>
      <c r="CP21" s="362"/>
      <c r="CQ21" s="362"/>
      <c r="CR21" s="362"/>
      <c r="CS21" s="362"/>
      <c r="CT21" s="362"/>
      <c r="CU21" s="362"/>
      <c r="CV21" s="362"/>
      <c r="CW21" s="362"/>
      <c r="CX21" s="362"/>
      <c r="CY21" s="362"/>
      <c r="CZ21" s="362"/>
      <c r="DA21" s="362"/>
      <c r="DB21" s="362"/>
      <c r="DC21" s="362"/>
      <c r="DD21" s="362"/>
      <c r="DE21" s="362"/>
      <c r="DF21" s="362"/>
      <c r="DG21" s="362"/>
      <c r="DH21" s="362"/>
      <c r="DI21" s="362"/>
      <c r="DJ21" s="362"/>
      <c r="DK21" s="362"/>
      <c r="DL21" s="362"/>
      <c r="DM21" s="362"/>
      <c r="DN21" s="362"/>
      <c r="DO21" s="362"/>
      <c r="DP21" s="362"/>
      <c r="DQ21" s="362"/>
      <c r="DR21" s="362"/>
      <c r="DS21" s="362"/>
      <c r="DT21" s="362"/>
      <c r="DU21" s="362"/>
      <c r="DV21" s="362"/>
      <c r="DW21" s="362"/>
      <c r="DX21" s="362"/>
      <c r="DY21" s="362"/>
      <c r="DZ21" s="362"/>
      <c r="EA21" s="362"/>
      <c r="EB21" s="362"/>
      <c r="EC21" s="362"/>
      <c r="ED21" s="362"/>
      <c r="EE21" s="362"/>
      <c r="EF21" s="362"/>
      <c r="EG21" s="362"/>
      <c r="EH21" s="362"/>
      <c r="EI21" s="362"/>
      <c r="EJ21" s="362"/>
      <c r="EK21" s="362"/>
      <c r="EL21" s="362"/>
      <c r="EM21" s="362"/>
      <c r="EN21" s="362"/>
      <c r="EO21" s="362"/>
      <c r="EP21" s="362"/>
      <c r="EQ21" s="362"/>
      <c r="ER21" s="362"/>
      <c r="ES21" s="362"/>
      <c r="ET21" s="362"/>
      <c r="EU21" s="362"/>
      <c r="EV21" s="362"/>
      <c r="EW21" s="362"/>
      <c r="EX21" s="362"/>
      <c r="EY21" s="362"/>
      <c r="EZ21" s="362"/>
      <c r="FA21" s="362"/>
      <c r="FB21" s="362"/>
      <c r="FC21" s="362"/>
      <c r="FD21" s="362"/>
      <c r="FE21" s="362"/>
      <c r="FF21" s="362"/>
      <c r="FG21" s="362"/>
      <c r="FH21" s="362"/>
      <c r="FI21" s="362"/>
      <c r="FJ21" s="362"/>
      <c r="FK21" s="362"/>
      <c r="FL21" s="362"/>
      <c r="FM21" s="362"/>
      <c r="FN21" s="362"/>
      <c r="FO21" s="362"/>
      <c r="FP21" s="362"/>
      <c r="FQ21" s="362"/>
      <c r="FR21" s="362"/>
      <c r="FS21" s="362"/>
      <c r="FT21" s="362"/>
      <c r="FU21" s="362"/>
      <c r="FV21" s="362"/>
      <c r="FW21" s="362"/>
      <c r="FX21" s="362"/>
      <c r="FY21" s="362"/>
      <c r="FZ21" s="362"/>
      <c r="GA21" s="362"/>
      <c r="GB21" s="362"/>
      <c r="GC21" s="362"/>
      <c r="GD21" s="362"/>
      <c r="GE21" s="362"/>
      <c r="GF21" s="362"/>
      <c r="GG21" s="362"/>
      <c r="GH21" s="362"/>
      <c r="GI21" s="362"/>
      <c r="GJ21" s="362"/>
      <c r="GK21" s="362"/>
      <c r="GL21" s="362"/>
      <c r="GM21" s="362"/>
      <c r="GN21" s="362"/>
      <c r="GO21" s="362"/>
      <c r="GP21" s="362"/>
      <c r="GQ21" s="362"/>
      <c r="GR21" s="362"/>
      <c r="GS21" s="362"/>
      <c r="GT21" s="362"/>
      <c r="GU21" s="362"/>
      <c r="GV21" s="362"/>
      <c r="GW21" s="362"/>
      <c r="GX21" s="362"/>
      <c r="GY21" s="362"/>
      <c r="GZ21" s="362"/>
      <c r="HA21" s="362"/>
      <c r="HB21" s="362"/>
      <c r="HC21" s="362"/>
      <c r="HD21" s="362"/>
      <c r="HE21" s="362"/>
      <c r="HF21" s="362"/>
      <c r="HG21" s="362"/>
      <c r="HH21" s="362"/>
      <c r="HI21" s="362"/>
      <c r="HJ21" s="362"/>
      <c r="HK21" s="362"/>
      <c r="HL21" s="362"/>
      <c r="HM21" s="362"/>
      <c r="HN21" s="362"/>
      <c r="HO21" s="362"/>
      <c r="HP21" s="362"/>
      <c r="HQ21" s="362"/>
      <c r="HR21" s="362"/>
      <c r="HS21" s="362"/>
      <c r="HT21" s="362"/>
      <c r="HU21" s="362"/>
      <c r="HV21" s="362"/>
      <c r="HW21" s="362"/>
      <c r="HX21" s="362"/>
      <c r="HY21" s="362"/>
      <c r="HZ21" s="362"/>
      <c r="IA21" s="362"/>
      <c r="IB21" s="362"/>
      <c r="IC21" s="362"/>
      <c r="ID21" s="362"/>
      <c r="IE21" s="362"/>
      <c r="IF21" s="362"/>
      <c r="IG21" s="362"/>
      <c r="IH21" s="362"/>
      <c r="II21" s="362"/>
      <c r="IJ21" s="362"/>
      <c r="IK21" s="362"/>
      <c r="IL21" s="362"/>
      <c r="IM21" s="362"/>
      <c r="IN21" s="362"/>
      <c r="IO21" s="362"/>
      <c r="IP21" s="362"/>
      <c r="IQ21" s="362"/>
      <c r="IR21" s="362"/>
      <c r="IS21" s="362"/>
      <c r="IT21" s="362"/>
    </row>
    <row r="22" spans="1:254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390">
        <f>SUM(O20:O21)</f>
        <v>0</v>
      </c>
      <c r="P22" s="362"/>
      <c r="Q22" s="362"/>
      <c r="R22" s="362"/>
      <c r="S22" s="362"/>
      <c r="T22" s="362"/>
      <c r="U22" s="362"/>
      <c r="V22" s="362"/>
      <c r="W22" s="362"/>
      <c r="X22" s="362"/>
      <c r="Y22" s="362"/>
      <c r="Z22" s="362"/>
      <c r="AA22" s="362"/>
      <c r="AB22" s="362"/>
      <c r="AC22" s="1074"/>
      <c r="AD22" s="1075"/>
      <c r="AE22" s="1075"/>
      <c r="AF22" s="1075"/>
      <c r="AG22" s="1074"/>
      <c r="AH22" s="1074"/>
      <c r="AI22" s="1074"/>
      <c r="AJ22" s="1074"/>
      <c r="AK22" s="1074"/>
      <c r="AL22" s="1074"/>
      <c r="AM22" s="1074"/>
      <c r="AN22" s="362"/>
      <c r="AO22" s="362"/>
      <c r="AP22" s="362"/>
      <c r="AQ22" s="362"/>
      <c r="AR22" s="362"/>
      <c r="AS22" s="362"/>
      <c r="AT22" s="362"/>
      <c r="AU22" s="362"/>
      <c r="AV22" s="362"/>
      <c r="AW22" s="362"/>
      <c r="AX22" s="362"/>
      <c r="AY22" s="362"/>
      <c r="AZ22" s="362"/>
      <c r="BA22" s="1069"/>
      <c r="BB22" s="362"/>
      <c r="BC22" s="362"/>
      <c r="BD22" s="362"/>
      <c r="BE22" s="362"/>
      <c r="BF22" s="362"/>
      <c r="BG22" s="362"/>
      <c r="BH22" s="362"/>
      <c r="BI22" s="362"/>
      <c r="BJ22" s="362"/>
      <c r="BK22" s="362"/>
      <c r="BL22" s="362"/>
      <c r="BM22" s="362"/>
      <c r="BN22" s="362"/>
      <c r="BO22" s="362"/>
      <c r="BP22" s="362"/>
      <c r="BQ22" s="362"/>
      <c r="BR22" s="362"/>
      <c r="BS22" s="362"/>
      <c r="BT22" s="362"/>
      <c r="BU22" s="362"/>
      <c r="BV22" s="362"/>
      <c r="BW22" s="362"/>
      <c r="BX22" s="362"/>
      <c r="BY22" s="362"/>
      <c r="BZ22" s="362"/>
      <c r="CA22" s="362"/>
      <c r="CB22" s="362"/>
      <c r="CC22" s="362"/>
      <c r="CD22" s="362"/>
      <c r="CE22" s="362"/>
      <c r="CF22" s="362"/>
      <c r="CG22" s="362"/>
      <c r="CH22" s="362"/>
      <c r="CI22" s="362"/>
      <c r="CJ22" s="362"/>
      <c r="CK22" s="362"/>
      <c r="CL22" s="362"/>
      <c r="CM22" s="362"/>
      <c r="CN22" s="362"/>
      <c r="CO22" s="362"/>
      <c r="CP22" s="362"/>
      <c r="CQ22" s="362"/>
      <c r="CR22" s="362"/>
      <c r="CS22" s="362"/>
      <c r="CT22" s="362"/>
      <c r="CU22" s="362"/>
      <c r="CV22" s="362"/>
      <c r="CW22" s="362"/>
      <c r="CX22" s="362"/>
      <c r="CY22" s="362"/>
      <c r="CZ22" s="362"/>
      <c r="DA22" s="362"/>
      <c r="DB22" s="362"/>
      <c r="DC22" s="362"/>
      <c r="DD22" s="362"/>
      <c r="DE22" s="362"/>
      <c r="DF22" s="362"/>
      <c r="DG22" s="362"/>
      <c r="DH22" s="362"/>
      <c r="DI22" s="362"/>
      <c r="DJ22" s="362"/>
      <c r="DK22" s="362"/>
      <c r="DL22" s="362"/>
      <c r="DM22" s="362"/>
      <c r="DN22" s="362"/>
      <c r="DO22" s="362"/>
      <c r="DP22" s="362"/>
      <c r="DQ22" s="362"/>
      <c r="DR22" s="362"/>
      <c r="DS22" s="362"/>
      <c r="DT22" s="362"/>
      <c r="DU22" s="362"/>
      <c r="DV22" s="362"/>
      <c r="DW22" s="362"/>
      <c r="DX22" s="362"/>
      <c r="DY22" s="362"/>
      <c r="DZ22" s="362"/>
      <c r="EA22" s="362"/>
      <c r="EB22" s="362"/>
      <c r="EC22" s="362"/>
      <c r="ED22" s="362"/>
      <c r="EE22" s="362"/>
      <c r="EF22" s="362"/>
      <c r="EG22" s="362"/>
      <c r="EH22" s="362"/>
      <c r="EI22" s="362"/>
      <c r="EJ22" s="362"/>
      <c r="EK22" s="362"/>
      <c r="EL22" s="362"/>
      <c r="EM22" s="362"/>
      <c r="EN22" s="362"/>
      <c r="EO22" s="362"/>
      <c r="EP22" s="362"/>
      <c r="EQ22" s="362"/>
      <c r="ER22" s="362"/>
      <c r="ES22" s="362"/>
      <c r="ET22" s="362"/>
      <c r="EU22" s="362"/>
      <c r="EV22" s="362"/>
      <c r="EW22" s="362"/>
      <c r="EX22" s="362"/>
      <c r="EY22" s="362"/>
      <c r="EZ22" s="362"/>
      <c r="FA22" s="362"/>
      <c r="FB22" s="362"/>
      <c r="FC22" s="362"/>
      <c r="FD22" s="362"/>
      <c r="FE22" s="362"/>
      <c r="FF22" s="362"/>
      <c r="FG22" s="362"/>
      <c r="FH22" s="362"/>
      <c r="FI22" s="362"/>
      <c r="FJ22" s="362"/>
      <c r="FK22" s="362"/>
      <c r="FL22" s="362"/>
      <c r="FM22" s="362"/>
      <c r="FN22" s="362"/>
      <c r="FO22" s="362"/>
      <c r="FP22" s="362"/>
      <c r="FQ22" s="362"/>
      <c r="FR22" s="362"/>
      <c r="FS22" s="362"/>
      <c r="FT22" s="362"/>
      <c r="FU22" s="362"/>
      <c r="FV22" s="362"/>
      <c r="FW22" s="362"/>
      <c r="FX22" s="362"/>
      <c r="FY22" s="362"/>
      <c r="FZ22" s="362"/>
      <c r="GA22" s="362"/>
      <c r="GB22" s="362"/>
      <c r="GC22" s="362"/>
      <c r="GD22" s="362"/>
      <c r="GE22" s="362"/>
      <c r="GF22" s="362"/>
      <c r="GG22" s="362"/>
      <c r="GH22" s="362"/>
      <c r="GI22" s="362"/>
      <c r="GJ22" s="362"/>
      <c r="GK22" s="362"/>
      <c r="GL22" s="362"/>
      <c r="GM22" s="362"/>
      <c r="GN22" s="362"/>
      <c r="GO22" s="362"/>
      <c r="GP22" s="362"/>
      <c r="GQ22" s="362"/>
      <c r="GR22" s="362"/>
      <c r="GS22" s="362"/>
      <c r="GT22" s="362"/>
      <c r="GU22" s="362"/>
      <c r="GV22" s="362"/>
      <c r="GW22" s="362"/>
      <c r="GX22" s="362"/>
      <c r="GY22" s="362"/>
      <c r="GZ22" s="362"/>
      <c r="HA22" s="362"/>
      <c r="HB22" s="362"/>
      <c r="HC22" s="362"/>
      <c r="HD22" s="362"/>
      <c r="HE22" s="362"/>
      <c r="HF22" s="362"/>
      <c r="HG22" s="362"/>
      <c r="HH22" s="362"/>
      <c r="HI22" s="362"/>
      <c r="HJ22" s="362"/>
      <c r="HK22" s="362"/>
      <c r="HL22" s="362"/>
      <c r="HM22" s="362"/>
      <c r="HN22" s="362"/>
      <c r="HO22" s="362"/>
      <c r="HP22" s="362"/>
      <c r="HQ22" s="362"/>
      <c r="HR22" s="362"/>
      <c r="HS22" s="362"/>
      <c r="HT22" s="362"/>
      <c r="HU22" s="362"/>
      <c r="HV22" s="362"/>
      <c r="HW22" s="362"/>
      <c r="HX22" s="362"/>
      <c r="HY22" s="362"/>
      <c r="HZ22" s="362"/>
      <c r="IA22" s="362"/>
      <c r="IB22" s="362"/>
      <c r="IC22" s="362"/>
      <c r="ID22" s="362"/>
      <c r="IE22" s="362"/>
      <c r="IF22" s="362"/>
      <c r="IG22" s="362"/>
      <c r="IH22" s="362"/>
      <c r="II22" s="362"/>
      <c r="IJ22" s="362"/>
      <c r="IK22" s="362"/>
      <c r="IL22" s="362"/>
      <c r="IM22" s="362"/>
      <c r="IN22" s="362"/>
      <c r="IO22" s="362"/>
      <c r="IP22" s="362"/>
      <c r="IQ22" s="362"/>
      <c r="IR22" s="362"/>
      <c r="IS22" s="362"/>
      <c r="IT22" s="362"/>
    </row>
    <row r="23" spans="1:254" x14ac:dyDescent="0.15">
      <c r="A23" s="295"/>
      <c r="B23" s="667" t="s">
        <v>330</v>
      </c>
      <c r="C23" s="668"/>
      <c r="D23" s="43"/>
      <c r="N23" s="658"/>
      <c r="O23" s="390"/>
      <c r="P23" s="1082" t="s">
        <v>599</v>
      </c>
      <c r="Q23" s="1082">
        <v>1</v>
      </c>
      <c r="R23" s="1082">
        <v>2</v>
      </c>
      <c r="S23" s="1082">
        <v>3</v>
      </c>
      <c r="T23" s="1082">
        <v>4</v>
      </c>
      <c r="U23" s="1082">
        <v>5</v>
      </c>
      <c r="V23" s="1082">
        <v>6</v>
      </c>
      <c r="W23" s="1082">
        <v>7</v>
      </c>
      <c r="X23" s="1082">
        <v>8</v>
      </c>
      <c r="Y23" s="1082">
        <v>9</v>
      </c>
      <c r="Z23" s="1082">
        <v>10</v>
      </c>
      <c r="AA23" s="1082">
        <v>11</v>
      </c>
      <c r="AB23" s="1082">
        <v>12</v>
      </c>
      <c r="AC23" s="1082">
        <v>13</v>
      </c>
      <c r="AD23" s="1082">
        <v>14</v>
      </c>
      <c r="AE23" s="1082">
        <v>15</v>
      </c>
      <c r="AF23" s="1082">
        <v>16</v>
      </c>
      <c r="AG23" s="1082">
        <v>17</v>
      </c>
      <c r="AH23" s="1082">
        <v>18</v>
      </c>
      <c r="AI23" s="1082">
        <v>19</v>
      </c>
      <c r="AJ23" s="1082">
        <v>20</v>
      </c>
      <c r="AK23" s="1082">
        <v>21</v>
      </c>
      <c r="AL23" s="1082">
        <v>22</v>
      </c>
      <c r="AM23" s="1082">
        <v>23</v>
      </c>
      <c r="AN23" s="1082">
        <v>24</v>
      </c>
      <c r="AO23" s="1082">
        <v>25</v>
      </c>
      <c r="AP23" s="1082">
        <v>26</v>
      </c>
      <c r="AQ23" s="1082">
        <v>27</v>
      </c>
      <c r="AR23" s="1082">
        <v>28</v>
      </c>
      <c r="AS23" s="1082">
        <v>29</v>
      </c>
      <c r="AT23" s="1082">
        <v>30</v>
      </c>
      <c r="AU23" s="1082">
        <v>31</v>
      </c>
      <c r="AV23" s="1082">
        <v>32</v>
      </c>
      <c r="AW23" s="1082">
        <v>33</v>
      </c>
      <c r="AX23" s="1082">
        <v>34</v>
      </c>
      <c r="AY23" s="1082">
        <v>35</v>
      </c>
      <c r="AZ23" s="362"/>
      <c r="BA23" s="1069"/>
      <c r="BB23" s="362"/>
      <c r="BC23" s="362"/>
      <c r="BD23" s="362"/>
      <c r="BE23" s="362"/>
      <c r="BF23" s="362"/>
      <c r="BG23" s="362"/>
      <c r="BH23" s="362"/>
      <c r="BI23" s="362"/>
      <c r="BJ23" s="362"/>
      <c r="BK23" s="362"/>
      <c r="BL23" s="362"/>
      <c r="BM23" s="362"/>
      <c r="BN23" s="362"/>
      <c r="BO23" s="362"/>
      <c r="BP23" s="362"/>
      <c r="BQ23" s="362"/>
      <c r="BR23" s="362"/>
      <c r="BS23" s="362"/>
      <c r="BT23" s="362"/>
      <c r="BU23" s="362"/>
      <c r="BV23" s="362"/>
      <c r="BW23" s="362"/>
      <c r="BX23" s="362"/>
      <c r="BY23" s="362"/>
      <c r="BZ23" s="362"/>
      <c r="CA23" s="362"/>
      <c r="CB23" s="362"/>
      <c r="CC23" s="362"/>
      <c r="CD23" s="362"/>
      <c r="CE23" s="362"/>
      <c r="CF23" s="362"/>
      <c r="CG23" s="362"/>
      <c r="CH23" s="362"/>
      <c r="CI23" s="362"/>
      <c r="CJ23" s="362"/>
      <c r="CK23" s="362"/>
      <c r="CL23" s="362"/>
      <c r="CM23" s="362"/>
      <c r="CN23" s="362"/>
      <c r="CO23" s="362"/>
      <c r="CP23" s="362"/>
      <c r="CQ23" s="362"/>
      <c r="CR23" s="362"/>
      <c r="CS23" s="362"/>
      <c r="CT23" s="362"/>
      <c r="CU23" s="362"/>
      <c r="CV23" s="362"/>
      <c r="CW23" s="362"/>
      <c r="CX23" s="362"/>
      <c r="CY23" s="362"/>
      <c r="CZ23" s="362"/>
      <c r="DA23" s="362"/>
      <c r="DB23" s="362"/>
      <c r="DC23" s="362"/>
      <c r="DD23" s="362"/>
      <c r="DE23" s="362"/>
      <c r="DF23" s="362"/>
      <c r="DG23" s="362"/>
      <c r="DH23" s="362"/>
      <c r="DI23" s="362"/>
      <c r="DJ23" s="362"/>
      <c r="DK23" s="362"/>
      <c r="DL23" s="362"/>
      <c r="DM23" s="362"/>
      <c r="DN23" s="362"/>
      <c r="DO23" s="362"/>
      <c r="DP23" s="362"/>
      <c r="DQ23" s="362"/>
      <c r="DR23" s="362"/>
      <c r="DS23" s="362"/>
      <c r="DT23" s="362"/>
      <c r="DU23" s="362"/>
      <c r="DV23" s="362"/>
      <c r="DW23" s="362"/>
      <c r="DX23" s="362"/>
      <c r="DY23" s="362"/>
      <c r="DZ23" s="362"/>
      <c r="EA23" s="362"/>
      <c r="EB23" s="362"/>
      <c r="EC23" s="362"/>
      <c r="ED23" s="362"/>
      <c r="EE23" s="362"/>
      <c r="EF23" s="362"/>
      <c r="EG23" s="362"/>
      <c r="EH23" s="362"/>
      <c r="EI23" s="362"/>
      <c r="EJ23" s="362"/>
      <c r="EK23" s="362"/>
      <c r="EL23" s="362"/>
      <c r="EM23" s="362"/>
      <c r="EN23" s="362"/>
      <c r="EO23" s="362"/>
      <c r="EP23" s="362"/>
      <c r="EQ23" s="362"/>
      <c r="ER23" s="362"/>
      <c r="ES23" s="362"/>
      <c r="ET23" s="362"/>
      <c r="EU23" s="362"/>
      <c r="EV23" s="362"/>
      <c r="EW23" s="362"/>
      <c r="EX23" s="362"/>
      <c r="EY23" s="362"/>
      <c r="EZ23" s="362"/>
      <c r="FA23" s="362"/>
      <c r="FB23" s="362"/>
      <c r="FC23" s="362"/>
      <c r="FD23" s="362"/>
      <c r="FE23" s="362"/>
      <c r="FF23" s="362"/>
      <c r="FG23" s="362"/>
      <c r="FH23" s="362"/>
      <c r="FI23" s="362"/>
      <c r="FJ23" s="362"/>
      <c r="FK23" s="362"/>
      <c r="FL23" s="362"/>
      <c r="FM23" s="362"/>
      <c r="FN23" s="362"/>
      <c r="FO23" s="362"/>
      <c r="FP23" s="362"/>
      <c r="FQ23" s="362"/>
      <c r="FR23" s="362"/>
      <c r="FS23" s="362"/>
      <c r="FT23" s="362"/>
      <c r="FU23" s="362"/>
      <c r="FV23" s="362"/>
      <c r="FW23" s="362"/>
      <c r="FX23" s="362"/>
      <c r="FY23" s="362"/>
      <c r="FZ23" s="362"/>
      <c r="GA23" s="362"/>
      <c r="GB23" s="362"/>
      <c r="GC23" s="362"/>
      <c r="GD23" s="362"/>
      <c r="GE23" s="362"/>
      <c r="GF23" s="362"/>
      <c r="GG23" s="362"/>
      <c r="GH23" s="362"/>
      <c r="GI23" s="362"/>
      <c r="GJ23" s="362"/>
      <c r="GK23" s="362"/>
      <c r="GL23" s="362"/>
      <c r="GM23" s="362"/>
      <c r="GN23" s="362"/>
      <c r="GO23" s="362"/>
      <c r="GP23" s="362"/>
      <c r="GQ23" s="362"/>
      <c r="GR23" s="362"/>
      <c r="GS23" s="362"/>
      <c r="GT23" s="362"/>
      <c r="GU23" s="362"/>
      <c r="GV23" s="362"/>
      <c r="GW23" s="362"/>
      <c r="GX23" s="362"/>
      <c r="GY23" s="362"/>
      <c r="GZ23" s="362"/>
      <c r="HA23" s="362"/>
      <c r="HB23" s="362"/>
      <c r="HC23" s="362"/>
      <c r="HD23" s="362"/>
      <c r="HE23" s="362"/>
      <c r="HF23" s="362"/>
      <c r="HG23" s="362"/>
      <c r="HH23" s="362"/>
      <c r="HI23" s="362"/>
      <c r="HJ23" s="362"/>
      <c r="HK23" s="362"/>
      <c r="HL23" s="362"/>
      <c r="HM23" s="362"/>
      <c r="HN23" s="362"/>
      <c r="HO23" s="362"/>
      <c r="HP23" s="362"/>
      <c r="HQ23" s="362"/>
      <c r="HR23" s="362"/>
      <c r="HS23" s="362"/>
      <c r="HT23" s="362"/>
      <c r="HU23" s="362"/>
      <c r="HV23" s="362"/>
      <c r="HW23" s="362"/>
      <c r="HX23" s="362"/>
      <c r="HY23" s="362"/>
      <c r="HZ23" s="362"/>
      <c r="IA23" s="362"/>
      <c r="IB23" s="362"/>
      <c r="IC23" s="362"/>
      <c r="ID23" s="362"/>
      <c r="IE23" s="362"/>
      <c r="IF23" s="362"/>
      <c r="IG23" s="362"/>
      <c r="IH23" s="362"/>
      <c r="II23" s="362"/>
      <c r="IJ23" s="362"/>
      <c r="IK23" s="362"/>
      <c r="IL23" s="362"/>
      <c r="IM23" s="362"/>
      <c r="IN23" s="362"/>
      <c r="IO23" s="362"/>
      <c r="IP23" s="362"/>
      <c r="IQ23" s="362"/>
      <c r="IR23" s="362"/>
      <c r="IS23" s="362"/>
      <c r="IT23" s="362"/>
    </row>
    <row r="24" spans="1:254" ht="6" customHeight="1" thickBot="1" x14ac:dyDescent="0.2">
      <c r="A24" s="295"/>
      <c r="B24" s="44"/>
      <c r="C24" s="43"/>
      <c r="D24" s="43"/>
      <c r="P24" s="362"/>
      <c r="Q24" s="362"/>
      <c r="R24" s="362"/>
      <c r="S24" s="362"/>
      <c r="T24" s="362"/>
      <c r="U24" s="362"/>
      <c r="V24" s="362"/>
      <c r="W24" s="362"/>
      <c r="X24" s="362"/>
      <c r="Y24" s="362"/>
      <c r="Z24" s="362"/>
      <c r="AA24" s="362"/>
      <c r="AB24" s="362"/>
      <c r="AC24" s="1074"/>
      <c r="AD24" s="1075"/>
      <c r="AE24" s="1075"/>
      <c r="AF24" s="1075"/>
      <c r="AG24" s="1074"/>
      <c r="AH24" s="1074"/>
      <c r="AI24" s="1074"/>
      <c r="AJ24" s="1074"/>
      <c r="AK24" s="1074"/>
      <c r="AL24" s="1074"/>
      <c r="AM24" s="1074"/>
      <c r="AN24" s="362"/>
      <c r="AO24" s="362"/>
      <c r="AP24" s="362"/>
      <c r="AQ24" s="362"/>
      <c r="AR24" s="362"/>
      <c r="AS24" s="362"/>
      <c r="AT24" s="362"/>
      <c r="AU24" s="362"/>
      <c r="AV24" s="362"/>
      <c r="AW24" s="362"/>
      <c r="AX24" s="362"/>
      <c r="AY24" s="362"/>
      <c r="AZ24" s="362"/>
      <c r="BA24" s="1069"/>
      <c r="BB24" s="362"/>
      <c r="BC24" s="362"/>
      <c r="BD24" s="362"/>
      <c r="BE24" s="362"/>
      <c r="BF24" s="362"/>
      <c r="BG24" s="362"/>
      <c r="BH24" s="362"/>
      <c r="BI24" s="362"/>
      <c r="BJ24" s="362"/>
      <c r="BK24" s="362"/>
      <c r="BL24" s="362"/>
      <c r="BM24" s="362"/>
      <c r="BN24" s="362"/>
      <c r="BO24" s="362"/>
      <c r="BP24" s="362"/>
      <c r="BQ24" s="362"/>
      <c r="BR24" s="362"/>
      <c r="BS24" s="362"/>
      <c r="BT24" s="362"/>
      <c r="BU24" s="362"/>
      <c r="BV24" s="362"/>
      <c r="BW24" s="362"/>
      <c r="BX24" s="362"/>
      <c r="BY24" s="362"/>
      <c r="BZ24" s="362"/>
      <c r="CA24" s="362"/>
      <c r="CB24" s="362"/>
      <c r="CC24" s="362"/>
      <c r="CD24" s="362"/>
      <c r="CE24" s="362"/>
      <c r="CF24" s="362"/>
      <c r="CG24" s="362"/>
      <c r="CH24" s="362"/>
      <c r="CI24" s="362"/>
      <c r="CJ24" s="362"/>
      <c r="CK24" s="362"/>
      <c r="CL24" s="362"/>
      <c r="CM24" s="362"/>
      <c r="CN24" s="362"/>
      <c r="CO24" s="362"/>
      <c r="CP24" s="362"/>
      <c r="CQ24" s="362"/>
      <c r="CR24" s="362"/>
      <c r="CS24" s="362"/>
      <c r="CT24" s="362"/>
      <c r="CU24" s="362"/>
      <c r="CV24" s="362"/>
      <c r="CW24" s="362"/>
      <c r="CX24" s="362"/>
      <c r="CY24" s="362"/>
      <c r="CZ24" s="362"/>
      <c r="DA24" s="362"/>
      <c r="DB24" s="362"/>
      <c r="DC24" s="362"/>
      <c r="DD24" s="362"/>
      <c r="DE24" s="362"/>
      <c r="DF24" s="362"/>
      <c r="DG24" s="362"/>
      <c r="DH24" s="362"/>
      <c r="DI24" s="362"/>
      <c r="DJ24" s="362"/>
      <c r="DK24" s="362"/>
      <c r="DL24" s="362"/>
      <c r="DM24" s="362"/>
      <c r="DN24" s="362"/>
      <c r="DO24" s="362"/>
      <c r="DP24" s="362"/>
      <c r="DQ24" s="362"/>
      <c r="DR24" s="362"/>
      <c r="DS24" s="362"/>
      <c r="DT24" s="362"/>
      <c r="DU24" s="362"/>
      <c r="DV24" s="362"/>
      <c r="DW24" s="362"/>
      <c r="DX24" s="362"/>
      <c r="DY24" s="362"/>
      <c r="DZ24" s="362"/>
      <c r="EA24" s="362"/>
      <c r="EB24" s="362"/>
      <c r="EC24" s="362"/>
      <c r="ED24" s="362"/>
      <c r="EE24" s="362"/>
      <c r="EF24" s="362"/>
      <c r="EG24" s="362"/>
      <c r="EH24" s="362"/>
      <c r="EI24" s="362"/>
      <c r="EJ24" s="362"/>
      <c r="EK24" s="362"/>
      <c r="EL24" s="362"/>
      <c r="EM24" s="362"/>
      <c r="EN24" s="362"/>
      <c r="EO24" s="362"/>
      <c r="EP24" s="362"/>
      <c r="EQ24" s="362"/>
      <c r="ER24" s="362"/>
      <c r="ES24" s="362"/>
      <c r="ET24" s="362"/>
      <c r="EU24" s="362"/>
      <c r="EV24" s="362"/>
      <c r="EW24" s="362"/>
      <c r="EX24" s="362"/>
      <c r="EY24" s="362"/>
      <c r="EZ24" s="362"/>
      <c r="FA24" s="362"/>
      <c r="FB24" s="362"/>
      <c r="FC24" s="362"/>
      <c r="FD24" s="362"/>
      <c r="FE24" s="362"/>
      <c r="FF24" s="362"/>
      <c r="FG24" s="362"/>
      <c r="FH24" s="362"/>
      <c r="FI24" s="362"/>
      <c r="FJ24" s="362"/>
      <c r="FK24" s="362"/>
      <c r="FL24" s="362"/>
      <c r="FM24" s="362"/>
      <c r="FN24" s="362"/>
      <c r="FO24" s="362"/>
      <c r="FP24" s="362"/>
      <c r="FQ24" s="362"/>
      <c r="FR24" s="362"/>
      <c r="FS24" s="362"/>
      <c r="FT24" s="362"/>
      <c r="FU24" s="362"/>
      <c r="FV24" s="362"/>
      <c r="FW24" s="362"/>
      <c r="FX24" s="362"/>
      <c r="FY24" s="362"/>
      <c r="FZ24" s="362"/>
      <c r="GA24" s="362"/>
      <c r="GB24" s="362"/>
      <c r="GC24" s="362"/>
      <c r="GD24" s="362"/>
      <c r="GE24" s="362"/>
      <c r="GF24" s="362"/>
      <c r="GG24" s="362"/>
      <c r="GH24" s="362"/>
      <c r="GI24" s="362"/>
      <c r="GJ24" s="362"/>
      <c r="GK24" s="362"/>
      <c r="GL24" s="362"/>
      <c r="GM24" s="362"/>
      <c r="GN24" s="362"/>
      <c r="GO24" s="362"/>
      <c r="GP24" s="362"/>
      <c r="GQ24" s="362"/>
      <c r="GR24" s="362"/>
      <c r="GS24" s="362"/>
      <c r="GT24" s="362"/>
      <c r="GU24" s="362"/>
      <c r="GV24" s="362"/>
      <c r="GW24" s="362"/>
      <c r="GX24" s="362"/>
      <c r="GY24" s="362"/>
      <c r="GZ24" s="362"/>
      <c r="HA24" s="362"/>
      <c r="HB24" s="362"/>
      <c r="HC24" s="362"/>
      <c r="HD24" s="362"/>
      <c r="HE24" s="362"/>
      <c r="HF24" s="362"/>
      <c r="HG24" s="362"/>
      <c r="HH24" s="362"/>
      <c r="HI24" s="362"/>
      <c r="HJ24" s="362"/>
      <c r="HK24" s="362"/>
      <c r="HL24" s="362"/>
      <c r="HM24" s="362"/>
      <c r="HN24" s="362"/>
      <c r="HO24" s="362"/>
      <c r="HP24" s="362"/>
      <c r="HQ24" s="362"/>
      <c r="HR24" s="362"/>
      <c r="HS24" s="362"/>
      <c r="HT24" s="362"/>
      <c r="HU24" s="362"/>
      <c r="HV24" s="362"/>
      <c r="HW24" s="362"/>
      <c r="HX24" s="362"/>
      <c r="HY24" s="362"/>
      <c r="HZ24" s="362"/>
      <c r="IA24" s="362"/>
      <c r="IB24" s="362"/>
      <c r="IC24" s="362"/>
      <c r="ID24" s="362"/>
      <c r="IE24" s="362"/>
      <c r="IF24" s="362"/>
      <c r="IG24" s="362"/>
      <c r="IH24" s="362"/>
      <c r="II24" s="362"/>
      <c r="IJ24" s="362"/>
      <c r="IK24" s="362"/>
      <c r="IL24" s="362"/>
      <c r="IM24" s="362"/>
      <c r="IN24" s="362"/>
      <c r="IO24" s="362"/>
      <c r="IP24" s="362"/>
      <c r="IQ24" s="362"/>
      <c r="IR24" s="362"/>
      <c r="IS24" s="362"/>
      <c r="IT24" s="362"/>
    </row>
    <row r="25" spans="1:254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083" t="s">
        <v>601</v>
      </c>
      <c r="Q25" s="1084"/>
      <c r="R25" s="1084"/>
      <c r="S25" s="1084"/>
      <c r="T25" s="1084"/>
      <c r="U25" s="1084"/>
      <c r="V25" s="1084"/>
      <c r="W25" s="1084"/>
      <c r="X25" s="1084"/>
      <c r="Y25" s="1084"/>
      <c r="Z25" s="1084"/>
      <c r="AA25" s="1084"/>
      <c r="AB25" s="1084"/>
      <c r="AC25" s="1085"/>
      <c r="AD25" s="1086"/>
      <c r="AE25" s="1086"/>
      <c r="AF25" s="1086"/>
      <c r="AG25" s="1085"/>
      <c r="AH25" s="1085"/>
      <c r="AI25" s="1085"/>
      <c r="AJ25" s="1085"/>
      <c r="AK25" s="1085"/>
      <c r="AL25" s="1085"/>
      <c r="AM25" s="1085"/>
      <c r="AN25" s="1084"/>
      <c r="AO25" s="1084"/>
      <c r="AP25" s="1084"/>
      <c r="AQ25" s="1084"/>
      <c r="AR25" s="1084"/>
      <c r="AS25" s="1084"/>
      <c r="AT25" s="1084"/>
      <c r="AU25" s="1084"/>
      <c r="AV25" s="1084"/>
      <c r="AW25" s="1084"/>
      <c r="AX25" s="1085"/>
      <c r="AY25" s="1087"/>
      <c r="AZ25" s="1074"/>
      <c r="BA25" s="1088"/>
      <c r="BB25" s="362"/>
      <c r="BC25" s="362"/>
      <c r="BD25" s="362"/>
      <c r="BE25" s="362"/>
      <c r="BF25" s="362"/>
      <c r="BG25" s="362"/>
      <c r="BH25" s="362"/>
      <c r="BI25" s="362"/>
      <c r="BJ25" s="362"/>
      <c r="BK25" s="362"/>
      <c r="BL25" s="362"/>
      <c r="BM25" s="362"/>
      <c r="BN25" s="362"/>
      <c r="BO25" s="362"/>
      <c r="BP25" s="362"/>
      <c r="BQ25" s="362"/>
      <c r="BR25" s="362"/>
      <c r="BS25" s="362"/>
      <c r="BT25" s="362"/>
      <c r="BU25" s="362"/>
      <c r="BV25" s="362"/>
      <c r="BW25" s="362"/>
      <c r="BX25" s="362"/>
      <c r="BY25" s="362"/>
      <c r="BZ25" s="362"/>
      <c r="CA25" s="362"/>
      <c r="CB25" s="362"/>
      <c r="CC25" s="362"/>
      <c r="CD25" s="362"/>
      <c r="CE25" s="362"/>
      <c r="CF25" s="362"/>
      <c r="CG25" s="362"/>
      <c r="CH25" s="362"/>
      <c r="CI25" s="362"/>
      <c r="CJ25" s="362"/>
      <c r="CK25" s="362"/>
      <c r="CL25" s="362"/>
      <c r="CM25" s="362"/>
      <c r="CN25" s="362"/>
      <c r="CO25" s="362"/>
      <c r="CP25" s="362"/>
      <c r="CQ25" s="362"/>
      <c r="CR25" s="362"/>
      <c r="CS25" s="362"/>
      <c r="CT25" s="362"/>
      <c r="CU25" s="362"/>
      <c r="CV25" s="362"/>
      <c r="CW25" s="362"/>
      <c r="CX25" s="362"/>
      <c r="CY25" s="362"/>
      <c r="CZ25" s="362"/>
      <c r="DA25" s="362"/>
      <c r="DB25" s="362"/>
      <c r="DC25" s="362"/>
      <c r="DD25" s="362"/>
      <c r="DE25" s="362"/>
      <c r="DF25" s="362"/>
      <c r="DG25" s="362"/>
      <c r="DH25" s="362"/>
      <c r="DI25" s="362"/>
      <c r="DJ25" s="362"/>
      <c r="DK25" s="362"/>
      <c r="DL25" s="362"/>
      <c r="DM25" s="362"/>
      <c r="DN25" s="362"/>
      <c r="DO25" s="362"/>
      <c r="DP25" s="362"/>
      <c r="DQ25" s="362"/>
      <c r="DR25" s="362"/>
      <c r="DS25" s="362"/>
      <c r="DT25" s="362"/>
      <c r="DU25" s="362"/>
      <c r="DV25" s="362"/>
      <c r="DW25" s="362"/>
      <c r="DX25" s="362"/>
      <c r="DY25" s="362"/>
      <c r="DZ25" s="362"/>
      <c r="EA25" s="362"/>
      <c r="EB25" s="362"/>
      <c r="EC25" s="362"/>
      <c r="ED25" s="362"/>
      <c r="EE25" s="362"/>
      <c r="EF25" s="362"/>
      <c r="EG25" s="362"/>
      <c r="EH25" s="362"/>
      <c r="EI25" s="362"/>
      <c r="EJ25" s="362"/>
      <c r="EK25" s="362"/>
      <c r="EL25" s="362"/>
      <c r="EM25" s="362"/>
      <c r="EN25" s="362"/>
      <c r="EO25" s="362"/>
      <c r="EP25" s="362"/>
      <c r="EQ25" s="362"/>
      <c r="ER25" s="362"/>
      <c r="ES25" s="362"/>
      <c r="ET25" s="362"/>
      <c r="EU25" s="362"/>
      <c r="EV25" s="362"/>
      <c r="EW25" s="362"/>
      <c r="EX25" s="362"/>
      <c r="EY25" s="362"/>
      <c r="EZ25" s="362"/>
      <c r="FA25" s="362"/>
      <c r="FB25" s="362"/>
      <c r="FC25" s="362"/>
      <c r="FD25" s="362"/>
      <c r="FE25" s="362"/>
      <c r="FF25" s="362"/>
      <c r="FG25" s="362"/>
      <c r="FH25" s="362"/>
      <c r="FI25" s="362"/>
      <c r="FJ25" s="362"/>
      <c r="FK25" s="362"/>
      <c r="FL25" s="362"/>
      <c r="FM25" s="362"/>
      <c r="FN25" s="362"/>
      <c r="FO25" s="362"/>
      <c r="FP25" s="362"/>
      <c r="FQ25" s="362"/>
      <c r="FR25" s="362"/>
      <c r="FS25" s="362"/>
      <c r="FT25" s="362"/>
      <c r="FU25" s="362"/>
      <c r="FV25" s="362"/>
      <c r="FW25" s="362"/>
      <c r="FX25" s="362"/>
      <c r="FY25" s="362"/>
      <c r="FZ25" s="362"/>
      <c r="GA25" s="362"/>
      <c r="GB25" s="362"/>
      <c r="GC25" s="362"/>
      <c r="GD25" s="362"/>
      <c r="GE25" s="362"/>
      <c r="GF25" s="362"/>
      <c r="GG25" s="362"/>
      <c r="GH25" s="362"/>
      <c r="GI25" s="362"/>
      <c r="GJ25" s="362"/>
      <c r="GK25" s="362"/>
      <c r="GL25" s="362"/>
      <c r="GM25" s="362"/>
      <c r="GN25" s="362"/>
      <c r="GO25" s="362"/>
      <c r="GP25" s="362"/>
      <c r="GQ25" s="362"/>
      <c r="GR25" s="362"/>
      <c r="GS25" s="362"/>
      <c r="GT25" s="362"/>
      <c r="GU25" s="362"/>
      <c r="GV25" s="362"/>
      <c r="GW25" s="362"/>
      <c r="GX25" s="362"/>
      <c r="GY25" s="362"/>
      <c r="GZ25" s="362"/>
      <c r="HA25" s="362"/>
      <c r="HB25" s="362"/>
      <c r="HC25" s="362"/>
      <c r="HD25" s="362"/>
      <c r="HE25" s="362"/>
      <c r="HF25" s="362"/>
      <c r="HG25" s="362"/>
      <c r="HH25" s="362"/>
      <c r="HI25" s="362"/>
      <c r="HJ25" s="362"/>
      <c r="HK25" s="362"/>
      <c r="HL25" s="362"/>
      <c r="HM25" s="362"/>
      <c r="HN25" s="362"/>
      <c r="HO25" s="362"/>
      <c r="HP25" s="362"/>
      <c r="HQ25" s="362"/>
      <c r="HR25" s="362"/>
      <c r="HS25" s="362"/>
      <c r="HT25" s="362"/>
      <c r="HU25" s="362"/>
      <c r="HV25" s="362"/>
      <c r="HW25" s="362"/>
      <c r="HX25" s="362"/>
      <c r="HY25" s="362"/>
      <c r="HZ25" s="362"/>
      <c r="IA25" s="362"/>
      <c r="IB25" s="362"/>
      <c r="IC25" s="362"/>
      <c r="ID25" s="362"/>
      <c r="IE25" s="362"/>
      <c r="IF25" s="362"/>
      <c r="IG25" s="362"/>
      <c r="IH25" s="362"/>
      <c r="II25" s="362"/>
      <c r="IJ25" s="362"/>
      <c r="IK25" s="362"/>
      <c r="IL25" s="362"/>
      <c r="IM25" s="362"/>
      <c r="IN25" s="362"/>
      <c r="IO25" s="362"/>
      <c r="IP25" s="362"/>
      <c r="IQ25" s="362"/>
      <c r="IR25" s="362"/>
      <c r="IS25" s="362"/>
      <c r="IT25" s="362"/>
    </row>
    <row r="26" spans="1:254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1038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255"/>
      <c r="P26" s="1089" t="s">
        <v>349</v>
      </c>
      <c r="Q26" s="2">
        <v>1</v>
      </c>
      <c r="R26" s="2">
        <v>2</v>
      </c>
      <c r="S26" s="2">
        <v>3</v>
      </c>
      <c r="T26" s="2">
        <v>4</v>
      </c>
      <c r="U26" s="2">
        <v>5</v>
      </c>
      <c r="V26" s="2">
        <v>6</v>
      </c>
      <c r="W26" s="2">
        <v>7</v>
      </c>
      <c r="X26" s="2">
        <v>8</v>
      </c>
      <c r="Y26" s="2">
        <v>9</v>
      </c>
      <c r="Z26" s="2">
        <v>10</v>
      </c>
      <c r="AA26" s="2">
        <v>11</v>
      </c>
      <c r="AB26" s="2">
        <v>12</v>
      </c>
      <c r="AC26" s="1090">
        <v>13</v>
      </c>
      <c r="AD26" s="1091">
        <v>14</v>
      </c>
      <c r="AE26" s="1091">
        <v>15</v>
      </c>
      <c r="AF26" s="1091">
        <v>16</v>
      </c>
      <c r="AG26" s="1091">
        <v>17</v>
      </c>
      <c r="AH26" s="1091">
        <v>18</v>
      </c>
      <c r="AI26" s="1091">
        <v>19</v>
      </c>
      <c r="AJ26" s="1091">
        <v>20</v>
      </c>
      <c r="AK26" s="1091">
        <v>21</v>
      </c>
      <c r="AL26" s="1091">
        <v>22</v>
      </c>
      <c r="AM26" s="1091">
        <v>23</v>
      </c>
      <c r="AN26" s="1091">
        <v>24</v>
      </c>
      <c r="AO26" s="1091">
        <v>25</v>
      </c>
      <c r="AP26" s="1091">
        <v>26</v>
      </c>
      <c r="AQ26" s="1091">
        <v>27</v>
      </c>
      <c r="AR26" s="1091">
        <v>28</v>
      </c>
      <c r="AS26" s="1091">
        <v>29</v>
      </c>
      <c r="AT26" s="1091">
        <v>30</v>
      </c>
      <c r="AU26" s="1091">
        <v>31</v>
      </c>
      <c r="AV26" s="1091">
        <v>32</v>
      </c>
      <c r="AW26" s="1091">
        <v>33</v>
      </c>
      <c r="AX26" s="1091">
        <v>34</v>
      </c>
      <c r="AY26" s="1092">
        <v>35</v>
      </c>
      <c r="AZ26" s="2"/>
      <c r="BA26" s="1076"/>
      <c r="BB26" s="362"/>
      <c r="BC26" s="362"/>
      <c r="BD26" s="362"/>
      <c r="BE26" s="362"/>
      <c r="BF26" s="362"/>
      <c r="BG26" s="362"/>
      <c r="BH26" s="362"/>
      <c r="BI26" s="362"/>
      <c r="BJ26" s="362"/>
      <c r="BK26" s="362"/>
      <c r="BL26" s="362"/>
      <c r="BM26" s="362"/>
      <c r="BN26" s="362"/>
      <c r="BO26" s="362"/>
      <c r="BP26" s="362"/>
      <c r="BQ26" s="362"/>
      <c r="BR26" s="362"/>
      <c r="BS26" s="362"/>
      <c r="BT26" s="362"/>
      <c r="BU26" s="362"/>
      <c r="BV26" s="362"/>
      <c r="BW26" s="362"/>
      <c r="BX26" s="362"/>
      <c r="BY26" s="362"/>
      <c r="BZ26" s="362"/>
      <c r="CA26" s="362"/>
      <c r="CB26" s="362"/>
      <c r="CC26" s="362"/>
      <c r="CD26" s="362"/>
      <c r="CE26" s="362"/>
      <c r="CF26" s="362"/>
      <c r="CG26" s="362"/>
      <c r="CH26" s="362"/>
      <c r="CI26" s="362"/>
      <c r="CJ26" s="362"/>
      <c r="CK26" s="362"/>
      <c r="CL26" s="362"/>
      <c r="CM26" s="362"/>
      <c r="CN26" s="362"/>
      <c r="CO26" s="362"/>
      <c r="CP26" s="362"/>
      <c r="CQ26" s="362"/>
      <c r="CR26" s="362"/>
      <c r="CS26" s="362"/>
      <c r="CT26" s="362"/>
      <c r="CU26" s="362"/>
      <c r="CV26" s="362"/>
      <c r="CW26" s="362"/>
      <c r="CX26" s="362"/>
      <c r="CY26" s="362"/>
      <c r="CZ26" s="362"/>
      <c r="DA26" s="362"/>
      <c r="DB26" s="362"/>
      <c r="DC26" s="362"/>
      <c r="DD26" s="362"/>
      <c r="DE26" s="362"/>
      <c r="DF26" s="362"/>
      <c r="DG26" s="362"/>
      <c r="DH26" s="362"/>
      <c r="DI26" s="362"/>
      <c r="DJ26" s="362"/>
      <c r="DK26" s="362"/>
      <c r="DL26" s="362"/>
      <c r="DM26" s="362"/>
      <c r="DN26" s="362"/>
      <c r="DO26" s="362"/>
      <c r="DP26" s="362"/>
      <c r="DQ26" s="362"/>
      <c r="DR26" s="362"/>
      <c r="DS26" s="362"/>
      <c r="DT26" s="362"/>
      <c r="DU26" s="362"/>
      <c r="DV26" s="362"/>
      <c r="DW26" s="362"/>
      <c r="DX26" s="362"/>
      <c r="DY26" s="362"/>
      <c r="DZ26" s="362"/>
      <c r="EA26" s="362"/>
      <c r="EB26" s="362"/>
      <c r="EC26" s="362"/>
      <c r="ED26" s="362"/>
      <c r="EE26" s="362"/>
      <c r="EF26" s="362"/>
      <c r="EG26" s="362"/>
      <c r="EH26" s="362"/>
      <c r="EI26" s="362"/>
      <c r="EJ26" s="362"/>
      <c r="EK26" s="362"/>
      <c r="EL26" s="362"/>
      <c r="EM26" s="362"/>
      <c r="EN26" s="362"/>
      <c r="EO26" s="362"/>
      <c r="EP26" s="362"/>
      <c r="EQ26" s="362"/>
      <c r="ER26" s="362"/>
      <c r="ES26" s="362"/>
      <c r="ET26" s="362"/>
      <c r="EU26" s="362"/>
      <c r="EV26" s="362"/>
      <c r="EW26" s="362"/>
      <c r="EX26" s="362"/>
      <c r="EY26" s="362"/>
      <c r="EZ26" s="362"/>
      <c r="FA26" s="362"/>
      <c r="FB26" s="362"/>
      <c r="FC26" s="362"/>
      <c r="FD26" s="362"/>
      <c r="FE26" s="362"/>
      <c r="FF26" s="362"/>
      <c r="FG26" s="362"/>
      <c r="FH26" s="362"/>
      <c r="FI26" s="362"/>
      <c r="FJ26" s="362"/>
      <c r="FK26" s="362"/>
      <c r="FL26" s="362"/>
      <c r="FM26" s="362"/>
      <c r="FN26" s="362"/>
      <c r="FO26" s="362"/>
      <c r="FP26" s="362"/>
      <c r="FQ26" s="362"/>
      <c r="FR26" s="362"/>
      <c r="FS26" s="362"/>
      <c r="FT26" s="362"/>
      <c r="FU26" s="362"/>
      <c r="FV26" s="362"/>
      <c r="FW26" s="362"/>
      <c r="FX26" s="362"/>
      <c r="FY26" s="362"/>
      <c r="FZ26" s="362"/>
      <c r="GA26" s="362"/>
      <c r="GB26" s="362"/>
      <c r="GC26" s="362"/>
      <c r="GD26" s="362"/>
      <c r="GE26" s="362"/>
      <c r="GF26" s="362"/>
      <c r="GG26" s="362"/>
      <c r="GH26" s="362"/>
      <c r="GI26" s="362"/>
      <c r="GJ26" s="362"/>
      <c r="GK26" s="362"/>
      <c r="GL26" s="362"/>
      <c r="GM26" s="362"/>
      <c r="GN26" s="362"/>
      <c r="GO26" s="362"/>
      <c r="GP26" s="362"/>
      <c r="GQ26" s="362"/>
      <c r="GR26" s="362"/>
      <c r="GS26" s="362"/>
      <c r="GT26" s="362"/>
      <c r="GU26" s="362"/>
      <c r="GV26" s="362"/>
      <c r="GW26" s="362"/>
      <c r="GX26" s="362"/>
      <c r="GY26" s="362"/>
      <c r="GZ26" s="362"/>
      <c r="HA26" s="362"/>
      <c r="HB26" s="362"/>
      <c r="HC26" s="362"/>
      <c r="HD26" s="362"/>
      <c r="HE26" s="362"/>
      <c r="HF26" s="362"/>
      <c r="HG26" s="362"/>
      <c r="HH26" s="362"/>
      <c r="HI26" s="362"/>
      <c r="HJ26" s="362"/>
      <c r="HK26" s="362"/>
      <c r="HL26" s="362"/>
      <c r="HM26" s="362"/>
      <c r="HN26" s="362"/>
      <c r="HO26" s="362"/>
      <c r="HP26" s="362"/>
      <c r="HQ26" s="362"/>
      <c r="HR26" s="362"/>
      <c r="HS26" s="362"/>
      <c r="HT26" s="362"/>
      <c r="HU26" s="362"/>
      <c r="HV26" s="362"/>
      <c r="HW26" s="362"/>
      <c r="HX26" s="362"/>
      <c r="HY26" s="362"/>
      <c r="HZ26" s="362"/>
      <c r="IA26" s="362"/>
      <c r="IB26" s="362"/>
      <c r="IC26" s="362"/>
      <c r="ID26" s="362"/>
      <c r="IE26" s="362"/>
      <c r="IF26" s="362"/>
      <c r="IG26" s="362"/>
      <c r="IH26" s="362"/>
      <c r="II26" s="362"/>
      <c r="IJ26" s="362"/>
      <c r="IK26" s="362"/>
      <c r="IL26" s="362"/>
      <c r="IM26" s="362"/>
      <c r="IN26" s="362"/>
      <c r="IO26" s="362"/>
      <c r="IP26" s="362"/>
      <c r="IQ26" s="362"/>
      <c r="IR26" s="362"/>
      <c r="IS26" s="362"/>
      <c r="IT26" s="362"/>
    </row>
    <row r="27" spans="1:254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039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391"/>
      <c r="P27" s="1093" t="s">
        <v>351</v>
      </c>
      <c r="Q27" s="1094">
        <v>0.01</v>
      </c>
      <c r="R27" s="1094">
        <v>0.02</v>
      </c>
      <c r="S27" s="1094">
        <v>0.03</v>
      </c>
      <c r="T27" s="1094">
        <v>0.04</v>
      </c>
      <c r="U27" s="1094">
        <v>0.05</v>
      </c>
      <c r="V27" s="1094">
        <v>0.06</v>
      </c>
      <c r="W27" s="1094">
        <v>7.0000000000000007E-2</v>
      </c>
      <c r="X27" s="1094">
        <v>0.08</v>
      </c>
      <c r="Y27" s="1094">
        <v>0.09</v>
      </c>
      <c r="Z27" s="1094">
        <v>0.1</v>
      </c>
      <c r="AA27" s="1094">
        <v>0.11</v>
      </c>
      <c r="AB27" s="1094">
        <v>0.12</v>
      </c>
      <c r="AC27" s="1094">
        <v>0.13</v>
      </c>
      <c r="AD27" s="1094">
        <v>0.14000000000000001</v>
      </c>
      <c r="AE27" s="1094">
        <v>0.15</v>
      </c>
      <c r="AF27" s="1094">
        <v>0.16</v>
      </c>
      <c r="AG27" s="1094">
        <v>0.17</v>
      </c>
      <c r="AH27" s="1094">
        <v>0.18</v>
      </c>
      <c r="AI27" s="1094">
        <v>0.19</v>
      </c>
      <c r="AJ27" s="1094">
        <v>0.2</v>
      </c>
      <c r="AK27" s="1094">
        <v>0.21</v>
      </c>
      <c r="AL27" s="1094">
        <v>0.22</v>
      </c>
      <c r="AM27" s="1094">
        <v>0.23</v>
      </c>
      <c r="AN27" s="1094">
        <v>0.24</v>
      </c>
      <c r="AO27" s="1094">
        <v>0.25</v>
      </c>
      <c r="AP27" s="1094">
        <v>0.26</v>
      </c>
      <c r="AQ27" s="1094">
        <v>0.27</v>
      </c>
      <c r="AR27" s="1094">
        <v>0.28000000000000003</v>
      </c>
      <c r="AS27" s="1094">
        <v>0.28999999999999998</v>
      </c>
      <c r="AT27" s="1094">
        <v>0.3</v>
      </c>
      <c r="AU27" s="1094">
        <v>0.31</v>
      </c>
      <c r="AV27" s="1094">
        <v>0.32</v>
      </c>
      <c r="AW27" s="1094">
        <v>0.33</v>
      </c>
      <c r="AX27" s="1094">
        <v>0.34</v>
      </c>
      <c r="AY27" s="1095">
        <v>0.35</v>
      </c>
      <c r="AZ27" s="2"/>
      <c r="BA27" s="1076"/>
      <c r="BB27" s="362"/>
      <c r="BC27" s="362"/>
      <c r="BD27" s="362"/>
      <c r="BE27" s="362"/>
      <c r="BF27" s="362"/>
      <c r="BG27" s="362"/>
      <c r="BH27" s="362"/>
      <c r="BI27" s="362"/>
      <c r="BJ27" s="362"/>
      <c r="BK27" s="362"/>
      <c r="BL27" s="362"/>
      <c r="BM27" s="362"/>
      <c r="BN27" s="362"/>
      <c r="BO27" s="362"/>
      <c r="BP27" s="362"/>
      <c r="BQ27" s="362"/>
      <c r="BR27" s="362"/>
      <c r="BS27" s="362"/>
      <c r="BT27" s="362"/>
      <c r="BU27" s="362"/>
      <c r="BV27" s="362"/>
      <c r="BW27" s="362"/>
      <c r="BX27" s="362"/>
      <c r="BY27" s="362"/>
      <c r="BZ27" s="362"/>
      <c r="CA27" s="362"/>
      <c r="CB27" s="362"/>
      <c r="CC27" s="362"/>
      <c r="CD27" s="362"/>
      <c r="CE27" s="362"/>
      <c r="CF27" s="362"/>
      <c r="CG27" s="362"/>
      <c r="CH27" s="362"/>
      <c r="CI27" s="362"/>
      <c r="CJ27" s="362"/>
      <c r="CK27" s="362"/>
      <c r="CL27" s="362"/>
      <c r="CM27" s="362"/>
      <c r="CN27" s="362"/>
      <c r="CO27" s="362"/>
      <c r="CP27" s="362"/>
      <c r="CQ27" s="362"/>
      <c r="CR27" s="362"/>
      <c r="CS27" s="362"/>
      <c r="CT27" s="362"/>
      <c r="CU27" s="362"/>
      <c r="CV27" s="362"/>
      <c r="CW27" s="362"/>
      <c r="CX27" s="362"/>
      <c r="CY27" s="362"/>
      <c r="CZ27" s="362"/>
      <c r="DA27" s="362"/>
      <c r="DB27" s="362"/>
      <c r="DC27" s="362"/>
      <c r="DD27" s="362"/>
      <c r="DE27" s="362"/>
      <c r="DF27" s="362"/>
      <c r="DG27" s="362"/>
      <c r="DH27" s="362"/>
      <c r="DI27" s="362"/>
      <c r="DJ27" s="362"/>
      <c r="DK27" s="362"/>
      <c r="DL27" s="362"/>
      <c r="DM27" s="362"/>
      <c r="DN27" s="362"/>
      <c r="DO27" s="362"/>
      <c r="DP27" s="362"/>
      <c r="DQ27" s="362"/>
      <c r="DR27" s="362"/>
      <c r="DS27" s="362"/>
      <c r="DT27" s="362"/>
      <c r="DU27" s="362"/>
      <c r="DV27" s="362"/>
      <c r="DW27" s="362"/>
      <c r="DX27" s="362"/>
      <c r="DY27" s="362"/>
      <c r="DZ27" s="362"/>
      <c r="EA27" s="362"/>
      <c r="EB27" s="362"/>
      <c r="EC27" s="362"/>
      <c r="ED27" s="362"/>
      <c r="EE27" s="362"/>
      <c r="EF27" s="362"/>
      <c r="EG27" s="362"/>
      <c r="EH27" s="362"/>
      <c r="EI27" s="362"/>
      <c r="EJ27" s="362"/>
      <c r="EK27" s="362"/>
      <c r="EL27" s="362"/>
      <c r="EM27" s="362"/>
      <c r="EN27" s="362"/>
      <c r="EO27" s="362"/>
      <c r="EP27" s="362"/>
      <c r="EQ27" s="362"/>
      <c r="ER27" s="362"/>
      <c r="ES27" s="362"/>
      <c r="ET27" s="362"/>
      <c r="EU27" s="362"/>
      <c r="EV27" s="362"/>
      <c r="EW27" s="362"/>
      <c r="EX27" s="362"/>
      <c r="EY27" s="362"/>
      <c r="EZ27" s="362"/>
      <c r="FA27" s="362"/>
      <c r="FB27" s="362"/>
      <c r="FC27" s="362"/>
      <c r="FD27" s="362"/>
      <c r="FE27" s="362"/>
      <c r="FF27" s="362"/>
      <c r="FG27" s="362"/>
      <c r="FH27" s="362"/>
      <c r="FI27" s="362"/>
      <c r="FJ27" s="362"/>
      <c r="FK27" s="362"/>
      <c r="FL27" s="362"/>
      <c r="FM27" s="362"/>
      <c r="FN27" s="362"/>
      <c r="FO27" s="362"/>
      <c r="FP27" s="362"/>
      <c r="FQ27" s="362"/>
      <c r="FR27" s="362"/>
      <c r="FS27" s="362"/>
      <c r="FT27" s="362"/>
      <c r="FU27" s="362"/>
      <c r="FV27" s="362"/>
      <c r="FW27" s="362"/>
      <c r="FX27" s="362"/>
      <c r="FY27" s="362"/>
      <c r="FZ27" s="362"/>
      <c r="GA27" s="362"/>
      <c r="GB27" s="362"/>
      <c r="GC27" s="362"/>
      <c r="GD27" s="362"/>
      <c r="GE27" s="362"/>
      <c r="GF27" s="362"/>
      <c r="GG27" s="362"/>
      <c r="GH27" s="362"/>
      <c r="GI27" s="362"/>
      <c r="GJ27" s="362"/>
      <c r="GK27" s="362"/>
      <c r="GL27" s="362"/>
      <c r="GM27" s="362"/>
      <c r="GN27" s="362"/>
      <c r="GO27" s="362"/>
      <c r="GP27" s="362"/>
      <c r="GQ27" s="362"/>
      <c r="GR27" s="362"/>
      <c r="GS27" s="362"/>
      <c r="GT27" s="362"/>
      <c r="GU27" s="362"/>
      <c r="GV27" s="362"/>
      <c r="GW27" s="362"/>
      <c r="GX27" s="362"/>
      <c r="GY27" s="362"/>
      <c r="GZ27" s="362"/>
      <c r="HA27" s="362"/>
      <c r="HB27" s="362"/>
      <c r="HC27" s="362"/>
      <c r="HD27" s="362"/>
      <c r="HE27" s="362"/>
      <c r="HF27" s="362"/>
      <c r="HG27" s="362"/>
      <c r="HH27" s="362"/>
      <c r="HI27" s="362"/>
      <c r="HJ27" s="362"/>
      <c r="HK27" s="362"/>
      <c r="HL27" s="362"/>
      <c r="HM27" s="362"/>
      <c r="HN27" s="362"/>
      <c r="HO27" s="362"/>
      <c r="HP27" s="362"/>
      <c r="HQ27" s="362"/>
      <c r="HR27" s="362"/>
      <c r="HS27" s="362"/>
      <c r="HT27" s="362"/>
      <c r="HU27" s="362"/>
      <c r="HV27" s="362"/>
      <c r="HW27" s="362"/>
      <c r="HX27" s="362"/>
      <c r="HY27" s="362"/>
      <c r="HZ27" s="362"/>
      <c r="IA27" s="362"/>
      <c r="IB27" s="362"/>
      <c r="IC27" s="362"/>
      <c r="ID27" s="362"/>
      <c r="IE27" s="362"/>
      <c r="IF27" s="362"/>
      <c r="IG27" s="362"/>
      <c r="IH27" s="362"/>
      <c r="II27" s="362"/>
      <c r="IJ27" s="362"/>
      <c r="IK27" s="362"/>
      <c r="IL27" s="362"/>
      <c r="IM27" s="362"/>
      <c r="IN27" s="362"/>
      <c r="IO27" s="362"/>
      <c r="IP27" s="362"/>
      <c r="IQ27" s="362"/>
      <c r="IR27" s="362"/>
      <c r="IS27" s="362"/>
      <c r="IT27" s="362"/>
    </row>
    <row r="28" spans="1:254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391"/>
      <c r="P28" s="1080"/>
      <c r="Q28" s="1096"/>
      <c r="R28" s="1096"/>
      <c r="S28" s="1096"/>
      <c r="T28" s="1096"/>
      <c r="U28" s="1096"/>
      <c r="V28" s="1096"/>
      <c r="W28" s="1096"/>
      <c r="X28" s="1096"/>
      <c r="Y28" s="1096"/>
      <c r="Z28" s="1096"/>
      <c r="AA28" s="1096"/>
      <c r="AB28" s="1096"/>
      <c r="AC28" s="1096"/>
      <c r="AD28" s="1096"/>
      <c r="AE28" s="1096"/>
      <c r="AF28" s="1096"/>
      <c r="AG28" s="1096"/>
      <c r="AH28" s="1096"/>
      <c r="AI28" s="1096"/>
      <c r="AJ28" s="1096"/>
      <c r="AK28" s="1096"/>
      <c r="AL28" s="1096"/>
      <c r="AM28" s="1096"/>
      <c r="AN28" s="1096"/>
      <c r="AO28" s="1096"/>
      <c r="AP28" s="1096"/>
      <c r="AQ28" s="1096"/>
      <c r="AR28" s="1096"/>
      <c r="AS28" s="1096"/>
      <c r="AT28" s="1096"/>
      <c r="AU28" s="1096"/>
      <c r="AV28" s="1096"/>
      <c r="AW28" s="1096"/>
      <c r="AX28" s="1096"/>
      <c r="AY28" s="1096"/>
      <c r="AZ28" s="2"/>
      <c r="BA28" s="1076"/>
      <c r="BB28" s="362"/>
      <c r="BC28" s="362"/>
      <c r="BD28" s="362"/>
      <c r="BE28" s="362"/>
      <c r="BF28" s="362"/>
      <c r="BG28" s="362"/>
      <c r="BH28" s="362"/>
      <c r="BI28" s="362"/>
      <c r="BJ28" s="362"/>
      <c r="BK28" s="362"/>
      <c r="BL28" s="362"/>
      <c r="BM28" s="362"/>
      <c r="BN28" s="362"/>
      <c r="BO28" s="362"/>
      <c r="BP28" s="362"/>
      <c r="BQ28" s="362"/>
      <c r="BR28" s="362"/>
      <c r="BS28" s="362"/>
      <c r="BT28" s="362"/>
      <c r="BU28" s="362"/>
      <c r="BV28" s="362"/>
      <c r="BW28" s="362"/>
      <c r="BX28" s="362"/>
      <c r="BY28" s="362"/>
      <c r="BZ28" s="362"/>
      <c r="CA28" s="362"/>
      <c r="CB28" s="362"/>
      <c r="CC28" s="362"/>
      <c r="CD28" s="362"/>
      <c r="CE28" s="362"/>
      <c r="CF28" s="362"/>
      <c r="CG28" s="362"/>
      <c r="CH28" s="362"/>
      <c r="CI28" s="362"/>
      <c r="CJ28" s="362"/>
      <c r="CK28" s="362"/>
      <c r="CL28" s="362"/>
      <c r="CM28" s="362"/>
      <c r="CN28" s="362"/>
      <c r="CO28" s="362"/>
      <c r="CP28" s="362"/>
      <c r="CQ28" s="362"/>
      <c r="CR28" s="362"/>
      <c r="CS28" s="362"/>
      <c r="CT28" s="362"/>
      <c r="CU28" s="362"/>
      <c r="CV28" s="362"/>
      <c r="CW28" s="362"/>
      <c r="CX28" s="362"/>
      <c r="CY28" s="362"/>
      <c r="CZ28" s="362"/>
      <c r="DA28" s="362"/>
      <c r="DB28" s="362"/>
      <c r="DC28" s="362"/>
      <c r="DD28" s="362"/>
      <c r="DE28" s="362"/>
      <c r="DF28" s="362"/>
      <c r="DG28" s="362"/>
      <c r="DH28" s="362"/>
      <c r="DI28" s="362"/>
      <c r="DJ28" s="362"/>
      <c r="DK28" s="362"/>
      <c r="DL28" s="362"/>
      <c r="DM28" s="362"/>
      <c r="DN28" s="362"/>
      <c r="DO28" s="362"/>
      <c r="DP28" s="362"/>
      <c r="DQ28" s="362"/>
      <c r="DR28" s="362"/>
      <c r="DS28" s="362"/>
      <c r="DT28" s="362"/>
      <c r="DU28" s="362"/>
      <c r="DV28" s="362"/>
      <c r="DW28" s="362"/>
      <c r="DX28" s="362"/>
      <c r="DY28" s="362"/>
      <c r="DZ28" s="362"/>
      <c r="EA28" s="362"/>
      <c r="EB28" s="362"/>
      <c r="EC28" s="362"/>
      <c r="ED28" s="362"/>
      <c r="EE28" s="362"/>
      <c r="EF28" s="362"/>
      <c r="EG28" s="362"/>
      <c r="EH28" s="362"/>
      <c r="EI28" s="362"/>
      <c r="EJ28" s="362"/>
      <c r="EK28" s="362"/>
      <c r="EL28" s="362"/>
      <c r="EM28" s="362"/>
      <c r="EN28" s="362"/>
      <c r="EO28" s="362"/>
      <c r="EP28" s="362"/>
      <c r="EQ28" s="362"/>
      <c r="ER28" s="362"/>
      <c r="ES28" s="362"/>
      <c r="ET28" s="362"/>
      <c r="EU28" s="362"/>
      <c r="EV28" s="362"/>
      <c r="EW28" s="362"/>
      <c r="EX28" s="362"/>
      <c r="EY28" s="362"/>
      <c r="EZ28" s="362"/>
      <c r="FA28" s="362"/>
      <c r="FB28" s="362"/>
      <c r="FC28" s="362"/>
      <c r="FD28" s="362"/>
      <c r="FE28" s="362"/>
      <c r="FF28" s="362"/>
      <c r="FG28" s="362"/>
      <c r="FH28" s="362"/>
      <c r="FI28" s="362"/>
      <c r="FJ28" s="362"/>
      <c r="FK28" s="362"/>
      <c r="FL28" s="362"/>
      <c r="FM28" s="362"/>
      <c r="FN28" s="362"/>
      <c r="FO28" s="362"/>
      <c r="FP28" s="362"/>
      <c r="FQ28" s="362"/>
      <c r="FR28" s="362"/>
      <c r="FS28" s="362"/>
      <c r="FT28" s="362"/>
      <c r="FU28" s="362"/>
      <c r="FV28" s="362"/>
      <c r="FW28" s="362"/>
      <c r="FX28" s="362"/>
      <c r="FY28" s="362"/>
      <c r="FZ28" s="362"/>
      <c r="GA28" s="362"/>
      <c r="GB28" s="362"/>
      <c r="GC28" s="362"/>
      <c r="GD28" s="362"/>
      <c r="GE28" s="362"/>
      <c r="GF28" s="362"/>
      <c r="GG28" s="362"/>
      <c r="GH28" s="362"/>
      <c r="GI28" s="362"/>
      <c r="GJ28" s="362"/>
      <c r="GK28" s="362"/>
      <c r="GL28" s="362"/>
      <c r="GM28" s="362"/>
      <c r="GN28" s="362"/>
      <c r="GO28" s="362"/>
      <c r="GP28" s="362"/>
      <c r="GQ28" s="362"/>
      <c r="GR28" s="362"/>
      <c r="GS28" s="362"/>
      <c r="GT28" s="362"/>
      <c r="GU28" s="362"/>
      <c r="GV28" s="362"/>
      <c r="GW28" s="362"/>
      <c r="GX28" s="362"/>
      <c r="GY28" s="362"/>
      <c r="GZ28" s="362"/>
      <c r="HA28" s="362"/>
      <c r="HB28" s="362"/>
      <c r="HC28" s="362"/>
      <c r="HD28" s="362"/>
      <c r="HE28" s="362"/>
      <c r="HF28" s="362"/>
      <c r="HG28" s="362"/>
      <c r="HH28" s="362"/>
      <c r="HI28" s="362"/>
      <c r="HJ28" s="362"/>
      <c r="HK28" s="362"/>
      <c r="HL28" s="362"/>
      <c r="HM28" s="362"/>
      <c r="HN28" s="362"/>
      <c r="HO28" s="362"/>
      <c r="HP28" s="362"/>
      <c r="HQ28" s="362"/>
      <c r="HR28" s="362"/>
      <c r="HS28" s="362"/>
      <c r="HT28" s="362"/>
      <c r="HU28" s="362"/>
      <c r="HV28" s="362"/>
      <c r="HW28" s="362"/>
      <c r="HX28" s="362"/>
      <c r="HY28" s="362"/>
      <c r="HZ28" s="362"/>
      <c r="IA28" s="362"/>
      <c r="IB28" s="362"/>
      <c r="IC28" s="362"/>
      <c r="ID28" s="362"/>
      <c r="IE28" s="362"/>
      <c r="IF28" s="362"/>
      <c r="IG28" s="362"/>
      <c r="IH28" s="362"/>
      <c r="II28" s="362"/>
      <c r="IJ28" s="362"/>
      <c r="IK28" s="362"/>
      <c r="IL28" s="362"/>
      <c r="IM28" s="362"/>
      <c r="IN28" s="362"/>
      <c r="IO28" s="362"/>
      <c r="IP28" s="362"/>
      <c r="IQ28" s="362"/>
      <c r="IR28" s="362"/>
      <c r="IS28" s="362"/>
      <c r="IT28" s="362"/>
    </row>
    <row r="29" spans="1:254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039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391"/>
      <c r="P29" s="1083" t="s">
        <v>602</v>
      </c>
      <c r="Q29" s="1084">
        <v>1</v>
      </c>
      <c r="R29" s="1084">
        <v>2</v>
      </c>
      <c r="S29" s="1084">
        <v>3</v>
      </c>
      <c r="T29" s="1084">
        <v>4</v>
      </c>
      <c r="U29" s="1084">
        <v>5</v>
      </c>
      <c r="V29" s="1084">
        <v>6</v>
      </c>
      <c r="W29" s="1084">
        <v>7</v>
      </c>
      <c r="X29" s="1084">
        <v>8</v>
      </c>
      <c r="Y29" s="1084">
        <v>9</v>
      </c>
      <c r="Z29" s="1084">
        <v>10</v>
      </c>
      <c r="AA29" s="1084">
        <v>11</v>
      </c>
      <c r="AB29" s="1084">
        <v>12</v>
      </c>
      <c r="AC29" s="1084">
        <v>13</v>
      </c>
      <c r="AD29" s="1084">
        <v>14</v>
      </c>
      <c r="AE29" s="1084">
        <v>15</v>
      </c>
      <c r="AF29" s="1084">
        <v>16</v>
      </c>
      <c r="AG29" s="1084">
        <v>17</v>
      </c>
      <c r="AH29" s="1084">
        <v>18</v>
      </c>
      <c r="AI29" s="1084">
        <v>19</v>
      </c>
      <c r="AJ29" s="1084">
        <v>20</v>
      </c>
      <c r="AK29" s="1084">
        <v>21</v>
      </c>
      <c r="AL29" s="1084">
        <v>22</v>
      </c>
      <c r="AM29" s="1084">
        <v>23</v>
      </c>
      <c r="AN29" s="1084">
        <v>24</v>
      </c>
      <c r="AO29" s="1084">
        <v>25</v>
      </c>
      <c r="AP29" s="1084">
        <v>26</v>
      </c>
      <c r="AQ29" s="1084">
        <v>27</v>
      </c>
      <c r="AR29" s="1084">
        <v>28</v>
      </c>
      <c r="AS29" s="1084">
        <v>29</v>
      </c>
      <c r="AT29" s="1097">
        <v>30</v>
      </c>
      <c r="AU29" s="2"/>
      <c r="AV29" s="2"/>
      <c r="AW29" s="2"/>
      <c r="AX29" s="2"/>
      <c r="AY29" s="2"/>
      <c r="AZ29" s="2"/>
      <c r="BA29" s="1076"/>
      <c r="BB29" s="362"/>
      <c r="BC29" s="362"/>
      <c r="BD29" s="362"/>
      <c r="BE29" s="362"/>
      <c r="BF29" s="362"/>
      <c r="BG29" s="362"/>
      <c r="BH29" s="362"/>
      <c r="BI29" s="362"/>
      <c r="BJ29" s="362"/>
      <c r="BK29" s="362"/>
      <c r="BL29" s="362"/>
      <c r="BM29" s="362"/>
      <c r="BN29" s="362"/>
      <c r="BO29" s="362"/>
      <c r="BP29" s="362"/>
      <c r="BQ29" s="362"/>
      <c r="BR29" s="362"/>
      <c r="BS29" s="362"/>
      <c r="BT29" s="362"/>
      <c r="BU29" s="362"/>
      <c r="BV29" s="362"/>
      <c r="BW29" s="362"/>
      <c r="BX29" s="362"/>
      <c r="BY29" s="362"/>
      <c r="BZ29" s="362"/>
      <c r="CA29" s="362"/>
      <c r="CB29" s="362"/>
      <c r="CC29" s="362"/>
      <c r="CD29" s="362"/>
      <c r="CE29" s="362"/>
      <c r="CF29" s="362"/>
      <c r="CG29" s="362"/>
      <c r="CH29" s="362"/>
      <c r="CI29" s="362"/>
      <c r="CJ29" s="362"/>
      <c r="CK29" s="362"/>
      <c r="CL29" s="362"/>
      <c r="CM29" s="362"/>
      <c r="CN29" s="362"/>
      <c r="CO29" s="362"/>
      <c r="CP29" s="362"/>
      <c r="CQ29" s="362"/>
      <c r="CR29" s="362"/>
      <c r="CS29" s="362"/>
      <c r="CT29" s="362"/>
      <c r="CU29" s="362"/>
      <c r="CV29" s="362"/>
      <c r="CW29" s="362"/>
      <c r="CX29" s="362"/>
      <c r="CY29" s="362"/>
      <c r="CZ29" s="362"/>
      <c r="DA29" s="362"/>
      <c r="DB29" s="362"/>
      <c r="DC29" s="362"/>
      <c r="DD29" s="362"/>
      <c r="DE29" s="362"/>
      <c r="DF29" s="362"/>
      <c r="DG29" s="362"/>
      <c r="DH29" s="362"/>
      <c r="DI29" s="362"/>
      <c r="DJ29" s="362"/>
      <c r="DK29" s="362"/>
      <c r="DL29" s="362"/>
      <c r="DM29" s="362"/>
      <c r="DN29" s="362"/>
      <c r="DO29" s="362"/>
      <c r="DP29" s="362"/>
      <c r="DQ29" s="362"/>
      <c r="DR29" s="362"/>
      <c r="DS29" s="362"/>
      <c r="DT29" s="362"/>
      <c r="DU29" s="362"/>
      <c r="DV29" s="362"/>
      <c r="DW29" s="362"/>
      <c r="DX29" s="362"/>
      <c r="DY29" s="362"/>
      <c r="DZ29" s="362"/>
      <c r="EA29" s="362"/>
      <c r="EB29" s="362"/>
      <c r="EC29" s="362"/>
      <c r="ED29" s="362"/>
      <c r="EE29" s="362"/>
      <c r="EF29" s="362"/>
      <c r="EG29" s="362"/>
      <c r="EH29" s="362"/>
      <c r="EI29" s="362"/>
      <c r="EJ29" s="362"/>
      <c r="EK29" s="362"/>
      <c r="EL29" s="362"/>
      <c r="EM29" s="362"/>
      <c r="EN29" s="362"/>
      <c r="EO29" s="362"/>
      <c r="EP29" s="362"/>
      <c r="EQ29" s="362"/>
      <c r="ER29" s="362"/>
      <c r="ES29" s="362"/>
      <c r="ET29" s="362"/>
      <c r="EU29" s="362"/>
      <c r="EV29" s="362"/>
      <c r="EW29" s="362"/>
      <c r="EX29" s="362"/>
      <c r="EY29" s="362"/>
      <c r="EZ29" s="362"/>
      <c r="FA29" s="362"/>
      <c r="FB29" s="362"/>
      <c r="FC29" s="362"/>
      <c r="FD29" s="362"/>
      <c r="FE29" s="362"/>
      <c r="FF29" s="362"/>
      <c r="FG29" s="362"/>
      <c r="FH29" s="362"/>
      <c r="FI29" s="362"/>
      <c r="FJ29" s="362"/>
      <c r="FK29" s="362"/>
      <c r="FL29" s="362"/>
      <c r="FM29" s="362"/>
      <c r="FN29" s="362"/>
      <c r="FO29" s="362"/>
      <c r="FP29" s="362"/>
      <c r="FQ29" s="362"/>
      <c r="FR29" s="362"/>
      <c r="FS29" s="362"/>
      <c r="FT29" s="362"/>
      <c r="FU29" s="362"/>
      <c r="FV29" s="362"/>
      <c r="FW29" s="362"/>
      <c r="FX29" s="362"/>
      <c r="FY29" s="362"/>
      <c r="FZ29" s="362"/>
      <c r="GA29" s="362"/>
      <c r="GB29" s="362"/>
      <c r="GC29" s="362"/>
      <c r="GD29" s="362"/>
      <c r="GE29" s="362"/>
      <c r="GF29" s="362"/>
      <c r="GG29" s="362"/>
      <c r="GH29" s="362"/>
      <c r="GI29" s="362"/>
      <c r="GJ29" s="362"/>
      <c r="GK29" s="362"/>
      <c r="GL29" s="362"/>
      <c r="GM29" s="362"/>
      <c r="GN29" s="362"/>
      <c r="GO29" s="362"/>
      <c r="GP29" s="362"/>
      <c r="GQ29" s="362"/>
      <c r="GR29" s="362"/>
      <c r="GS29" s="362"/>
      <c r="GT29" s="362"/>
      <c r="GU29" s="362"/>
      <c r="GV29" s="362"/>
      <c r="GW29" s="362"/>
      <c r="GX29" s="362"/>
      <c r="GY29" s="362"/>
      <c r="GZ29" s="362"/>
      <c r="HA29" s="362"/>
      <c r="HB29" s="362"/>
      <c r="HC29" s="362"/>
      <c r="HD29" s="362"/>
      <c r="HE29" s="362"/>
      <c r="HF29" s="362"/>
      <c r="HG29" s="362"/>
      <c r="HH29" s="362"/>
      <c r="HI29" s="362"/>
      <c r="HJ29" s="362"/>
      <c r="HK29" s="362"/>
      <c r="HL29" s="362"/>
      <c r="HM29" s="362"/>
      <c r="HN29" s="362"/>
      <c r="HO29" s="362"/>
      <c r="HP29" s="362"/>
      <c r="HQ29" s="362"/>
      <c r="HR29" s="362"/>
      <c r="HS29" s="362"/>
      <c r="HT29" s="362"/>
      <c r="HU29" s="362"/>
      <c r="HV29" s="362"/>
      <c r="HW29" s="362"/>
      <c r="HX29" s="362"/>
      <c r="HY29" s="362"/>
      <c r="HZ29" s="362"/>
      <c r="IA29" s="362"/>
      <c r="IB29" s="362"/>
      <c r="IC29" s="362"/>
      <c r="ID29" s="362"/>
      <c r="IE29" s="362"/>
      <c r="IF29" s="362"/>
      <c r="IG29" s="362"/>
      <c r="IH29" s="362"/>
      <c r="II29" s="362"/>
      <c r="IJ29" s="362"/>
      <c r="IK29" s="362"/>
      <c r="IL29" s="362"/>
      <c r="IM29" s="362"/>
      <c r="IN29" s="362"/>
      <c r="IO29" s="362"/>
      <c r="IP29" s="362"/>
      <c r="IQ29" s="362"/>
      <c r="IR29" s="362"/>
      <c r="IS29" s="362"/>
      <c r="IT29" s="362"/>
    </row>
    <row r="30" spans="1:254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391"/>
      <c r="P30" s="1093" t="s">
        <v>351</v>
      </c>
      <c r="Q30" s="1098">
        <v>1.4999999999999999E-2</v>
      </c>
      <c r="R30" s="1094">
        <v>0.03</v>
      </c>
      <c r="S30" s="1098">
        <v>4.4999999999999998E-2</v>
      </c>
      <c r="T30" s="1094">
        <v>0.06</v>
      </c>
      <c r="U30" s="1098">
        <v>7.4999999999999997E-2</v>
      </c>
      <c r="V30" s="1094">
        <v>0.09</v>
      </c>
      <c r="W30" s="1098">
        <v>0.105</v>
      </c>
      <c r="X30" s="1094">
        <v>0.12</v>
      </c>
      <c r="Y30" s="1098">
        <v>0.13500000000000001</v>
      </c>
      <c r="Z30" s="1094">
        <v>0.15</v>
      </c>
      <c r="AA30" s="1098">
        <v>0.16500000000000001</v>
      </c>
      <c r="AB30" s="1094">
        <v>0.18</v>
      </c>
      <c r="AC30" s="1098">
        <v>0.19500000000000001</v>
      </c>
      <c r="AD30" s="1094">
        <v>0.21</v>
      </c>
      <c r="AE30" s="1098">
        <v>0.22500000000000001</v>
      </c>
      <c r="AF30" s="1094">
        <v>0.24</v>
      </c>
      <c r="AG30" s="1098">
        <v>0.255</v>
      </c>
      <c r="AH30" s="1094">
        <v>0.27</v>
      </c>
      <c r="AI30" s="1098">
        <v>0.28499999999999998</v>
      </c>
      <c r="AJ30" s="1094">
        <v>0.3</v>
      </c>
      <c r="AK30" s="1098">
        <v>0.315</v>
      </c>
      <c r="AL30" s="1094">
        <v>0.33</v>
      </c>
      <c r="AM30" s="1098">
        <v>0.34499999999999997</v>
      </c>
      <c r="AN30" s="1094">
        <v>0.36</v>
      </c>
      <c r="AO30" s="1098">
        <v>0.375</v>
      </c>
      <c r="AP30" s="1094">
        <v>0.39</v>
      </c>
      <c r="AQ30" s="1098">
        <v>0.40500000000000003</v>
      </c>
      <c r="AR30" s="1094">
        <v>0.42</v>
      </c>
      <c r="AS30" s="1098">
        <v>0.435</v>
      </c>
      <c r="AT30" s="1095">
        <v>0.45</v>
      </c>
      <c r="AU30" s="362"/>
      <c r="AV30" s="362"/>
      <c r="AW30" s="362"/>
      <c r="AX30" s="2"/>
      <c r="AY30" s="2"/>
      <c r="AZ30" s="2"/>
      <c r="BA30" s="1076"/>
      <c r="BB30" s="362"/>
      <c r="BC30" s="362"/>
      <c r="BD30" s="362"/>
      <c r="BE30" s="362"/>
      <c r="BF30" s="362"/>
      <c r="BG30" s="362"/>
      <c r="BH30" s="362"/>
      <c r="BI30" s="362"/>
      <c r="BJ30" s="362"/>
      <c r="BK30" s="362"/>
      <c r="BL30" s="362"/>
      <c r="BM30" s="362"/>
      <c r="BN30" s="362"/>
      <c r="BO30" s="362"/>
      <c r="BP30" s="362"/>
      <c r="BQ30" s="362"/>
      <c r="BR30" s="362"/>
      <c r="BS30" s="362"/>
      <c r="BT30" s="362"/>
      <c r="BU30" s="362"/>
      <c r="BV30" s="362"/>
      <c r="BW30" s="362"/>
      <c r="BX30" s="362"/>
      <c r="BY30" s="362"/>
      <c r="BZ30" s="362"/>
      <c r="CA30" s="362"/>
      <c r="CB30" s="362"/>
      <c r="CC30" s="362"/>
      <c r="CD30" s="362"/>
      <c r="CE30" s="362"/>
      <c r="CF30" s="362"/>
      <c r="CG30" s="362"/>
      <c r="CH30" s="362"/>
      <c r="CI30" s="362"/>
      <c r="CJ30" s="362"/>
      <c r="CK30" s="362"/>
      <c r="CL30" s="362"/>
      <c r="CM30" s="362"/>
      <c r="CN30" s="362"/>
      <c r="CO30" s="362"/>
      <c r="CP30" s="362"/>
      <c r="CQ30" s="362"/>
      <c r="CR30" s="362"/>
      <c r="CS30" s="362"/>
      <c r="CT30" s="362"/>
      <c r="CU30" s="362"/>
      <c r="CV30" s="362"/>
      <c r="CW30" s="362"/>
      <c r="CX30" s="362"/>
      <c r="CY30" s="362"/>
      <c r="CZ30" s="362"/>
      <c r="DA30" s="362"/>
      <c r="DB30" s="362"/>
      <c r="DC30" s="362"/>
      <c r="DD30" s="362"/>
      <c r="DE30" s="362"/>
      <c r="DF30" s="362"/>
      <c r="DG30" s="362"/>
      <c r="DH30" s="362"/>
      <c r="DI30" s="362"/>
      <c r="DJ30" s="362"/>
      <c r="DK30" s="362"/>
      <c r="DL30" s="362"/>
      <c r="DM30" s="362"/>
      <c r="DN30" s="362"/>
      <c r="DO30" s="362"/>
      <c r="DP30" s="362"/>
      <c r="DQ30" s="362"/>
      <c r="DR30" s="362"/>
      <c r="DS30" s="362"/>
      <c r="DT30" s="362"/>
      <c r="DU30" s="362"/>
      <c r="DV30" s="362"/>
      <c r="DW30" s="362"/>
      <c r="DX30" s="362"/>
      <c r="DY30" s="362"/>
      <c r="DZ30" s="362"/>
      <c r="EA30" s="362"/>
      <c r="EB30" s="362"/>
      <c r="EC30" s="362"/>
      <c r="ED30" s="362"/>
      <c r="EE30" s="362"/>
      <c r="EF30" s="362"/>
      <c r="EG30" s="362"/>
      <c r="EH30" s="362"/>
      <c r="EI30" s="362"/>
      <c r="EJ30" s="362"/>
      <c r="EK30" s="362"/>
      <c r="EL30" s="362"/>
      <c r="EM30" s="362"/>
      <c r="EN30" s="362"/>
      <c r="EO30" s="362"/>
      <c r="EP30" s="362"/>
      <c r="EQ30" s="362"/>
      <c r="ER30" s="362"/>
      <c r="ES30" s="362"/>
      <c r="ET30" s="362"/>
      <c r="EU30" s="362"/>
      <c r="EV30" s="362"/>
      <c r="EW30" s="362"/>
      <c r="EX30" s="362"/>
      <c r="EY30" s="362"/>
      <c r="EZ30" s="362"/>
      <c r="FA30" s="362"/>
      <c r="FB30" s="362"/>
      <c r="FC30" s="362"/>
      <c r="FD30" s="362"/>
      <c r="FE30" s="362"/>
      <c r="FF30" s="362"/>
      <c r="FG30" s="362"/>
      <c r="FH30" s="362"/>
      <c r="FI30" s="362"/>
      <c r="FJ30" s="362"/>
      <c r="FK30" s="362"/>
      <c r="FL30" s="362"/>
      <c r="FM30" s="362"/>
      <c r="FN30" s="362"/>
      <c r="FO30" s="362"/>
      <c r="FP30" s="362"/>
      <c r="FQ30" s="362"/>
      <c r="FR30" s="362"/>
      <c r="FS30" s="362"/>
      <c r="FT30" s="362"/>
      <c r="FU30" s="362"/>
      <c r="FV30" s="362"/>
      <c r="FW30" s="362"/>
      <c r="FX30" s="362"/>
      <c r="FY30" s="362"/>
      <c r="FZ30" s="362"/>
      <c r="GA30" s="362"/>
      <c r="GB30" s="362"/>
      <c r="GC30" s="362"/>
      <c r="GD30" s="362"/>
      <c r="GE30" s="362"/>
      <c r="GF30" s="362"/>
      <c r="GG30" s="362"/>
      <c r="GH30" s="362"/>
      <c r="GI30" s="362"/>
      <c r="GJ30" s="362"/>
      <c r="GK30" s="362"/>
      <c r="GL30" s="362"/>
      <c r="GM30" s="362"/>
      <c r="GN30" s="362"/>
      <c r="GO30" s="362"/>
      <c r="GP30" s="362"/>
      <c r="GQ30" s="362"/>
      <c r="GR30" s="362"/>
      <c r="GS30" s="362"/>
      <c r="GT30" s="362"/>
      <c r="GU30" s="362"/>
      <c r="GV30" s="362"/>
      <c r="GW30" s="362"/>
      <c r="GX30" s="362"/>
      <c r="GY30" s="362"/>
      <c r="GZ30" s="362"/>
      <c r="HA30" s="362"/>
      <c r="HB30" s="362"/>
      <c r="HC30" s="362"/>
      <c r="HD30" s="362"/>
      <c r="HE30" s="362"/>
      <c r="HF30" s="362"/>
      <c r="HG30" s="362"/>
      <c r="HH30" s="362"/>
      <c r="HI30" s="362"/>
      <c r="HJ30" s="362"/>
      <c r="HK30" s="362"/>
      <c r="HL30" s="362"/>
      <c r="HM30" s="362"/>
      <c r="HN30" s="362"/>
      <c r="HO30" s="362"/>
      <c r="HP30" s="362"/>
      <c r="HQ30" s="362"/>
      <c r="HR30" s="362"/>
      <c r="HS30" s="362"/>
      <c r="HT30" s="362"/>
      <c r="HU30" s="362"/>
      <c r="HV30" s="362"/>
      <c r="HW30" s="362"/>
      <c r="HX30" s="362"/>
      <c r="HY30" s="362"/>
      <c r="HZ30" s="362"/>
      <c r="IA30" s="362"/>
      <c r="IB30" s="362"/>
      <c r="IC30" s="362"/>
      <c r="ID30" s="362"/>
      <c r="IE30" s="362"/>
      <c r="IF30" s="362"/>
      <c r="IG30" s="362"/>
      <c r="IH30" s="362"/>
      <c r="II30" s="362"/>
      <c r="IJ30" s="362"/>
      <c r="IK30" s="362"/>
      <c r="IL30" s="362"/>
      <c r="IM30" s="362"/>
      <c r="IN30" s="362"/>
      <c r="IO30" s="362"/>
      <c r="IP30" s="362"/>
      <c r="IQ30" s="362"/>
      <c r="IR30" s="362"/>
      <c r="IS30" s="362"/>
      <c r="IT30" s="362"/>
    </row>
    <row r="31" spans="1:254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391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  <c r="AI31" s="362"/>
      <c r="AJ31" s="362"/>
      <c r="AK31" s="362"/>
      <c r="AL31" s="362"/>
      <c r="AM31" s="362"/>
      <c r="AN31" s="362"/>
      <c r="AO31" s="362"/>
      <c r="AP31" s="362"/>
      <c r="AQ31" s="362"/>
      <c r="AR31" s="362"/>
      <c r="AS31" s="362"/>
      <c r="AT31" s="362"/>
      <c r="AU31" s="2"/>
      <c r="AV31" s="2"/>
      <c r="AW31" s="2"/>
      <c r="AX31" s="1075"/>
      <c r="AY31" s="2"/>
      <c r="AZ31" s="2"/>
      <c r="BA31" s="1076"/>
      <c r="BB31" s="362"/>
      <c r="BC31" s="362"/>
      <c r="BD31" s="362"/>
      <c r="BE31" s="362"/>
      <c r="BF31" s="362"/>
      <c r="BG31" s="362"/>
      <c r="BH31" s="362"/>
      <c r="BI31" s="362"/>
      <c r="BJ31" s="362"/>
      <c r="BK31" s="362"/>
      <c r="BL31" s="362"/>
      <c r="BM31" s="362"/>
      <c r="BN31" s="362"/>
      <c r="BO31" s="362"/>
      <c r="BP31" s="362"/>
      <c r="BQ31" s="362"/>
      <c r="BR31" s="362"/>
      <c r="BS31" s="362"/>
      <c r="BT31" s="362"/>
      <c r="BU31" s="362"/>
      <c r="BV31" s="362"/>
      <c r="BW31" s="362"/>
      <c r="BX31" s="362"/>
      <c r="BY31" s="362"/>
      <c r="BZ31" s="362"/>
      <c r="CA31" s="362"/>
      <c r="CB31" s="362"/>
      <c r="CC31" s="362"/>
      <c r="CD31" s="362"/>
      <c r="CE31" s="362"/>
      <c r="CF31" s="362"/>
      <c r="CG31" s="362"/>
      <c r="CH31" s="362"/>
      <c r="CI31" s="362"/>
      <c r="CJ31" s="362"/>
      <c r="CK31" s="362"/>
      <c r="CL31" s="362"/>
      <c r="CM31" s="362"/>
      <c r="CN31" s="362"/>
      <c r="CO31" s="362"/>
      <c r="CP31" s="362"/>
      <c r="CQ31" s="362"/>
      <c r="CR31" s="362"/>
      <c r="CS31" s="362"/>
      <c r="CT31" s="362"/>
      <c r="CU31" s="362"/>
      <c r="CV31" s="362"/>
      <c r="CW31" s="362"/>
      <c r="CX31" s="362"/>
      <c r="CY31" s="362"/>
      <c r="CZ31" s="362"/>
      <c r="DA31" s="362"/>
      <c r="DB31" s="362"/>
      <c r="DC31" s="362"/>
      <c r="DD31" s="362"/>
      <c r="DE31" s="362"/>
      <c r="DF31" s="362"/>
      <c r="DG31" s="362"/>
      <c r="DH31" s="362"/>
      <c r="DI31" s="362"/>
      <c r="DJ31" s="362"/>
      <c r="DK31" s="362"/>
      <c r="DL31" s="362"/>
      <c r="DM31" s="362"/>
      <c r="DN31" s="362"/>
      <c r="DO31" s="362"/>
      <c r="DP31" s="362"/>
      <c r="DQ31" s="362"/>
      <c r="DR31" s="362"/>
      <c r="DS31" s="362"/>
      <c r="DT31" s="362"/>
      <c r="DU31" s="362"/>
      <c r="DV31" s="362"/>
      <c r="DW31" s="362"/>
      <c r="DX31" s="362"/>
      <c r="DY31" s="362"/>
      <c r="DZ31" s="362"/>
      <c r="EA31" s="362"/>
      <c r="EB31" s="362"/>
      <c r="EC31" s="362"/>
      <c r="ED31" s="362"/>
      <c r="EE31" s="362"/>
      <c r="EF31" s="362"/>
      <c r="EG31" s="362"/>
      <c r="EH31" s="362"/>
      <c r="EI31" s="362"/>
      <c r="EJ31" s="362"/>
      <c r="EK31" s="362"/>
      <c r="EL31" s="362"/>
      <c r="EM31" s="362"/>
      <c r="EN31" s="362"/>
      <c r="EO31" s="362"/>
      <c r="EP31" s="362"/>
      <c r="EQ31" s="362"/>
      <c r="ER31" s="362"/>
      <c r="ES31" s="362"/>
      <c r="ET31" s="362"/>
      <c r="EU31" s="362"/>
      <c r="EV31" s="362"/>
      <c r="EW31" s="362"/>
      <c r="EX31" s="362"/>
      <c r="EY31" s="362"/>
      <c r="EZ31" s="362"/>
      <c r="FA31" s="362"/>
      <c r="FB31" s="362"/>
      <c r="FC31" s="362"/>
      <c r="FD31" s="362"/>
      <c r="FE31" s="362"/>
      <c r="FF31" s="362"/>
      <c r="FG31" s="362"/>
      <c r="FH31" s="362"/>
      <c r="FI31" s="362"/>
      <c r="FJ31" s="362"/>
      <c r="FK31" s="362"/>
      <c r="FL31" s="362"/>
      <c r="FM31" s="362"/>
      <c r="FN31" s="362"/>
      <c r="FO31" s="362"/>
      <c r="FP31" s="362"/>
      <c r="FQ31" s="362"/>
      <c r="FR31" s="362"/>
      <c r="FS31" s="362"/>
      <c r="FT31" s="362"/>
      <c r="FU31" s="362"/>
      <c r="FV31" s="362"/>
      <c r="FW31" s="362"/>
      <c r="FX31" s="362"/>
      <c r="FY31" s="362"/>
      <c r="FZ31" s="362"/>
      <c r="GA31" s="362"/>
      <c r="GB31" s="362"/>
      <c r="GC31" s="362"/>
      <c r="GD31" s="362"/>
      <c r="GE31" s="362"/>
      <c r="GF31" s="362"/>
      <c r="GG31" s="362"/>
      <c r="GH31" s="362"/>
      <c r="GI31" s="362"/>
      <c r="GJ31" s="362"/>
      <c r="GK31" s="362"/>
      <c r="GL31" s="362"/>
      <c r="GM31" s="362"/>
      <c r="GN31" s="362"/>
      <c r="GO31" s="362"/>
      <c r="GP31" s="362"/>
      <c r="GQ31" s="362"/>
      <c r="GR31" s="362"/>
      <c r="GS31" s="362"/>
      <c r="GT31" s="362"/>
      <c r="GU31" s="362"/>
      <c r="GV31" s="362"/>
      <c r="GW31" s="362"/>
      <c r="GX31" s="362"/>
      <c r="GY31" s="362"/>
      <c r="GZ31" s="362"/>
      <c r="HA31" s="362"/>
      <c r="HB31" s="362"/>
      <c r="HC31" s="362"/>
      <c r="HD31" s="362"/>
      <c r="HE31" s="362"/>
      <c r="HF31" s="362"/>
      <c r="HG31" s="362"/>
      <c r="HH31" s="362"/>
      <c r="HI31" s="362"/>
      <c r="HJ31" s="362"/>
      <c r="HK31" s="362"/>
      <c r="HL31" s="362"/>
      <c r="HM31" s="362"/>
      <c r="HN31" s="362"/>
      <c r="HO31" s="362"/>
      <c r="HP31" s="362"/>
      <c r="HQ31" s="362"/>
      <c r="HR31" s="362"/>
      <c r="HS31" s="362"/>
      <c r="HT31" s="362"/>
      <c r="HU31" s="362"/>
      <c r="HV31" s="362"/>
      <c r="HW31" s="362"/>
      <c r="HX31" s="362"/>
      <c r="HY31" s="362"/>
      <c r="HZ31" s="362"/>
      <c r="IA31" s="362"/>
      <c r="IB31" s="362"/>
      <c r="IC31" s="362"/>
      <c r="ID31" s="362"/>
      <c r="IE31" s="362"/>
      <c r="IF31" s="362"/>
      <c r="IG31" s="362"/>
      <c r="IH31" s="362"/>
      <c r="II31" s="362"/>
      <c r="IJ31" s="362"/>
      <c r="IK31" s="362"/>
      <c r="IL31" s="362"/>
      <c r="IM31" s="362"/>
      <c r="IN31" s="362"/>
      <c r="IO31" s="362"/>
      <c r="IP31" s="362"/>
      <c r="IQ31" s="362"/>
      <c r="IR31" s="362"/>
      <c r="IS31" s="362"/>
      <c r="IT31" s="362"/>
    </row>
    <row r="32" spans="1:254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CRÍTICA_IGP1!E32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391"/>
      <c r="P32" s="1083" t="s">
        <v>603</v>
      </c>
      <c r="Q32" s="1084">
        <v>1</v>
      </c>
      <c r="R32" s="1084">
        <v>2</v>
      </c>
      <c r="S32" s="1084">
        <v>3</v>
      </c>
      <c r="T32" s="1084">
        <v>4</v>
      </c>
      <c r="U32" s="1084">
        <v>5</v>
      </c>
      <c r="V32" s="1084">
        <v>6</v>
      </c>
      <c r="W32" s="1084">
        <v>7</v>
      </c>
      <c r="X32" s="1084">
        <v>8</v>
      </c>
      <c r="Y32" s="1084">
        <v>9</v>
      </c>
      <c r="Z32" s="1084">
        <v>10</v>
      </c>
      <c r="AA32" s="1084">
        <v>11</v>
      </c>
      <c r="AB32" s="1084">
        <v>12</v>
      </c>
      <c r="AC32" s="1085">
        <v>13</v>
      </c>
      <c r="AD32" s="1086">
        <v>14</v>
      </c>
      <c r="AE32" s="1086">
        <v>15</v>
      </c>
      <c r="AF32" s="1099">
        <v>16</v>
      </c>
      <c r="AG32" s="362"/>
      <c r="AH32" s="362"/>
      <c r="AI32" s="362"/>
      <c r="AJ32" s="362"/>
      <c r="AK32" s="362"/>
      <c r="AL32" s="362"/>
      <c r="AM32" s="362"/>
      <c r="AN32" s="362"/>
      <c r="AO32" s="362"/>
      <c r="AP32" s="362"/>
      <c r="AQ32" s="362"/>
      <c r="AR32" s="362"/>
      <c r="AS32" s="362"/>
      <c r="AT32" s="362"/>
      <c r="AU32" s="1096"/>
      <c r="AV32" s="1096"/>
      <c r="AW32" s="1096"/>
      <c r="AX32" s="1096"/>
      <c r="AY32" s="2"/>
      <c r="AZ32" s="2"/>
      <c r="BA32" s="1076"/>
      <c r="BB32" s="362"/>
      <c r="BC32" s="362"/>
      <c r="BD32" s="362"/>
      <c r="BE32" s="362"/>
      <c r="BF32" s="362"/>
      <c r="BG32" s="362"/>
      <c r="BH32" s="362"/>
      <c r="BI32" s="362"/>
      <c r="BJ32" s="362"/>
      <c r="BK32" s="362"/>
      <c r="BL32" s="362"/>
      <c r="BM32" s="362"/>
      <c r="BN32" s="362"/>
      <c r="BO32" s="362"/>
      <c r="BP32" s="362"/>
      <c r="BQ32" s="362"/>
      <c r="BR32" s="362"/>
      <c r="BS32" s="362"/>
      <c r="BT32" s="362"/>
      <c r="BU32" s="362"/>
      <c r="BV32" s="362"/>
      <c r="BW32" s="362"/>
      <c r="BX32" s="362"/>
      <c r="BY32" s="362"/>
      <c r="BZ32" s="362"/>
      <c r="CA32" s="362"/>
      <c r="CB32" s="362"/>
      <c r="CC32" s="362"/>
      <c r="CD32" s="362"/>
      <c r="CE32" s="362"/>
      <c r="CF32" s="362"/>
      <c r="CG32" s="362"/>
      <c r="CH32" s="362"/>
      <c r="CI32" s="362"/>
      <c r="CJ32" s="362"/>
      <c r="CK32" s="362"/>
      <c r="CL32" s="362"/>
      <c r="CM32" s="362"/>
      <c r="CN32" s="362"/>
      <c r="CO32" s="362"/>
      <c r="CP32" s="362"/>
      <c r="CQ32" s="362"/>
      <c r="CR32" s="362"/>
      <c r="CS32" s="362"/>
      <c r="CT32" s="362"/>
      <c r="CU32" s="362"/>
      <c r="CV32" s="362"/>
      <c r="CW32" s="362"/>
      <c r="CX32" s="362"/>
      <c r="CY32" s="362"/>
      <c r="CZ32" s="362"/>
      <c r="DA32" s="362"/>
      <c r="DB32" s="362"/>
      <c r="DC32" s="362"/>
      <c r="DD32" s="362"/>
      <c r="DE32" s="362"/>
      <c r="DF32" s="362"/>
      <c r="DG32" s="362"/>
      <c r="DH32" s="362"/>
      <c r="DI32" s="362"/>
      <c r="DJ32" s="362"/>
      <c r="DK32" s="362"/>
      <c r="DL32" s="362"/>
      <c r="DM32" s="362"/>
      <c r="DN32" s="362"/>
      <c r="DO32" s="362"/>
      <c r="DP32" s="362"/>
      <c r="DQ32" s="362"/>
      <c r="DR32" s="362"/>
      <c r="DS32" s="362"/>
      <c r="DT32" s="362"/>
      <c r="DU32" s="362"/>
      <c r="DV32" s="362"/>
      <c r="DW32" s="362"/>
      <c r="DX32" s="362"/>
      <c r="DY32" s="362"/>
      <c r="DZ32" s="362"/>
      <c r="EA32" s="362"/>
      <c r="EB32" s="362"/>
      <c r="EC32" s="362"/>
      <c r="ED32" s="362"/>
      <c r="EE32" s="362"/>
      <c r="EF32" s="362"/>
      <c r="EG32" s="362"/>
      <c r="EH32" s="362"/>
      <c r="EI32" s="362"/>
      <c r="EJ32" s="362"/>
      <c r="EK32" s="362"/>
      <c r="EL32" s="362"/>
      <c r="EM32" s="362"/>
      <c r="EN32" s="362"/>
      <c r="EO32" s="362"/>
      <c r="EP32" s="362"/>
      <c r="EQ32" s="362"/>
      <c r="ER32" s="362"/>
      <c r="ES32" s="362"/>
      <c r="ET32" s="362"/>
      <c r="EU32" s="362"/>
      <c r="EV32" s="362"/>
      <c r="EW32" s="362"/>
      <c r="EX32" s="362"/>
      <c r="EY32" s="362"/>
      <c r="EZ32" s="362"/>
      <c r="FA32" s="362"/>
      <c r="FB32" s="362"/>
      <c r="FC32" s="362"/>
      <c r="FD32" s="362"/>
      <c r="FE32" s="362"/>
      <c r="FF32" s="362"/>
      <c r="FG32" s="362"/>
      <c r="FH32" s="362"/>
      <c r="FI32" s="362"/>
      <c r="FJ32" s="362"/>
      <c r="FK32" s="362"/>
      <c r="FL32" s="362"/>
      <c r="FM32" s="362"/>
      <c r="FN32" s="362"/>
      <c r="FO32" s="362"/>
      <c r="FP32" s="362"/>
      <c r="FQ32" s="362"/>
      <c r="FR32" s="362"/>
      <c r="FS32" s="362"/>
      <c r="FT32" s="362"/>
      <c r="FU32" s="362"/>
      <c r="FV32" s="362"/>
      <c r="FW32" s="362"/>
      <c r="FX32" s="362"/>
      <c r="FY32" s="362"/>
      <c r="FZ32" s="362"/>
      <c r="GA32" s="362"/>
      <c r="GB32" s="362"/>
      <c r="GC32" s="362"/>
      <c r="GD32" s="362"/>
      <c r="GE32" s="362"/>
      <c r="GF32" s="362"/>
      <c r="GG32" s="362"/>
      <c r="GH32" s="362"/>
      <c r="GI32" s="362"/>
      <c r="GJ32" s="362"/>
      <c r="GK32" s="362"/>
      <c r="GL32" s="362"/>
      <c r="GM32" s="362"/>
      <c r="GN32" s="362"/>
      <c r="GO32" s="362"/>
      <c r="GP32" s="362"/>
      <c r="GQ32" s="362"/>
      <c r="GR32" s="362"/>
      <c r="GS32" s="362"/>
      <c r="GT32" s="362"/>
      <c r="GU32" s="362"/>
      <c r="GV32" s="362"/>
      <c r="GW32" s="362"/>
      <c r="GX32" s="362"/>
      <c r="GY32" s="362"/>
      <c r="GZ32" s="362"/>
      <c r="HA32" s="362"/>
      <c r="HB32" s="362"/>
      <c r="HC32" s="362"/>
      <c r="HD32" s="362"/>
      <c r="HE32" s="362"/>
      <c r="HF32" s="362"/>
      <c r="HG32" s="362"/>
      <c r="HH32" s="362"/>
      <c r="HI32" s="362"/>
      <c r="HJ32" s="362"/>
      <c r="HK32" s="362"/>
      <c r="HL32" s="362"/>
      <c r="HM32" s="362"/>
      <c r="HN32" s="362"/>
      <c r="HO32" s="362"/>
      <c r="HP32" s="362"/>
      <c r="HQ32" s="362"/>
      <c r="HR32" s="362"/>
      <c r="HS32" s="362"/>
      <c r="HT32" s="362"/>
      <c r="HU32" s="362"/>
      <c r="HV32" s="362"/>
      <c r="HW32" s="362"/>
      <c r="HX32" s="362"/>
      <c r="HY32" s="362"/>
      <c r="HZ32" s="362"/>
      <c r="IA32" s="362"/>
      <c r="IB32" s="362"/>
      <c r="IC32" s="362"/>
      <c r="ID32" s="362"/>
      <c r="IE32" s="362"/>
      <c r="IF32" s="362"/>
      <c r="IG32" s="362"/>
      <c r="IH32" s="362"/>
      <c r="II32" s="362"/>
      <c r="IJ32" s="362"/>
      <c r="IK32" s="362"/>
      <c r="IL32" s="362"/>
      <c r="IM32" s="362"/>
      <c r="IN32" s="362"/>
      <c r="IO32" s="362"/>
      <c r="IP32" s="362"/>
      <c r="IQ32" s="362"/>
      <c r="IR32" s="362"/>
      <c r="IS32" s="362"/>
      <c r="IT32" s="362"/>
    </row>
    <row r="33" spans="1:254" x14ac:dyDescent="0.15">
      <c r="A33" s="295"/>
      <c r="B33" s="596" t="s">
        <v>340</v>
      </c>
      <c r="C33" s="1859" t="s">
        <v>453</v>
      </c>
      <c r="D33" s="1860"/>
      <c r="E33" s="1040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255">
        <f>SUM($F$27:$F$33)+$F$45</f>
        <v>0</v>
      </c>
      <c r="P33" s="1093" t="s">
        <v>351</v>
      </c>
      <c r="Q33" s="1094">
        <v>0.1</v>
      </c>
      <c r="R33" s="1094">
        <v>0.12</v>
      </c>
      <c r="S33" s="1094">
        <v>0.14000000000000001</v>
      </c>
      <c r="T33" s="1094">
        <v>0.16</v>
      </c>
      <c r="U33" s="1094">
        <v>0.18</v>
      </c>
      <c r="V33" s="1094">
        <v>0.2</v>
      </c>
      <c r="W33" s="1094">
        <v>0.22</v>
      </c>
      <c r="X33" s="1094">
        <v>0.24</v>
      </c>
      <c r="Y33" s="1094">
        <v>0.26</v>
      </c>
      <c r="Z33" s="1094">
        <v>0.28000000000000003</v>
      </c>
      <c r="AA33" s="1094">
        <v>0.3</v>
      </c>
      <c r="AB33" s="1094">
        <v>0.32</v>
      </c>
      <c r="AC33" s="1094">
        <v>0.34</v>
      </c>
      <c r="AD33" s="1094">
        <v>0.36</v>
      </c>
      <c r="AE33" s="1094">
        <v>0.38</v>
      </c>
      <c r="AF33" s="1095">
        <v>0.4</v>
      </c>
      <c r="AG33" s="1074"/>
      <c r="AH33" s="362"/>
      <c r="AI33" s="362"/>
      <c r="AJ33" s="362"/>
      <c r="AK33" s="362"/>
      <c r="AL33" s="362"/>
      <c r="AM33" s="362"/>
      <c r="AN33" s="362"/>
      <c r="AO33" s="362"/>
      <c r="AP33" s="362"/>
      <c r="AQ33" s="362"/>
      <c r="AR33" s="362"/>
      <c r="AS33" s="362"/>
      <c r="AT33" s="362"/>
      <c r="AU33" s="362"/>
      <c r="AV33" s="362"/>
      <c r="AW33" s="362"/>
      <c r="AX33" s="2"/>
      <c r="AY33" s="2"/>
      <c r="AZ33" s="2"/>
      <c r="BA33" s="1076"/>
      <c r="BB33" s="362"/>
      <c r="BC33" s="362"/>
      <c r="BD33" s="362"/>
      <c r="BE33" s="362"/>
      <c r="BF33" s="362"/>
      <c r="BG33" s="362"/>
      <c r="BH33" s="362"/>
      <c r="BI33" s="362"/>
      <c r="BJ33" s="362"/>
      <c r="BK33" s="362"/>
      <c r="BL33" s="362"/>
      <c r="BM33" s="362"/>
      <c r="BN33" s="362"/>
      <c r="BO33" s="362"/>
      <c r="BP33" s="362"/>
      <c r="BQ33" s="362"/>
      <c r="BR33" s="362"/>
      <c r="BS33" s="362"/>
      <c r="BT33" s="362"/>
      <c r="BU33" s="362"/>
      <c r="BV33" s="362"/>
      <c r="BW33" s="362"/>
      <c r="BX33" s="362"/>
      <c r="BY33" s="362"/>
      <c r="BZ33" s="362"/>
      <c r="CA33" s="362"/>
      <c r="CB33" s="362"/>
      <c r="CC33" s="362"/>
      <c r="CD33" s="362"/>
      <c r="CE33" s="362"/>
      <c r="CF33" s="362"/>
      <c r="CG33" s="362"/>
      <c r="CH33" s="362"/>
      <c r="CI33" s="362"/>
      <c r="CJ33" s="362"/>
      <c r="CK33" s="362"/>
      <c r="CL33" s="362"/>
      <c r="CM33" s="362"/>
      <c r="CN33" s="362"/>
      <c r="CO33" s="362"/>
      <c r="CP33" s="362"/>
      <c r="CQ33" s="362"/>
      <c r="CR33" s="362"/>
      <c r="CS33" s="362"/>
      <c r="CT33" s="362"/>
      <c r="CU33" s="362"/>
      <c r="CV33" s="362"/>
      <c r="CW33" s="362"/>
      <c r="CX33" s="362"/>
      <c r="CY33" s="362"/>
      <c r="CZ33" s="362"/>
      <c r="DA33" s="362"/>
      <c r="DB33" s="362"/>
      <c r="DC33" s="362"/>
      <c r="DD33" s="362"/>
      <c r="DE33" s="362"/>
      <c r="DF33" s="362"/>
      <c r="DG33" s="362"/>
      <c r="DH33" s="362"/>
      <c r="DI33" s="362"/>
      <c r="DJ33" s="362"/>
      <c r="DK33" s="362"/>
      <c r="DL33" s="362"/>
      <c r="DM33" s="362"/>
      <c r="DN33" s="362"/>
      <c r="DO33" s="362"/>
      <c r="DP33" s="362"/>
      <c r="DQ33" s="362"/>
      <c r="DR33" s="362"/>
      <c r="DS33" s="362"/>
      <c r="DT33" s="362"/>
      <c r="DU33" s="362"/>
      <c r="DV33" s="362"/>
      <c r="DW33" s="362"/>
      <c r="DX33" s="362"/>
      <c r="DY33" s="362"/>
      <c r="DZ33" s="362"/>
      <c r="EA33" s="362"/>
      <c r="EB33" s="362"/>
      <c r="EC33" s="362"/>
      <c r="ED33" s="362"/>
      <c r="EE33" s="362"/>
      <c r="EF33" s="362"/>
      <c r="EG33" s="362"/>
      <c r="EH33" s="362"/>
      <c r="EI33" s="362"/>
      <c r="EJ33" s="362"/>
      <c r="EK33" s="362"/>
      <c r="EL33" s="362"/>
      <c r="EM33" s="362"/>
      <c r="EN33" s="362"/>
      <c r="EO33" s="362"/>
      <c r="EP33" s="362"/>
      <c r="EQ33" s="362"/>
      <c r="ER33" s="362"/>
      <c r="ES33" s="362"/>
      <c r="ET33" s="362"/>
      <c r="EU33" s="362"/>
      <c r="EV33" s="362"/>
      <c r="EW33" s="362"/>
      <c r="EX33" s="362"/>
      <c r="EY33" s="362"/>
      <c r="EZ33" s="362"/>
      <c r="FA33" s="362"/>
      <c r="FB33" s="362"/>
      <c r="FC33" s="362"/>
      <c r="FD33" s="362"/>
      <c r="FE33" s="362"/>
      <c r="FF33" s="362"/>
      <c r="FG33" s="362"/>
      <c r="FH33" s="362"/>
      <c r="FI33" s="362"/>
      <c r="FJ33" s="362"/>
      <c r="FK33" s="362"/>
      <c r="FL33" s="362"/>
      <c r="FM33" s="362"/>
      <c r="FN33" s="362"/>
      <c r="FO33" s="362"/>
      <c r="FP33" s="362"/>
      <c r="FQ33" s="362"/>
      <c r="FR33" s="362"/>
      <c r="FS33" s="362"/>
      <c r="FT33" s="362"/>
      <c r="FU33" s="362"/>
      <c r="FV33" s="362"/>
      <c r="FW33" s="362"/>
      <c r="FX33" s="362"/>
      <c r="FY33" s="362"/>
      <c r="FZ33" s="362"/>
      <c r="GA33" s="362"/>
      <c r="GB33" s="362"/>
      <c r="GC33" s="362"/>
      <c r="GD33" s="362"/>
      <c r="GE33" s="362"/>
      <c r="GF33" s="362"/>
      <c r="GG33" s="362"/>
      <c r="GH33" s="362"/>
      <c r="GI33" s="362"/>
      <c r="GJ33" s="362"/>
      <c r="GK33" s="362"/>
      <c r="GL33" s="362"/>
      <c r="GM33" s="362"/>
      <c r="GN33" s="362"/>
      <c r="GO33" s="362"/>
      <c r="GP33" s="362"/>
      <c r="GQ33" s="362"/>
      <c r="GR33" s="362"/>
      <c r="GS33" s="362"/>
      <c r="GT33" s="362"/>
      <c r="GU33" s="362"/>
      <c r="GV33" s="362"/>
      <c r="GW33" s="362"/>
      <c r="GX33" s="362"/>
      <c r="GY33" s="362"/>
      <c r="GZ33" s="362"/>
      <c r="HA33" s="362"/>
      <c r="HB33" s="362"/>
      <c r="HC33" s="362"/>
      <c r="HD33" s="362"/>
      <c r="HE33" s="362"/>
      <c r="HF33" s="362"/>
      <c r="HG33" s="362"/>
      <c r="HH33" s="362"/>
      <c r="HI33" s="362"/>
      <c r="HJ33" s="362"/>
      <c r="HK33" s="362"/>
      <c r="HL33" s="362"/>
      <c r="HM33" s="362"/>
      <c r="HN33" s="362"/>
      <c r="HO33" s="362"/>
      <c r="HP33" s="362"/>
      <c r="HQ33" s="362"/>
      <c r="HR33" s="362"/>
      <c r="HS33" s="362"/>
      <c r="HT33" s="362"/>
      <c r="HU33" s="362"/>
      <c r="HV33" s="362"/>
      <c r="HW33" s="362"/>
      <c r="HX33" s="362"/>
      <c r="HY33" s="362"/>
      <c r="HZ33" s="362"/>
      <c r="IA33" s="362"/>
      <c r="IB33" s="362"/>
      <c r="IC33" s="362"/>
      <c r="ID33" s="362"/>
      <c r="IE33" s="362"/>
      <c r="IF33" s="362"/>
      <c r="IG33" s="362"/>
      <c r="IH33" s="362"/>
      <c r="II33" s="362"/>
      <c r="IJ33" s="362"/>
      <c r="IK33" s="362"/>
      <c r="IL33" s="362"/>
      <c r="IM33" s="362"/>
      <c r="IN33" s="362"/>
      <c r="IO33" s="362"/>
      <c r="IP33" s="362"/>
      <c r="IQ33" s="362"/>
      <c r="IR33" s="362"/>
      <c r="IS33" s="362"/>
      <c r="IT33" s="362"/>
    </row>
    <row r="34" spans="1:254" x14ac:dyDescent="0.15">
      <c r="A34" s="374"/>
      <c r="B34" s="596" t="s">
        <v>341</v>
      </c>
      <c r="C34" s="172" t="s">
        <v>349</v>
      </c>
      <c r="D34" s="173"/>
      <c r="E34" s="1040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1058">
        <f>ROUNDDOWN($O$33/365,0)</f>
        <v>0</v>
      </c>
      <c r="P34" s="362"/>
      <c r="Q34" s="362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  <c r="AD34" s="362"/>
      <c r="AE34" s="362"/>
      <c r="AF34" s="362"/>
      <c r="AG34" s="1074"/>
      <c r="AH34" s="362"/>
      <c r="AI34" s="362"/>
      <c r="AJ34" s="362"/>
      <c r="AK34" s="362"/>
      <c r="AL34" s="362"/>
      <c r="AM34" s="362"/>
      <c r="AN34" s="362"/>
      <c r="AO34" s="362"/>
      <c r="AP34" s="362"/>
      <c r="AQ34" s="362"/>
      <c r="AR34" s="362"/>
      <c r="AS34" s="362"/>
      <c r="AT34" s="362"/>
      <c r="AU34" s="362"/>
      <c r="AV34" s="362"/>
      <c r="AW34" s="362"/>
      <c r="AX34" s="2"/>
      <c r="AY34" s="2"/>
      <c r="AZ34" s="2"/>
      <c r="BA34" s="1076"/>
      <c r="BB34" s="362"/>
      <c r="BC34" s="362"/>
      <c r="BD34" s="362"/>
      <c r="BE34" s="362"/>
      <c r="BF34" s="362"/>
      <c r="BG34" s="362"/>
      <c r="BH34" s="362"/>
      <c r="BI34" s="362"/>
      <c r="BJ34" s="362"/>
      <c r="BK34" s="362"/>
      <c r="BL34" s="362"/>
      <c r="BM34" s="362"/>
      <c r="BN34" s="362"/>
      <c r="BO34" s="362"/>
      <c r="BP34" s="36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62"/>
      <c r="CB34" s="362"/>
      <c r="CC34" s="362"/>
      <c r="CD34" s="362"/>
      <c r="CE34" s="362"/>
      <c r="CF34" s="362"/>
      <c r="CG34" s="362"/>
      <c r="CH34" s="362"/>
      <c r="CI34" s="362"/>
      <c r="CJ34" s="362"/>
      <c r="CK34" s="362"/>
      <c r="CL34" s="362"/>
      <c r="CM34" s="362"/>
      <c r="CN34" s="362"/>
      <c r="CO34" s="362"/>
      <c r="CP34" s="362"/>
      <c r="CQ34" s="362"/>
      <c r="CR34" s="362"/>
      <c r="CS34" s="362"/>
      <c r="CT34" s="362"/>
      <c r="CU34" s="362"/>
      <c r="CV34" s="362"/>
      <c r="CW34" s="362"/>
      <c r="CX34" s="362"/>
      <c r="CY34" s="362"/>
      <c r="CZ34" s="362"/>
      <c r="DA34" s="362"/>
      <c r="DB34" s="362"/>
      <c r="DC34" s="362"/>
      <c r="DD34" s="362"/>
      <c r="DE34" s="362"/>
      <c r="DF34" s="362"/>
      <c r="DG34" s="362"/>
      <c r="DH34" s="362"/>
      <c r="DI34" s="362"/>
      <c r="DJ34" s="362"/>
      <c r="DK34" s="362"/>
      <c r="DL34" s="362"/>
      <c r="DM34" s="362"/>
      <c r="DN34" s="362"/>
      <c r="DO34" s="362"/>
      <c r="DP34" s="362"/>
      <c r="DQ34" s="362"/>
      <c r="DR34" s="362"/>
      <c r="DS34" s="362"/>
      <c r="DT34" s="362"/>
      <c r="DU34" s="362"/>
      <c r="DV34" s="362"/>
      <c r="DW34" s="362"/>
      <c r="DX34" s="362"/>
      <c r="DY34" s="362"/>
      <c r="DZ34" s="362"/>
      <c r="EA34" s="362"/>
      <c r="EB34" s="362"/>
      <c r="EC34" s="362"/>
      <c r="ED34" s="362"/>
      <c r="EE34" s="362"/>
      <c r="EF34" s="362"/>
      <c r="EG34" s="362"/>
      <c r="EH34" s="362"/>
      <c r="EI34" s="362"/>
      <c r="EJ34" s="362"/>
      <c r="EK34" s="362"/>
      <c r="EL34" s="362"/>
      <c r="EM34" s="362"/>
      <c r="EN34" s="362"/>
      <c r="EO34" s="362"/>
      <c r="EP34" s="362"/>
      <c r="EQ34" s="362"/>
      <c r="ER34" s="362"/>
      <c r="ES34" s="362"/>
      <c r="ET34" s="362"/>
      <c r="EU34" s="362"/>
      <c r="EV34" s="362"/>
      <c r="EW34" s="362"/>
      <c r="EX34" s="362"/>
      <c r="EY34" s="362"/>
      <c r="EZ34" s="362"/>
      <c r="FA34" s="362"/>
      <c r="FB34" s="362"/>
      <c r="FC34" s="362"/>
      <c r="FD34" s="362"/>
      <c r="FE34" s="362"/>
      <c r="FF34" s="362"/>
      <c r="FG34" s="362"/>
      <c r="FH34" s="362"/>
      <c r="FI34" s="362"/>
      <c r="FJ34" s="362"/>
      <c r="FK34" s="362"/>
      <c r="FL34" s="362"/>
      <c r="FM34" s="362"/>
      <c r="FN34" s="362"/>
      <c r="FO34" s="362"/>
      <c r="FP34" s="362"/>
      <c r="FQ34" s="362"/>
      <c r="FR34" s="362"/>
      <c r="FS34" s="362"/>
      <c r="FT34" s="362"/>
      <c r="FU34" s="362"/>
      <c r="FV34" s="362"/>
      <c r="FW34" s="362"/>
      <c r="FX34" s="362"/>
      <c r="FY34" s="362"/>
      <c r="FZ34" s="362"/>
      <c r="GA34" s="362"/>
      <c r="GB34" s="362"/>
      <c r="GC34" s="362"/>
      <c r="GD34" s="362"/>
      <c r="GE34" s="362"/>
      <c r="GF34" s="362"/>
      <c r="GG34" s="362"/>
      <c r="GH34" s="362"/>
      <c r="GI34" s="362"/>
      <c r="GJ34" s="362"/>
      <c r="GK34" s="362"/>
      <c r="GL34" s="362"/>
      <c r="GM34" s="362"/>
      <c r="GN34" s="362"/>
      <c r="GO34" s="362"/>
      <c r="GP34" s="362"/>
      <c r="GQ34" s="362"/>
      <c r="GR34" s="362"/>
      <c r="GS34" s="362"/>
      <c r="GT34" s="362"/>
      <c r="GU34" s="362"/>
      <c r="GV34" s="362"/>
      <c r="GW34" s="362"/>
      <c r="GX34" s="362"/>
      <c r="GY34" s="362"/>
      <c r="GZ34" s="362"/>
      <c r="HA34" s="362"/>
      <c r="HB34" s="362"/>
      <c r="HC34" s="362"/>
      <c r="HD34" s="362"/>
      <c r="HE34" s="362"/>
      <c r="HF34" s="362"/>
      <c r="HG34" s="362"/>
      <c r="HH34" s="362"/>
      <c r="HI34" s="362"/>
      <c r="HJ34" s="362"/>
      <c r="HK34" s="362"/>
      <c r="HL34" s="362"/>
      <c r="HM34" s="362"/>
      <c r="HN34" s="362"/>
      <c r="HO34" s="362"/>
      <c r="HP34" s="362"/>
      <c r="HQ34" s="362"/>
      <c r="HR34" s="362"/>
      <c r="HS34" s="362"/>
      <c r="HT34" s="362"/>
      <c r="HU34" s="362"/>
      <c r="HV34" s="362"/>
      <c r="HW34" s="362"/>
      <c r="HX34" s="362"/>
      <c r="HY34" s="362"/>
      <c r="HZ34" s="362"/>
      <c r="IA34" s="362"/>
      <c r="IB34" s="362"/>
      <c r="IC34" s="362"/>
      <c r="ID34" s="362"/>
      <c r="IE34" s="362"/>
      <c r="IF34" s="362"/>
      <c r="IG34" s="362"/>
      <c r="IH34" s="362"/>
      <c r="II34" s="362"/>
      <c r="IJ34" s="362"/>
      <c r="IK34" s="362"/>
      <c r="IL34" s="362"/>
      <c r="IM34" s="362"/>
      <c r="IN34" s="362"/>
      <c r="IO34" s="362"/>
      <c r="IP34" s="362"/>
      <c r="IQ34" s="362"/>
      <c r="IR34" s="362"/>
      <c r="IS34" s="362"/>
      <c r="IT34" s="362"/>
    </row>
    <row r="35" spans="1:254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IF(E2=B94,IF(D12="X",IF(G10="X",ROUNDDOWN(SUM(F26:F34)*0.2,0),ROUNDDOWN(SUM(F26:F34)*0.17,0)),0),0)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1058"/>
      <c r="P35" s="1083" t="s">
        <v>693</v>
      </c>
      <c r="Q35" s="1084">
        <v>1</v>
      </c>
      <c r="R35" s="1084">
        <v>2</v>
      </c>
      <c r="S35" s="1084">
        <v>3</v>
      </c>
      <c r="T35" s="1084">
        <v>4</v>
      </c>
      <c r="U35" s="1084">
        <v>5</v>
      </c>
      <c r="V35" s="1084">
        <v>6</v>
      </c>
      <c r="W35" s="1084">
        <v>7</v>
      </c>
      <c r="X35" s="1084">
        <v>8</v>
      </c>
      <c r="Y35" s="1084">
        <v>9</v>
      </c>
      <c r="Z35" s="1084">
        <v>10</v>
      </c>
      <c r="AA35" s="1084">
        <v>11</v>
      </c>
      <c r="AB35" s="1084">
        <v>12</v>
      </c>
      <c r="AC35" s="1084">
        <v>13</v>
      </c>
      <c r="AD35" s="1084">
        <v>14</v>
      </c>
      <c r="AE35" s="1084">
        <v>15</v>
      </c>
      <c r="AF35" s="1084">
        <v>16</v>
      </c>
      <c r="AG35" s="1084">
        <v>17</v>
      </c>
      <c r="AH35" s="1084">
        <v>18</v>
      </c>
      <c r="AI35" s="1084">
        <v>19</v>
      </c>
      <c r="AJ35" s="1084">
        <v>20</v>
      </c>
      <c r="AK35" s="1084">
        <v>21</v>
      </c>
      <c r="AL35" s="1084">
        <v>22</v>
      </c>
      <c r="AM35" s="1084">
        <v>23</v>
      </c>
      <c r="AN35" s="1084">
        <v>24</v>
      </c>
      <c r="AO35" s="1084">
        <v>25</v>
      </c>
      <c r="AP35" s="1084">
        <v>26</v>
      </c>
      <c r="AQ35" s="1084">
        <v>27</v>
      </c>
      <c r="AR35" s="1084">
        <v>28</v>
      </c>
      <c r="AS35" s="1084">
        <v>29</v>
      </c>
      <c r="AT35" s="1084">
        <v>30</v>
      </c>
      <c r="AU35" s="1084">
        <v>31</v>
      </c>
      <c r="AV35" s="1084">
        <v>32</v>
      </c>
      <c r="AW35" s="1084">
        <v>33</v>
      </c>
      <c r="AX35" s="1084">
        <v>34</v>
      </c>
      <c r="AY35" s="1097">
        <v>35</v>
      </c>
      <c r="AZ35" s="2"/>
      <c r="BA35" s="1076"/>
      <c r="BB35" s="362"/>
      <c r="BC35" s="362"/>
      <c r="BD35" s="362"/>
      <c r="BE35" s="362"/>
      <c r="BF35" s="362"/>
      <c r="BG35" s="362"/>
      <c r="BH35" s="362"/>
      <c r="BI35" s="362"/>
      <c r="BJ35" s="362"/>
      <c r="BK35" s="362"/>
      <c r="BL35" s="362"/>
      <c r="BM35" s="362"/>
      <c r="BN35" s="362"/>
      <c r="BO35" s="362"/>
      <c r="BP35" s="362"/>
      <c r="BQ35" s="362"/>
      <c r="BR35" s="362"/>
      <c r="BS35" s="362"/>
      <c r="BT35" s="362"/>
      <c r="BU35" s="362"/>
      <c r="BV35" s="362"/>
      <c r="BW35" s="362"/>
      <c r="BX35" s="362"/>
      <c r="BY35" s="362"/>
      <c r="BZ35" s="362"/>
      <c r="CA35" s="362"/>
      <c r="CB35" s="362"/>
      <c r="CC35" s="362"/>
      <c r="CD35" s="362"/>
      <c r="CE35" s="362"/>
      <c r="CF35" s="362"/>
      <c r="CG35" s="362"/>
      <c r="CH35" s="362"/>
      <c r="CI35" s="362"/>
      <c r="CJ35" s="362"/>
      <c r="CK35" s="362"/>
      <c r="CL35" s="362"/>
      <c r="CM35" s="362"/>
      <c r="CN35" s="362"/>
      <c r="CO35" s="362"/>
      <c r="CP35" s="362"/>
      <c r="CQ35" s="362"/>
      <c r="CR35" s="362"/>
      <c r="CS35" s="362"/>
      <c r="CT35" s="362"/>
      <c r="CU35" s="362"/>
      <c r="CV35" s="362"/>
      <c r="CW35" s="362"/>
      <c r="CX35" s="362"/>
      <c r="CY35" s="362"/>
      <c r="CZ35" s="362"/>
      <c r="DA35" s="362"/>
      <c r="DB35" s="362"/>
      <c r="DC35" s="362"/>
      <c r="DD35" s="362"/>
      <c r="DE35" s="362"/>
      <c r="DF35" s="362"/>
      <c r="DG35" s="362"/>
      <c r="DH35" s="362"/>
      <c r="DI35" s="362"/>
      <c r="DJ35" s="362"/>
      <c r="DK35" s="362"/>
      <c r="DL35" s="362"/>
      <c r="DM35" s="362"/>
      <c r="DN35" s="362"/>
      <c r="DO35" s="362"/>
      <c r="DP35" s="362"/>
      <c r="DQ35" s="362"/>
      <c r="DR35" s="362"/>
      <c r="DS35" s="362"/>
      <c r="DT35" s="362"/>
      <c r="DU35" s="362"/>
      <c r="DV35" s="362"/>
      <c r="DW35" s="362"/>
      <c r="DX35" s="362"/>
      <c r="DY35" s="362"/>
      <c r="DZ35" s="362"/>
      <c r="EA35" s="362"/>
      <c r="EB35" s="362"/>
      <c r="EC35" s="362"/>
      <c r="ED35" s="362"/>
      <c r="EE35" s="362"/>
      <c r="EF35" s="362"/>
      <c r="EG35" s="362"/>
      <c r="EH35" s="362"/>
      <c r="EI35" s="362"/>
      <c r="EJ35" s="362"/>
      <c r="EK35" s="362"/>
      <c r="EL35" s="362"/>
      <c r="EM35" s="362"/>
      <c r="EN35" s="362"/>
      <c r="EO35" s="362"/>
      <c r="EP35" s="362"/>
      <c r="EQ35" s="362"/>
      <c r="ER35" s="362"/>
      <c r="ES35" s="362"/>
      <c r="ET35" s="362"/>
      <c r="EU35" s="362"/>
      <c r="EV35" s="362"/>
      <c r="EW35" s="362"/>
      <c r="EX35" s="362"/>
      <c r="EY35" s="362"/>
      <c r="EZ35" s="362"/>
      <c r="FA35" s="362"/>
      <c r="FB35" s="362"/>
      <c r="FC35" s="362"/>
      <c r="FD35" s="362"/>
      <c r="FE35" s="362"/>
      <c r="FF35" s="362"/>
      <c r="FG35" s="362"/>
      <c r="FH35" s="362"/>
      <c r="FI35" s="362"/>
      <c r="FJ35" s="362"/>
      <c r="FK35" s="362"/>
      <c r="FL35" s="362"/>
      <c r="FM35" s="362"/>
      <c r="FN35" s="362"/>
      <c r="FO35" s="362"/>
      <c r="FP35" s="362"/>
      <c r="FQ35" s="362"/>
      <c r="FR35" s="362"/>
      <c r="FS35" s="362"/>
      <c r="FT35" s="362"/>
      <c r="FU35" s="362"/>
      <c r="FV35" s="362"/>
      <c r="FW35" s="362"/>
      <c r="FX35" s="362"/>
      <c r="FY35" s="362"/>
      <c r="FZ35" s="362"/>
      <c r="GA35" s="362"/>
      <c r="GB35" s="362"/>
      <c r="GC35" s="362"/>
      <c r="GD35" s="362"/>
      <c r="GE35" s="362"/>
      <c r="GF35" s="362"/>
      <c r="GG35" s="362"/>
      <c r="GH35" s="362"/>
      <c r="GI35" s="362"/>
      <c r="GJ35" s="362"/>
      <c r="GK35" s="362"/>
      <c r="GL35" s="362"/>
      <c r="GM35" s="362"/>
      <c r="GN35" s="362"/>
      <c r="GO35" s="362"/>
      <c r="GP35" s="362"/>
      <c r="GQ35" s="362"/>
      <c r="GR35" s="362"/>
      <c r="GS35" s="362"/>
      <c r="GT35" s="362"/>
      <c r="GU35" s="362"/>
      <c r="GV35" s="362"/>
      <c r="GW35" s="362"/>
      <c r="GX35" s="362"/>
      <c r="GY35" s="362"/>
      <c r="GZ35" s="362"/>
      <c r="HA35" s="362"/>
      <c r="HB35" s="362"/>
      <c r="HC35" s="362"/>
      <c r="HD35" s="362"/>
      <c r="HE35" s="362"/>
      <c r="HF35" s="362"/>
      <c r="HG35" s="362"/>
      <c r="HH35" s="362"/>
      <c r="HI35" s="362"/>
      <c r="HJ35" s="362"/>
      <c r="HK35" s="362"/>
      <c r="HL35" s="362"/>
      <c r="HM35" s="362"/>
      <c r="HN35" s="362"/>
      <c r="HO35" s="362"/>
      <c r="HP35" s="362"/>
      <c r="HQ35" s="362"/>
      <c r="HR35" s="362"/>
      <c r="HS35" s="362"/>
      <c r="HT35" s="362"/>
      <c r="HU35" s="362"/>
      <c r="HV35" s="362"/>
      <c r="HW35" s="362"/>
      <c r="HX35" s="362"/>
      <c r="HY35" s="362"/>
      <c r="HZ35" s="362"/>
      <c r="IA35" s="362"/>
      <c r="IB35" s="362"/>
      <c r="IC35" s="362"/>
      <c r="ID35" s="362"/>
      <c r="IE35" s="362"/>
      <c r="IF35" s="362"/>
      <c r="IG35" s="362"/>
      <c r="IH35" s="362"/>
      <c r="II35" s="362"/>
      <c r="IJ35" s="362"/>
      <c r="IK35" s="362"/>
      <c r="IL35" s="362"/>
      <c r="IM35" s="362"/>
      <c r="IN35" s="362"/>
      <c r="IO35" s="362"/>
      <c r="IP35" s="362"/>
      <c r="IQ35" s="362"/>
      <c r="IR35" s="362"/>
      <c r="IS35" s="362"/>
      <c r="IT35" s="362"/>
    </row>
    <row r="36" spans="1:254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093" t="s">
        <v>351</v>
      </c>
      <c r="Q36" s="1094">
        <v>0</v>
      </c>
      <c r="R36" s="1094">
        <v>0</v>
      </c>
      <c r="S36" s="1094">
        <v>0.02</v>
      </c>
      <c r="T36" s="1094">
        <v>0.04</v>
      </c>
      <c r="U36" s="1094">
        <v>0.06</v>
      </c>
      <c r="V36" s="1094">
        <v>0.08</v>
      </c>
      <c r="W36" s="1094">
        <v>0.1</v>
      </c>
      <c r="X36" s="1094">
        <v>0.12</v>
      </c>
      <c r="Y36" s="1094">
        <v>0.14000000000000001</v>
      </c>
      <c r="Z36" s="1094">
        <v>0.16</v>
      </c>
      <c r="AA36" s="1094">
        <v>0.18</v>
      </c>
      <c r="AB36" s="1094">
        <v>0.2</v>
      </c>
      <c r="AC36" s="1094">
        <v>0.22</v>
      </c>
      <c r="AD36" s="1094">
        <v>0.24</v>
      </c>
      <c r="AE36" s="1094">
        <v>0.26</v>
      </c>
      <c r="AF36" s="1094">
        <v>0.28000000000000003</v>
      </c>
      <c r="AG36" s="1094">
        <v>0.3</v>
      </c>
      <c r="AH36" s="1094">
        <v>0.32</v>
      </c>
      <c r="AI36" s="1094">
        <v>0.34</v>
      </c>
      <c r="AJ36" s="1094">
        <v>0.36</v>
      </c>
      <c r="AK36" s="1094">
        <v>0.38</v>
      </c>
      <c r="AL36" s="1094">
        <v>0.4</v>
      </c>
      <c r="AM36" s="1094">
        <v>0.42</v>
      </c>
      <c r="AN36" s="1094">
        <v>0.44</v>
      </c>
      <c r="AO36" s="1094">
        <v>0.46</v>
      </c>
      <c r="AP36" s="1094">
        <v>0.48</v>
      </c>
      <c r="AQ36" s="1094">
        <v>0.5</v>
      </c>
      <c r="AR36" s="1094">
        <v>0.52</v>
      </c>
      <c r="AS36" s="1094">
        <v>0.54</v>
      </c>
      <c r="AT36" s="1094">
        <v>0.56000000000000005</v>
      </c>
      <c r="AU36" s="1094">
        <v>0.57999999999999996</v>
      </c>
      <c r="AV36" s="1094">
        <v>0.6</v>
      </c>
      <c r="AW36" s="1094">
        <v>0.62</v>
      </c>
      <c r="AX36" s="1094">
        <v>0.64</v>
      </c>
      <c r="AY36" s="1095">
        <v>0.66</v>
      </c>
      <c r="AZ36" s="2"/>
      <c r="BA36" s="1076"/>
      <c r="BB36" s="362"/>
      <c r="BC36" s="362"/>
      <c r="BD36" s="362"/>
      <c r="BE36" s="362"/>
      <c r="BF36" s="362"/>
      <c r="BG36" s="362"/>
      <c r="BH36" s="362"/>
      <c r="BI36" s="362"/>
      <c r="BJ36" s="362"/>
      <c r="BK36" s="362"/>
      <c r="BL36" s="362"/>
      <c r="BM36" s="362"/>
      <c r="BN36" s="362"/>
      <c r="BO36" s="362"/>
      <c r="BP36" s="36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362"/>
      <c r="CB36" s="362"/>
      <c r="CC36" s="362"/>
      <c r="CD36" s="362"/>
      <c r="CE36" s="362"/>
      <c r="CF36" s="362"/>
      <c r="CG36" s="362"/>
      <c r="CH36" s="362"/>
      <c r="CI36" s="362"/>
      <c r="CJ36" s="362"/>
      <c r="CK36" s="362"/>
      <c r="CL36" s="362"/>
      <c r="CM36" s="362"/>
      <c r="CN36" s="362"/>
      <c r="CO36" s="362"/>
      <c r="CP36" s="362"/>
      <c r="CQ36" s="362"/>
      <c r="CR36" s="362"/>
      <c r="CS36" s="362"/>
      <c r="CT36" s="362"/>
      <c r="CU36" s="362"/>
      <c r="CV36" s="362"/>
      <c r="CW36" s="362"/>
      <c r="CX36" s="362"/>
      <c r="CY36" s="362"/>
      <c r="CZ36" s="362"/>
      <c r="DA36" s="362"/>
      <c r="DB36" s="362"/>
      <c r="DC36" s="362"/>
      <c r="DD36" s="362"/>
      <c r="DE36" s="362"/>
      <c r="DF36" s="362"/>
      <c r="DG36" s="362"/>
      <c r="DH36" s="362"/>
      <c r="DI36" s="362"/>
      <c r="DJ36" s="362"/>
      <c r="DK36" s="362"/>
      <c r="DL36" s="362"/>
      <c r="DM36" s="362"/>
      <c r="DN36" s="362"/>
      <c r="DO36" s="362"/>
      <c r="DP36" s="362"/>
      <c r="DQ36" s="362"/>
      <c r="DR36" s="362"/>
      <c r="DS36" s="362"/>
      <c r="DT36" s="362"/>
      <c r="DU36" s="362"/>
      <c r="DV36" s="362"/>
      <c r="DW36" s="362"/>
      <c r="DX36" s="362"/>
      <c r="DY36" s="362"/>
      <c r="DZ36" s="362"/>
      <c r="EA36" s="362"/>
      <c r="EB36" s="362"/>
      <c r="EC36" s="362"/>
      <c r="ED36" s="362"/>
      <c r="EE36" s="362"/>
      <c r="EF36" s="362"/>
      <c r="EG36" s="362"/>
      <c r="EH36" s="362"/>
      <c r="EI36" s="362"/>
      <c r="EJ36" s="362"/>
      <c r="EK36" s="362"/>
      <c r="EL36" s="362"/>
      <c r="EM36" s="362"/>
      <c r="EN36" s="362"/>
      <c r="EO36" s="362"/>
      <c r="EP36" s="362"/>
      <c r="EQ36" s="362"/>
      <c r="ER36" s="362"/>
      <c r="ES36" s="362"/>
      <c r="ET36" s="362"/>
      <c r="EU36" s="362"/>
      <c r="EV36" s="362"/>
      <c r="EW36" s="362"/>
      <c r="EX36" s="362"/>
      <c r="EY36" s="362"/>
      <c r="EZ36" s="362"/>
      <c r="FA36" s="362"/>
      <c r="FB36" s="362"/>
      <c r="FC36" s="362"/>
      <c r="FD36" s="362"/>
      <c r="FE36" s="362"/>
      <c r="FF36" s="362"/>
      <c r="FG36" s="362"/>
      <c r="FH36" s="362"/>
      <c r="FI36" s="362"/>
      <c r="FJ36" s="362"/>
      <c r="FK36" s="362"/>
      <c r="FL36" s="362"/>
      <c r="FM36" s="362"/>
      <c r="FN36" s="362"/>
      <c r="FO36" s="362"/>
      <c r="FP36" s="362"/>
      <c r="FQ36" s="362"/>
      <c r="FR36" s="362"/>
      <c r="FS36" s="362"/>
      <c r="FT36" s="362"/>
      <c r="FU36" s="362"/>
      <c r="FV36" s="362"/>
      <c r="FW36" s="362"/>
      <c r="FX36" s="362"/>
      <c r="FY36" s="362"/>
      <c r="FZ36" s="362"/>
      <c r="GA36" s="362"/>
      <c r="GB36" s="362"/>
      <c r="GC36" s="362"/>
      <c r="GD36" s="362"/>
      <c r="GE36" s="362"/>
      <c r="GF36" s="362"/>
      <c r="GG36" s="362"/>
      <c r="GH36" s="362"/>
      <c r="GI36" s="362"/>
      <c r="GJ36" s="362"/>
      <c r="GK36" s="362"/>
      <c r="GL36" s="362"/>
      <c r="GM36" s="362"/>
      <c r="GN36" s="362"/>
      <c r="GO36" s="362"/>
      <c r="GP36" s="362"/>
      <c r="GQ36" s="362"/>
      <c r="GR36" s="362"/>
      <c r="GS36" s="362"/>
      <c r="GT36" s="362"/>
      <c r="GU36" s="362"/>
      <c r="GV36" s="362"/>
      <c r="GW36" s="362"/>
      <c r="GX36" s="362"/>
      <c r="GY36" s="362"/>
      <c r="GZ36" s="362"/>
      <c r="HA36" s="362"/>
      <c r="HB36" s="362"/>
      <c r="HC36" s="362"/>
      <c r="HD36" s="362"/>
      <c r="HE36" s="362"/>
      <c r="HF36" s="362"/>
      <c r="HG36" s="362"/>
      <c r="HH36" s="362"/>
      <c r="HI36" s="362"/>
      <c r="HJ36" s="362"/>
      <c r="HK36" s="362"/>
      <c r="HL36" s="362"/>
      <c r="HM36" s="362"/>
      <c r="HN36" s="362"/>
      <c r="HO36" s="362"/>
      <c r="HP36" s="362"/>
      <c r="HQ36" s="362"/>
      <c r="HR36" s="362"/>
      <c r="HS36" s="362"/>
      <c r="HT36" s="362"/>
      <c r="HU36" s="362"/>
      <c r="HV36" s="362"/>
      <c r="HW36" s="362"/>
      <c r="HX36" s="362"/>
      <c r="HY36" s="362"/>
      <c r="HZ36" s="362"/>
      <c r="IA36" s="362"/>
      <c r="IB36" s="362"/>
      <c r="IC36" s="362"/>
      <c r="ID36" s="362"/>
      <c r="IE36" s="362"/>
      <c r="IF36" s="362"/>
      <c r="IG36" s="362"/>
      <c r="IH36" s="362"/>
      <c r="II36" s="362"/>
      <c r="IJ36" s="362"/>
      <c r="IK36" s="362"/>
      <c r="IL36" s="362"/>
      <c r="IM36" s="362"/>
      <c r="IN36" s="362"/>
      <c r="IO36" s="362"/>
      <c r="IP36" s="362"/>
      <c r="IQ36" s="362"/>
      <c r="IR36" s="362"/>
      <c r="IS36" s="362"/>
      <c r="IT36" s="362"/>
    </row>
    <row r="37" spans="1:254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IF($E$37&lt;=$A$37,IF($F$38&lt;&gt;0,SUM($F$26:$F$35),0),0)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P37" s="362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  <c r="AD37" s="362"/>
      <c r="AE37" s="362"/>
      <c r="AF37" s="362"/>
      <c r="AG37" s="362"/>
      <c r="AH37" s="362"/>
      <c r="AI37" s="362"/>
      <c r="AJ37" s="362"/>
      <c r="AK37" s="362"/>
      <c r="AL37" s="362"/>
      <c r="AM37" s="362"/>
      <c r="AN37" s="362"/>
      <c r="AO37" s="362"/>
      <c r="AP37" s="362"/>
      <c r="AQ37" s="362"/>
      <c r="AR37" s="362"/>
      <c r="AS37" s="362"/>
      <c r="AT37" s="362"/>
      <c r="AU37" s="362"/>
      <c r="AV37" s="362"/>
      <c r="AW37" s="362"/>
      <c r="AX37" s="362"/>
      <c r="AY37" s="362"/>
      <c r="AZ37" s="2"/>
      <c r="BA37" s="1076"/>
      <c r="BB37" s="362"/>
      <c r="BC37" s="362"/>
      <c r="BD37" s="362"/>
      <c r="BE37" s="362"/>
      <c r="BF37" s="362"/>
      <c r="BG37" s="362"/>
      <c r="BH37" s="362"/>
      <c r="BI37" s="362"/>
      <c r="BJ37" s="362"/>
      <c r="BK37" s="362"/>
      <c r="BL37" s="362"/>
      <c r="BM37" s="362"/>
      <c r="BN37" s="362"/>
      <c r="BO37" s="362"/>
      <c r="BP37" s="362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62"/>
      <c r="CB37" s="362"/>
      <c r="CC37" s="362"/>
      <c r="CD37" s="362"/>
      <c r="CE37" s="362"/>
      <c r="CF37" s="362"/>
      <c r="CG37" s="362"/>
      <c r="CH37" s="362"/>
      <c r="CI37" s="362"/>
      <c r="CJ37" s="362"/>
      <c r="CK37" s="362"/>
      <c r="CL37" s="362"/>
      <c r="CM37" s="362"/>
      <c r="CN37" s="362"/>
      <c r="CO37" s="362"/>
      <c r="CP37" s="362"/>
      <c r="CQ37" s="362"/>
      <c r="CR37" s="362"/>
      <c r="CS37" s="362"/>
      <c r="CT37" s="362"/>
      <c r="CU37" s="362"/>
      <c r="CV37" s="362"/>
      <c r="CW37" s="362"/>
      <c r="CX37" s="362"/>
      <c r="CY37" s="362"/>
      <c r="CZ37" s="362"/>
      <c r="DA37" s="362"/>
      <c r="DB37" s="362"/>
      <c r="DC37" s="362"/>
      <c r="DD37" s="362"/>
      <c r="DE37" s="362"/>
      <c r="DF37" s="362"/>
      <c r="DG37" s="362"/>
      <c r="DH37" s="362"/>
      <c r="DI37" s="362"/>
      <c r="DJ37" s="362"/>
      <c r="DK37" s="362"/>
      <c r="DL37" s="362"/>
      <c r="DM37" s="362"/>
      <c r="DN37" s="362"/>
      <c r="DO37" s="362"/>
      <c r="DP37" s="362"/>
      <c r="DQ37" s="362"/>
      <c r="DR37" s="362"/>
      <c r="DS37" s="362"/>
      <c r="DT37" s="362"/>
      <c r="DU37" s="362"/>
      <c r="DV37" s="362"/>
      <c r="DW37" s="362"/>
      <c r="DX37" s="362"/>
      <c r="DY37" s="362"/>
      <c r="DZ37" s="362"/>
      <c r="EA37" s="362"/>
      <c r="EB37" s="362"/>
      <c r="EC37" s="362"/>
      <c r="ED37" s="362"/>
      <c r="EE37" s="362"/>
      <c r="EF37" s="362"/>
      <c r="EG37" s="362"/>
      <c r="EH37" s="362"/>
      <c r="EI37" s="362"/>
      <c r="EJ37" s="362"/>
      <c r="EK37" s="362"/>
      <c r="EL37" s="362"/>
      <c r="EM37" s="362"/>
      <c r="EN37" s="362"/>
      <c r="EO37" s="362"/>
      <c r="EP37" s="362"/>
      <c r="EQ37" s="362"/>
      <c r="ER37" s="362"/>
      <c r="ES37" s="362"/>
      <c r="ET37" s="362"/>
      <c r="EU37" s="362"/>
      <c r="EV37" s="362"/>
      <c r="EW37" s="362"/>
      <c r="EX37" s="362"/>
      <c r="EY37" s="362"/>
      <c r="EZ37" s="362"/>
      <c r="FA37" s="362"/>
      <c r="FB37" s="362"/>
      <c r="FC37" s="362"/>
      <c r="FD37" s="362"/>
      <c r="FE37" s="362"/>
      <c r="FF37" s="362"/>
      <c r="FG37" s="362"/>
      <c r="FH37" s="362"/>
      <c r="FI37" s="362"/>
      <c r="FJ37" s="362"/>
      <c r="FK37" s="362"/>
      <c r="FL37" s="362"/>
      <c r="FM37" s="362"/>
      <c r="FN37" s="362"/>
      <c r="FO37" s="362"/>
      <c r="FP37" s="362"/>
      <c r="FQ37" s="362"/>
      <c r="FR37" s="362"/>
      <c r="FS37" s="362"/>
      <c r="FT37" s="362"/>
      <c r="FU37" s="362"/>
      <c r="FV37" s="362"/>
      <c r="FW37" s="362"/>
      <c r="FX37" s="362"/>
      <c r="FY37" s="362"/>
      <c r="FZ37" s="362"/>
      <c r="GA37" s="362"/>
      <c r="GB37" s="362"/>
      <c r="GC37" s="362"/>
      <c r="GD37" s="362"/>
      <c r="GE37" s="362"/>
      <c r="GF37" s="362"/>
      <c r="GG37" s="362"/>
      <c r="GH37" s="362"/>
      <c r="GI37" s="362"/>
      <c r="GJ37" s="362"/>
      <c r="GK37" s="362"/>
      <c r="GL37" s="362"/>
      <c r="GM37" s="362"/>
      <c r="GN37" s="362"/>
      <c r="GO37" s="362"/>
      <c r="GP37" s="362"/>
      <c r="GQ37" s="362"/>
      <c r="GR37" s="362"/>
      <c r="GS37" s="362"/>
      <c r="GT37" s="362"/>
      <c r="GU37" s="362"/>
      <c r="GV37" s="362"/>
      <c r="GW37" s="362"/>
      <c r="GX37" s="362"/>
      <c r="GY37" s="362"/>
      <c r="GZ37" s="362"/>
      <c r="HA37" s="362"/>
      <c r="HB37" s="362"/>
      <c r="HC37" s="362"/>
      <c r="HD37" s="362"/>
      <c r="HE37" s="362"/>
      <c r="HF37" s="362"/>
      <c r="HG37" s="362"/>
      <c r="HH37" s="362"/>
      <c r="HI37" s="362"/>
      <c r="HJ37" s="362"/>
      <c r="HK37" s="362"/>
      <c r="HL37" s="362"/>
      <c r="HM37" s="362"/>
      <c r="HN37" s="362"/>
      <c r="HO37" s="362"/>
      <c r="HP37" s="362"/>
      <c r="HQ37" s="362"/>
      <c r="HR37" s="362"/>
      <c r="HS37" s="362"/>
      <c r="HT37" s="362"/>
      <c r="HU37" s="362"/>
      <c r="HV37" s="362"/>
      <c r="HW37" s="362"/>
      <c r="HX37" s="362"/>
      <c r="HY37" s="362"/>
      <c r="HZ37" s="362"/>
      <c r="IA37" s="362"/>
      <c r="IB37" s="362"/>
      <c r="IC37" s="362"/>
      <c r="ID37" s="362"/>
      <c r="IE37" s="362"/>
      <c r="IF37" s="362"/>
      <c r="IG37" s="362"/>
      <c r="IH37" s="362"/>
      <c r="II37" s="362"/>
      <c r="IJ37" s="362"/>
      <c r="IK37" s="362"/>
      <c r="IL37" s="362"/>
      <c r="IM37" s="362"/>
      <c r="IN37" s="362"/>
      <c r="IO37" s="362"/>
      <c r="IP37" s="362"/>
      <c r="IQ37" s="362"/>
      <c r="IR37" s="362"/>
      <c r="IS37" s="362"/>
      <c r="IT37" s="362"/>
    </row>
    <row r="38" spans="1:254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083" t="s">
        <v>344</v>
      </c>
      <c r="Q38" s="1100" t="s">
        <v>596</v>
      </c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101"/>
      <c r="AC38" s="362"/>
      <c r="AD38" s="362"/>
      <c r="AE38" s="362"/>
      <c r="AF38" s="362"/>
      <c r="AG38" s="362"/>
      <c r="AH38" s="362"/>
      <c r="AI38" s="362"/>
      <c r="AJ38" s="362"/>
      <c r="AK38" s="362"/>
      <c r="AL38" s="362"/>
      <c r="AM38" s="362"/>
      <c r="AN38" s="362"/>
      <c r="AO38" s="362"/>
      <c r="AP38" s="362"/>
      <c r="AQ38" s="362"/>
      <c r="AR38" s="362"/>
      <c r="AS38" s="362"/>
      <c r="AT38" s="362"/>
      <c r="AU38" s="362"/>
      <c r="AV38" s="362"/>
      <c r="AW38" s="362"/>
      <c r="AX38" s="362"/>
      <c r="AY38" s="362"/>
      <c r="AZ38" s="2"/>
      <c r="BA38" s="1076"/>
      <c r="BB38" s="362"/>
      <c r="BC38" s="362"/>
      <c r="BD38" s="362"/>
      <c r="BE38" s="362"/>
      <c r="BF38" s="362"/>
      <c r="BG38" s="362"/>
      <c r="BH38" s="362"/>
      <c r="BI38" s="362"/>
      <c r="BJ38" s="362"/>
      <c r="BK38" s="362"/>
      <c r="BL38" s="362"/>
      <c r="BM38" s="362"/>
      <c r="BN38" s="362"/>
      <c r="BO38" s="362"/>
      <c r="BP38" s="36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362"/>
      <c r="CB38" s="362"/>
      <c r="CC38" s="362"/>
      <c r="CD38" s="362"/>
      <c r="CE38" s="362"/>
      <c r="CF38" s="362"/>
      <c r="CG38" s="362"/>
      <c r="CH38" s="362"/>
      <c r="CI38" s="362"/>
      <c r="CJ38" s="362"/>
      <c r="CK38" s="362"/>
      <c r="CL38" s="362"/>
      <c r="CM38" s="362"/>
      <c r="CN38" s="362"/>
      <c r="CO38" s="362"/>
      <c r="CP38" s="362"/>
      <c r="CQ38" s="362"/>
      <c r="CR38" s="362"/>
      <c r="CS38" s="362"/>
      <c r="CT38" s="362"/>
      <c r="CU38" s="362"/>
      <c r="CV38" s="362"/>
      <c r="CW38" s="362"/>
      <c r="CX38" s="362"/>
      <c r="CY38" s="362"/>
      <c r="CZ38" s="362"/>
      <c r="DA38" s="362"/>
      <c r="DB38" s="362"/>
      <c r="DC38" s="362"/>
      <c r="DD38" s="362"/>
      <c r="DE38" s="362"/>
      <c r="DF38" s="362"/>
      <c r="DG38" s="362"/>
      <c r="DH38" s="362"/>
      <c r="DI38" s="362"/>
      <c r="DJ38" s="362"/>
      <c r="DK38" s="362"/>
      <c r="DL38" s="362"/>
      <c r="DM38" s="362"/>
      <c r="DN38" s="362"/>
      <c r="DO38" s="362"/>
      <c r="DP38" s="362"/>
      <c r="DQ38" s="362"/>
      <c r="DR38" s="362"/>
      <c r="DS38" s="362"/>
      <c r="DT38" s="362"/>
      <c r="DU38" s="362"/>
      <c r="DV38" s="362"/>
      <c r="DW38" s="362"/>
      <c r="DX38" s="362"/>
      <c r="DY38" s="362"/>
      <c r="DZ38" s="362"/>
      <c r="EA38" s="362"/>
      <c r="EB38" s="362"/>
      <c r="EC38" s="362"/>
      <c r="ED38" s="362"/>
      <c r="EE38" s="362"/>
      <c r="EF38" s="362"/>
      <c r="EG38" s="362"/>
      <c r="EH38" s="362"/>
      <c r="EI38" s="362"/>
      <c r="EJ38" s="362"/>
      <c r="EK38" s="362"/>
      <c r="EL38" s="362"/>
      <c r="EM38" s="362"/>
      <c r="EN38" s="362"/>
      <c r="EO38" s="362"/>
      <c r="EP38" s="362"/>
      <c r="EQ38" s="362"/>
      <c r="ER38" s="362"/>
      <c r="ES38" s="362"/>
      <c r="ET38" s="362"/>
      <c r="EU38" s="362"/>
      <c r="EV38" s="362"/>
      <c r="EW38" s="362"/>
      <c r="EX38" s="362"/>
      <c r="EY38" s="362"/>
      <c r="EZ38" s="362"/>
      <c r="FA38" s="362"/>
      <c r="FB38" s="362"/>
      <c r="FC38" s="362"/>
      <c r="FD38" s="362"/>
      <c r="FE38" s="362"/>
      <c r="FF38" s="362"/>
      <c r="FG38" s="362"/>
      <c r="FH38" s="362"/>
      <c r="FI38" s="362"/>
      <c r="FJ38" s="362"/>
      <c r="FK38" s="362"/>
      <c r="FL38" s="362"/>
      <c r="FM38" s="362"/>
      <c r="FN38" s="362"/>
      <c r="FO38" s="362"/>
      <c r="FP38" s="362"/>
      <c r="FQ38" s="362"/>
      <c r="FR38" s="362"/>
      <c r="FS38" s="362"/>
      <c r="FT38" s="362"/>
      <c r="FU38" s="362"/>
      <c r="FV38" s="362"/>
      <c r="FW38" s="362"/>
      <c r="FX38" s="362"/>
      <c r="FY38" s="362"/>
      <c r="FZ38" s="362"/>
      <c r="GA38" s="362"/>
      <c r="GB38" s="362"/>
      <c r="GC38" s="362"/>
      <c r="GD38" s="362"/>
      <c r="GE38" s="362"/>
      <c r="GF38" s="362"/>
      <c r="GG38" s="362"/>
      <c r="GH38" s="362"/>
      <c r="GI38" s="362"/>
      <c r="GJ38" s="362"/>
      <c r="GK38" s="362"/>
      <c r="GL38" s="362"/>
      <c r="GM38" s="362"/>
      <c r="GN38" s="362"/>
      <c r="GO38" s="362"/>
      <c r="GP38" s="362"/>
      <c r="GQ38" s="362"/>
      <c r="GR38" s="362"/>
      <c r="GS38" s="362"/>
      <c r="GT38" s="362"/>
      <c r="GU38" s="362"/>
      <c r="GV38" s="362"/>
      <c r="GW38" s="362"/>
      <c r="GX38" s="362"/>
      <c r="GY38" s="362"/>
      <c r="GZ38" s="362"/>
      <c r="HA38" s="362"/>
      <c r="HB38" s="362"/>
      <c r="HC38" s="362"/>
      <c r="HD38" s="362"/>
      <c r="HE38" s="362"/>
      <c r="HF38" s="362"/>
      <c r="HG38" s="362"/>
      <c r="HH38" s="362"/>
      <c r="HI38" s="362"/>
      <c r="HJ38" s="362"/>
      <c r="HK38" s="362"/>
      <c r="HL38" s="362"/>
      <c r="HM38" s="362"/>
      <c r="HN38" s="362"/>
      <c r="HO38" s="362"/>
      <c r="HP38" s="362"/>
      <c r="HQ38" s="362"/>
      <c r="HR38" s="362"/>
      <c r="HS38" s="362"/>
      <c r="HT38" s="362"/>
      <c r="HU38" s="362"/>
      <c r="HV38" s="362"/>
      <c r="HW38" s="362"/>
      <c r="HX38" s="362"/>
      <c r="HY38" s="362"/>
      <c r="HZ38" s="362"/>
      <c r="IA38" s="362"/>
      <c r="IB38" s="362"/>
      <c r="IC38" s="362"/>
      <c r="ID38" s="362"/>
      <c r="IE38" s="362"/>
      <c r="IF38" s="362"/>
      <c r="IG38" s="362"/>
      <c r="IH38" s="362"/>
      <c r="II38" s="362"/>
      <c r="IJ38" s="362"/>
      <c r="IK38" s="362"/>
      <c r="IL38" s="362"/>
      <c r="IM38" s="362"/>
      <c r="IN38" s="362"/>
      <c r="IO38" s="362"/>
      <c r="IP38" s="362"/>
      <c r="IQ38" s="362"/>
      <c r="IR38" s="362"/>
      <c r="IS38" s="362"/>
      <c r="IT38" s="362"/>
    </row>
    <row r="39" spans="1:254" ht="6" customHeight="1" thickBot="1" x14ac:dyDescent="0.2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603"/>
      <c r="O39" s="391"/>
      <c r="P39" s="1089" t="s">
        <v>694</v>
      </c>
      <c r="Q39" s="2">
        <v>3</v>
      </c>
      <c r="R39" s="2">
        <v>6</v>
      </c>
      <c r="S39" s="2">
        <v>9</v>
      </c>
      <c r="T39" s="2">
        <v>12</v>
      </c>
      <c r="U39" s="2">
        <v>15</v>
      </c>
      <c r="V39" s="2">
        <v>18</v>
      </c>
      <c r="W39" s="2">
        <v>21</v>
      </c>
      <c r="X39" s="2">
        <v>24</v>
      </c>
      <c r="Y39" s="2">
        <v>27</v>
      </c>
      <c r="Z39" s="2">
        <v>30</v>
      </c>
      <c r="AA39" s="2">
        <v>33</v>
      </c>
      <c r="AB39" s="1102">
        <v>36</v>
      </c>
      <c r="AC39" s="362"/>
      <c r="AD39" s="362"/>
      <c r="AE39" s="362"/>
      <c r="AF39" s="362"/>
      <c r="AG39" s="1096"/>
      <c r="AH39" s="362"/>
      <c r="AI39" s="362"/>
      <c r="AJ39" s="362"/>
      <c r="AK39" s="362"/>
      <c r="AL39" s="362"/>
      <c r="AM39" s="362"/>
      <c r="AN39" s="362"/>
      <c r="AO39" s="362"/>
      <c r="AP39" s="362"/>
      <c r="AQ39" s="362"/>
      <c r="AR39" s="362"/>
      <c r="AS39" s="362"/>
      <c r="AT39" s="362"/>
      <c r="AU39" s="362"/>
      <c r="AV39" s="362"/>
      <c r="AW39" s="362"/>
      <c r="AX39" s="2"/>
      <c r="AY39" s="2"/>
      <c r="AZ39" s="2"/>
      <c r="BA39" s="1076"/>
      <c r="BB39" s="362"/>
      <c r="BC39" s="362"/>
      <c r="BD39" s="362"/>
      <c r="BE39" s="362"/>
      <c r="BF39" s="362"/>
      <c r="BG39" s="362"/>
      <c r="BH39" s="362"/>
      <c r="BI39" s="362"/>
      <c r="BJ39" s="362"/>
      <c r="BK39" s="362"/>
      <c r="BL39" s="362"/>
      <c r="BM39" s="362"/>
      <c r="BN39" s="362"/>
      <c r="BO39" s="362"/>
      <c r="BP39" s="362"/>
      <c r="BQ39" s="362"/>
      <c r="BR39" s="362"/>
      <c r="BS39" s="362"/>
      <c r="BT39" s="362"/>
      <c r="BU39" s="362"/>
      <c r="BV39" s="362"/>
      <c r="BW39" s="362"/>
      <c r="BX39" s="362"/>
      <c r="BY39" s="362"/>
      <c r="BZ39" s="362"/>
      <c r="CA39" s="362"/>
      <c r="CB39" s="362"/>
      <c r="CC39" s="362"/>
      <c r="CD39" s="362"/>
      <c r="CE39" s="362"/>
      <c r="CF39" s="362"/>
      <c r="CG39" s="362"/>
      <c r="CH39" s="362"/>
      <c r="CI39" s="362"/>
      <c r="CJ39" s="362"/>
      <c r="CK39" s="362"/>
      <c r="CL39" s="362"/>
      <c r="CM39" s="362"/>
      <c r="CN39" s="362"/>
      <c r="CO39" s="362"/>
      <c r="CP39" s="362"/>
      <c r="CQ39" s="362"/>
      <c r="CR39" s="362"/>
      <c r="CS39" s="362"/>
      <c r="CT39" s="362"/>
      <c r="CU39" s="362"/>
      <c r="CV39" s="362"/>
      <c r="CW39" s="362"/>
      <c r="CX39" s="362"/>
      <c r="CY39" s="362"/>
      <c r="CZ39" s="362"/>
      <c r="DA39" s="362"/>
      <c r="DB39" s="362"/>
      <c r="DC39" s="362"/>
      <c r="DD39" s="362"/>
      <c r="DE39" s="362"/>
      <c r="DF39" s="362"/>
      <c r="DG39" s="362"/>
      <c r="DH39" s="362"/>
      <c r="DI39" s="362"/>
      <c r="DJ39" s="362"/>
      <c r="DK39" s="362"/>
      <c r="DL39" s="362"/>
      <c r="DM39" s="362"/>
      <c r="DN39" s="362"/>
      <c r="DO39" s="362"/>
      <c r="DP39" s="362"/>
      <c r="DQ39" s="362"/>
      <c r="DR39" s="362"/>
      <c r="DS39" s="362"/>
      <c r="DT39" s="362"/>
      <c r="DU39" s="362"/>
      <c r="DV39" s="362"/>
      <c r="DW39" s="362"/>
      <c r="DX39" s="362"/>
      <c r="DY39" s="362"/>
      <c r="DZ39" s="362"/>
      <c r="EA39" s="362"/>
      <c r="EB39" s="362"/>
      <c r="EC39" s="362"/>
      <c r="ED39" s="362"/>
      <c r="EE39" s="362"/>
      <c r="EF39" s="362"/>
      <c r="EG39" s="362"/>
      <c r="EH39" s="362"/>
      <c r="EI39" s="362"/>
      <c r="EJ39" s="362"/>
      <c r="EK39" s="362"/>
      <c r="EL39" s="362"/>
      <c r="EM39" s="362"/>
      <c r="EN39" s="362"/>
      <c r="EO39" s="362"/>
      <c r="EP39" s="362"/>
      <c r="EQ39" s="362"/>
      <c r="ER39" s="362"/>
      <c r="ES39" s="362"/>
      <c r="ET39" s="362"/>
      <c r="EU39" s="362"/>
      <c r="EV39" s="362"/>
      <c r="EW39" s="362"/>
      <c r="EX39" s="362"/>
      <c r="EY39" s="362"/>
      <c r="EZ39" s="362"/>
      <c r="FA39" s="362"/>
      <c r="FB39" s="362"/>
      <c r="FC39" s="362"/>
      <c r="FD39" s="362"/>
      <c r="FE39" s="362"/>
      <c r="FF39" s="362"/>
      <c r="FG39" s="362"/>
      <c r="FH39" s="362"/>
      <c r="FI39" s="362"/>
      <c r="FJ39" s="362"/>
      <c r="FK39" s="362"/>
      <c r="FL39" s="362"/>
      <c r="FM39" s="362"/>
      <c r="FN39" s="362"/>
      <c r="FO39" s="362"/>
      <c r="FP39" s="362"/>
      <c r="FQ39" s="362"/>
      <c r="FR39" s="362"/>
      <c r="FS39" s="362"/>
      <c r="FT39" s="362"/>
      <c r="FU39" s="362"/>
      <c r="FV39" s="362"/>
      <c r="FW39" s="362"/>
      <c r="FX39" s="362"/>
      <c r="FY39" s="362"/>
      <c r="FZ39" s="362"/>
      <c r="GA39" s="362"/>
      <c r="GB39" s="362"/>
      <c r="GC39" s="362"/>
      <c r="GD39" s="362"/>
      <c r="GE39" s="362"/>
      <c r="GF39" s="362"/>
      <c r="GG39" s="362"/>
      <c r="GH39" s="362"/>
      <c r="GI39" s="362"/>
      <c r="GJ39" s="362"/>
      <c r="GK39" s="362"/>
      <c r="GL39" s="362"/>
      <c r="GM39" s="362"/>
      <c r="GN39" s="362"/>
      <c r="GO39" s="362"/>
      <c r="GP39" s="362"/>
      <c r="GQ39" s="362"/>
      <c r="GR39" s="362"/>
      <c r="GS39" s="362"/>
      <c r="GT39" s="362"/>
      <c r="GU39" s="362"/>
      <c r="GV39" s="362"/>
      <c r="GW39" s="362"/>
      <c r="GX39" s="362"/>
      <c r="GY39" s="362"/>
      <c r="GZ39" s="362"/>
      <c r="HA39" s="362"/>
      <c r="HB39" s="362"/>
      <c r="HC39" s="362"/>
      <c r="HD39" s="362"/>
      <c r="HE39" s="362"/>
      <c r="HF39" s="362"/>
      <c r="HG39" s="362"/>
      <c r="HH39" s="362"/>
      <c r="HI39" s="362"/>
      <c r="HJ39" s="362"/>
      <c r="HK39" s="362"/>
      <c r="HL39" s="362"/>
      <c r="HM39" s="362"/>
      <c r="HN39" s="362"/>
      <c r="HO39" s="362"/>
      <c r="HP39" s="362"/>
      <c r="HQ39" s="362"/>
      <c r="HR39" s="362"/>
      <c r="HS39" s="362"/>
      <c r="HT39" s="362"/>
      <c r="HU39" s="362"/>
      <c r="HV39" s="362"/>
      <c r="HW39" s="362"/>
      <c r="HX39" s="362"/>
      <c r="HY39" s="362"/>
      <c r="HZ39" s="362"/>
      <c r="IA39" s="362"/>
      <c r="IB39" s="362"/>
      <c r="IC39" s="362"/>
      <c r="ID39" s="362"/>
      <c r="IE39" s="362"/>
      <c r="IF39" s="362"/>
      <c r="IG39" s="362"/>
      <c r="IH39" s="362"/>
      <c r="II39" s="362"/>
      <c r="IJ39" s="362"/>
      <c r="IK39" s="362"/>
      <c r="IL39" s="362"/>
      <c r="IM39" s="362"/>
      <c r="IN39" s="362"/>
      <c r="IO39" s="362"/>
      <c r="IP39" s="362"/>
      <c r="IQ39" s="362"/>
      <c r="IR39" s="362"/>
      <c r="IS39" s="362"/>
      <c r="IT39" s="362"/>
    </row>
    <row r="40" spans="1:254" ht="15" thickBot="1" x14ac:dyDescent="0.2">
      <c r="A40" s="295"/>
      <c r="B40" s="1948" t="s">
        <v>492</v>
      </c>
      <c r="C40" s="1949"/>
      <c r="D40" s="1949"/>
      <c r="E40" s="1949"/>
      <c r="F40" s="1949"/>
      <c r="G40" s="1949"/>
      <c r="H40" s="1949"/>
      <c r="I40" s="1949"/>
      <c r="J40" s="1949"/>
      <c r="K40" s="1949"/>
      <c r="L40" s="1949"/>
      <c r="M40" s="1949"/>
      <c r="N40" s="1950"/>
      <c r="O40" s="391"/>
      <c r="P40" s="1093" t="s">
        <v>351</v>
      </c>
      <c r="Q40" s="1094">
        <v>0.1</v>
      </c>
      <c r="R40" s="1094">
        <v>0.15</v>
      </c>
      <c r="S40" s="1094">
        <v>0.2</v>
      </c>
      <c r="T40" s="1094">
        <v>0.25</v>
      </c>
      <c r="U40" s="1094">
        <v>0.3</v>
      </c>
      <c r="V40" s="1094">
        <v>0.35</v>
      </c>
      <c r="W40" s="1094">
        <v>0.4</v>
      </c>
      <c r="X40" s="1094">
        <v>0.45</v>
      </c>
      <c r="Y40" s="1094">
        <v>0.5</v>
      </c>
      <c r="Z40" s="1094">
        <v>0.55000000000000004</v>
      </c>
      <c r="AA40" s="1094">
        <v>0.6</v>
      </c>
      <c r="AB40" s="1103">
        <v>0.65</v>
      </c>
      <c r="AC40" s="1090"/>
      <c r="AD40" s="1075"/>
      <c r="AE40" s="1075"/>
      <c r="AF40" s="362"/>
      <c r="AG40" s="362"/>
      <c r="AH40" s="362"/>
      <c r="AI40" s="362"/>
      <c r="AJ40" s="362"/>
      <c r="AK40" s="362"/>
      <c r="AL40" s="362"/>
      <c r="AM40" s="362"/>
      <c r="AN40" s="362"/>
      <c r="AO40" s="362"/>
      <c r="AP40" s="362"/>
      <c r="AQ40" s="362"/>
      <c r="AR40" s="362"/>
      <c r="AS40" s="362"/>
      <c r="AT40" s="362"/>
      <c r="AU40" s="362"/>
      <c r="AV40" s="362"/>
      <c r="AW40" s="362"/>
      <c r="AX40" s="2"/>
      <c r="AY40" s="2"/>
      <c r="AZ40" s="2"/>
      <c r="BA40" s="1076"/>
      <c r="BB40" s="362"/>
      <c r="BC40" s="362"/>
      <c r="BD40" s="362"/>
      <c r="BE40" s="362"/>
      <c r="BF40" s="362"/>
      <c r="BG40" s="362"/>
      <c r="BH40" s="362"/>
      <c r="BI40" s="362"/>
      <c r="BJ40" s="362"/>
      <c r="BK40" s="362"/>
      <c r="BL40" s="362"/>
      <c r="BM40" s="362"/>
      <c r="BN40" s="362"/>
      <c r="BO40" s="362"/>
      <c r="BP40" s="36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362"/>
      <c r="CB40" s="362"/>
      <c r="CC40" s="362"/>
      <c r="CD40" s="362"/>
      <c r="CE40" s="362"/>
      <c r="CF40" s="362"/>
      <c r="CG40" s="362"/>
      <c r="CH40" s="362"/>
      <c r="CI40" s="362"/>
      <c r="CJ40" s="362"/>
      <c r="CK40" s="362"/>
      <c r="CL40" s="362"/>
      <c r="CM40" s="362"/>
      <c r="CN40" s="362"/>
      <c r="CO40" s="362"/>
      <c r="CP40" s="362"/>
      <c r="CQ40" s="362"/>
      <c r="CR40" s="362"/>
      <c r="CS40" s="362"/>
      <c r="CT40" s="362"/>
      <c r="CU40" s="362"/>
      <c r="CV40" s="362"/>
      <c r="CW40" s="362"/>
      <c r="CX40" s="362"/>
      <c r="CY40" s="362"/>
      <c r="CZ40" s="362"/>
      <c r="DA40" s="362"/>
      <c r="DB40" s="362"/>
      <c r="DC40" s="362"/>
      <c r="DD40" s="362"/>
      <c r="DE40" s="362"/>
      <c r="DF40" s="362"/>
      <c r="DG40" s="362"/>
      <c r="DH40" s="362"/>
      <c r="DI40" s="362"/>
      <c r="DJ40" s="362"/>
      <c r="DK40" s="362"/>
      <c r="DL40" s="362"/>
      <c r="DM40" s="362"/>
      <c r="DN40" s="362"/>
      <c r="DO40" s="362"/>
      <c r="DP40" s="362"/>
      <c r="DQ40" s="362"/>
      <c r="DR40" s="362"/>
      <c r="DS40" s="362"/>
      <c r="DT40" s="362"/>
      <c r="DU40" s="362"/>
      <c r="DV40" s="362"/>
      <c r="DW40" s="362"/>
      <c r="DX40" s="362"/>
      <c r="DY40" s="362"/>
      <c r="DZ40" s="362"/>
      <c r="EA40" s="362"/>
      <c r="EB40" s="362"/>
      <c r="EC40" s="362"/>
      <c r="ED40" s="362"/>
      <c r="EE40" s="362"/>
      <c r="EF40" s="362"/>
      <c r="EG40" s="362"/>
      <c r="EH40" s="362"/>
      <c r="EI40" s="362"/>
      <c r="EJ40" s="362"/>
      <c r="EK40" s="362"/>
      <c r="EL40" s="362"/>
      <c r="EM40" s="362"/>
      <c r="EN40" s="362"/>
      <c r="EO40" s="362"/>
      <c r="EP40" s="362"/>
      <c r="EQ40" s="362"/>
      <c r="ER40" s="362"/>
      <c r="ES40" s="362"/>
      <c r="ET40" s="362"/>
      <c r="EU40" s="362"/>
      <c r="EV40" s="362"/>
      <c r="EW40" s="362"/>
      <c r="EX40" s="362"/>
      <c r="EY40" s="362"/>
      <c r="EZ40" s="362"/>
      <c r="FA40" s="362"/>
      <c r="FB40" s="362"/>
      <c r="FC40" s="362"/>
      <c r="FD40" s="362"/>
      <c r="FE40" s="362"/>
      <c r="FF40" s="362"/>
      <c r="FG40" s="362"/>
      <c r="FH40" s="362"/>
      <c r="FI40" s="362"/>
      <c r="FJ40" s="362"/>
      <c r="FK40" s="362"/>
      <c r="FL40" s="362"/>
      <c r="FM40" s="362"/>
      <c r="FN40" s="362"/>
      <c r="FO40" s="362"/>
      <c r="FP40" s="362"/>
      <c r="FQ40" s="362"/>
      <c r="FR40" s="362"/>
      <c r="FS40" s="362"/>
      <c r="FT40" s="362"/>
      <c r="FU40" s="362"/>
      <c r="FV40" s="362"/>
      <c r="FW40" s="362"/>
      <c r="FX40" s="362"/>
      <c r="FY40" s="362"/>
      <c r="FZ40" s="362"/>
      <c r="GA40" s="362"/>
      <c r="GB40" s="362"/>
      <c r="GC40" s="362"/>
      <c r="GD40" s="362"/>
      <c r="GE40" s="362"/>
      <c r="GF40" s="362"/>
      <c r="GG40" s="362"/>
      <c r="GH40" s="362"/>
      <c r="GI40" s="362"/>
      <c r="GJ40" s="362"/>
      <c r="GK40" s="362"/>
      <c r="GL40" s="362"/>
      <c r="GM40" s="362"/>
      <c r="GN40" s="362"/>
      <c r="GO40" s="362"/>
      <c r="GP40" s="362"/>
      <c r="GQ40" s="362"/>
      <c r="GR40" s="362"/>
      <c r="GS40" s="362"/>
      <c r="GT40" s="362"/>
      <c r="GU40" s="362"/>
      <c r="GV40" s="362"/>
      <c r="GW40" s="362"/>
      <c r="GX40" s="362"/>
      <c r="GY40" s="362"/>
      <c r="GZ40" s="362"/>
      <c r="HA40" s="362"/>
      <c r="HB40" s="362"/>
      <c r="HC40" s="362"/>
      <c r="HD40" s="362"/>
      <c r="HE40" s="362"/>
      <c r="HF40" s="362"/>
      <c r="HG40" s="362"/>
      <c r="HH40" s="362"/>
      <c r="HI40" s="362"/>
      <c r="HJ40" s="362"/>
      <c r="HK40" s="362"/>
      <c r="HL40" s="362"/>
      <c r="HM40" s="362"/>
      <c r="HN40" s="362"/>
      <c r="HO40" s="362"/>
      <c r="HP40" s="362"/>
      <c r="HQ40" s="362"/>
      <c r="HR40" s="362"/>
      <c r="HS40" s="362"/>
      <c r="HT40" s="362"/>
      <c r="HU40" s="362"/>
      <c r="HV40" s="362"/>
      <c r="HW40" s="362"/>
      <c r="HX40" s="362"/>
      <c r="HY40" s="362"/>
      <c r="HZ40" s="362"/>
      <c r="IA40" s="362"/>
      <c r="IB40" s="362"/>
      <c r="IC40" s="362"/>
      <c r="ID40" s="362"/>
      <c r="IE40" s="362"/>
      <c r="IF40" s="362"/>
      <c r="IG40" s="362"/>
      <c r="IH40" s="362"/>
      <c r="II40" s="362"/>
      <c r="IJ40" s="362"/>
      <c r="IK40" s="362"/>
      <c r="IL40" s="362"/>
      <c r="IM40" s="362"/>
      <c r="IN40" s="362"/>
      <c r="IO40" s="362"/>
      <c r="IP40" s="362"/>
      <c r="IQ40" s="362"/>
      <c r="IR40" s="362"/>
      <c r="IS40" s="362"/>
      <c r="IT40" s="362"/>
    </row>
    <row r="41" spans="1:254" x14ac:dyDescent="0.15">
      <c r="A41" s="295"/>
      <c r="B41" s="181" t="s">
        <v>493</v>
      </c>
      <c r="C41" s="178">
        <f>IF(E41&gt;0,IF(E2=B86,E41,IF(E2=B87,E41,IF(E2=B93,E41,))),0)</f>
        <v>12775</v>
      </c>
      <c r="D41" s="178" t="b">
        <f>IF(E41&gt;0,IF(K2=O5,IF(E2=B94,E41,0)),0)</f>
        <v>0</v>
      </c>
      <c r="E41" s="179">
        <f>IF($E$2=B93,IF($G$10="X",(25*365)-$F$37,(30*365)-$F$37),IF($G$10="X",(30*365)-$F$37,(35*365)-$F$37))</f>
        <v>12775</v>
      </c>
      <c r="F41" s="150"/>
      <c r="G41" s="1951" t="s">
        <v>438</v>
      </c>
      <c r="H41" s="1951"/>
      <c r="I41" s="1951"/>
      <c r="J41" s="1951"/>
      <c r="K41" s="1951"/>
      <c r="L41" s="1951"/>
      <c r="M41" s="1951"/>
      <c r="N41" s="1952"/>
      <c r="O41" s="391"/>
      <c r="P41" s="362"/>
      <c r="Q41" s="362"/>
      <c r="R41" s="362"/>
      <c r="S41" s="362"/>
      <c r="T41" s="362"/>
      <c r="U41" s="362"/>
      <c r="V41" s="362"/>
      <c r="W41" s="362"/>
      <c r="X41" s="362"/>
      <c r="Y41" s="362"/>
      <c r="Z41" s="362"/>
      <c r="AA41" s="362"/>
      <c r="AB41" s="362"/>
      <c r="AC41" s="362"/>
      <c r="AD41" s="362"/>
      <c r="AE41" s="362"/>
      <c r="AF41" s="362"/>
      <c r="AG41" s="362"/>
      <c r="AH41" s="362"/>
      <c r="AI41" s="362"/>
      <c r="AJ41" s="362"/>
      <c r="AK41" s="362"/>
      <c r="AL41" s="362"/>
      <c r="AM41" s="362"/>
      <c r="AN41" s="362"/>
      <c r="AO41" s="362"/>
      <c r="AP41" s="362"/>
      <c r="AQ41" s="362"/>
      <c r="AR41" s="362"/>
      <c r="AS41" s="362"/>
      <c r="AT41" s="362"/>
      <c r="AU41" s="362"/>
      <c r="AV41" s="362"/>
      <c r="AW41" s="362"/>
      <c r="AX41" s="2"/>
      <c r="AY41" s="2"/>
      <c r="AZ41" s="2"/>
      <c r="BA41" s="1076"/>
      <c r="BB41" s="362"/>
      <c r="BC41" s="362"/>
      <c r="BD41" s="362"/>
      <c r="BE41" s="362"/>
      <c r="BF41" s="362"/>
      <c r="BG41" s="362"/>
      <c r="BH41" s="362"/>
      <c r="BI41" s="362"/>
      <c r="BJ41" s="362"/>
      <c r="BK41" s="362"/>
      <c r="BL41" s="362"/>
      <c r="BM41" s="362"/>
      <c r="BN41" s="362"/>
      <c r="BO41" s="362"/>
      <c r="BP41" s="362"/>
      <c r="BQ41" s="362"/>
      <c r="BR41" s="362"/>
      <c r="BS41" s="362"/>
      <c r="BT41" s="362"/>
      <c r="BU41" s="362"/>
      <c r="BV41" s="362"/>
      <c r="BW41" s="362"/>
      <c r="BX41" s="362"/>
      <c r="BY41" s="362"/>
      <c r="BZ41" s="362"/>
      <c r="CA41" s="362"/>
      <c r="CB41" s="362"/>
      <c r="CC41" s="362"/>
      <c r="CD41" s="362"/>
      <c r="CE41" s="362"/>
      <c r="CF41" s="362"/>
      <c r="CG41" s="362"/>
      <c r="CH41" s="362"/>
      <c r="CI41" s="362"/>
      <c r="CJ41" s="362"/>
      <c r="CK41" s="362"/>
      <c r="CL41" s="362"/>
      <c r="CM41" s="362"/>
      <c r="CN41" s="362"/>
      <c r="CO41" s="362"/>
      <c r="CP41" s="362"/>
      <c r="CQ41" s="362"/>
      <c r="CR41" s="362"/>
      <c r="CS41" s="362"/>
      <c r="CT41" s="362"/>
      <c r="CU41" s="362"/>
      <c r="CV41" s="362"/>
      <c r="CW41" s="362"/>
      <c r="CX41" s="362"/>
      <c r="CY41" s="362"/>
      <c r="CZ41" s="362"/>
      <c r="DA41" s="362"/>
      <c r="DB41" s="362"/>
      <c r="DC41" s="362"/>
      <c r="DD41" s="362"/>
      <c r="DE41" s="362"/>
      <c r="DF41" s="362"/>
      <c r="DG41" s="362"/>
      <c r="DH41" s="362"/>
      <c r="DI41" s="362"/>
      <c r="DJ41" s="362"/>
      <c r="DK41" s="362"/>
      <c r="DL41" s="362"/>
      <c r="DM41" s="362"/>
      <c r="DN41" s="362"/>
      <c r="DO41" s="362"/>
      <c r="DP41" s="362"/>
      <c r="DQ41" s="362"/>
      <c r="DR41" s="362"/>
      <c r="DS41" s="362"/>
      <c r="DT41" s="362"/>
      <c r="DU41" s="362"/>
      <c r="DV41" s="362"/>
      <c r="DW41" s="362"/>
      <c r="DX41" s="362"/>
      <c r="DY41" s="362"/>
      <c r="DZ41" s="362"/>
      <c r="EA41" s="362"/>
      <c r="EB41" s="362"/>
      <c r="EC41" s="362"/>
      <c r="ED41" s="362"/>
      <c r="EE41" s="362"/>
      <c r="EF41" s="362"/>
      <c r="EG41" s="362"/>
      <c r="EH41" s="362"/>
      <c r="EI41" s="362"/>
      <c r="EJ41" s="362"/>
      <c r="EK41" s="362"/>
      <c r="EL41" s="362"/>
      <c r="EM41" s="362"/>
      <c r="EN41" s="362"/>
      <c r="EO41" s="362"/>
      <c r="EP41" s="362"/>
      <c r="EQ41" s="362"/>
      <c r="ER41" s="362"/>
      <c r="ES41" s="362"/>
      <c r="ET41" s="362"/>
      <c r="EU41" s="362"/>
      <c r="EV41" s="362"/>
      <c r="EW41" s="362"/>
      <c r="EX41" s="362"/>
      <c r="EY41" s="362"/>
      <c r="EZ41" s="362"/>
      <c r="FA41" s="362"/>
      <c r="FB41" s="362"/>
      <c r="FC41" s="362"/>
      <c r="FD41" s="362"/>
      <c r="FE41" s="362"/>
      <c r="FF41" s="362"/>
      <c r="FG41" s="362"/>
      <c r="FH41" s="362"/>
      <c r="FI41" s="362"/>
      <c r="FJ41" s="362"/>
      <c r="FK41" s="362"/>
      <c r="FL41" s="362"/>
      <c r="FM41" s="362"/>
      <c r="FN41" s="362"/>
      <c r="FO41" s="362"/>
      <c r="FP41" s="362"/>
      <c r="FQ41" s="362"/>
      <c r="FR41" s="362"/>
      <c r="FS41" s="362"/>
      <c r="FT41" s="362"/>
      <c r="FU41" s="362"/>
      <c r="FV41" s="362"/>
      <c r="FW41" s="362"/>
      <c r="FX41" s="362"/>
      <c r="FY41" s="362"/>
      <c r="FZ41" s="362"/>
      <c r="GA41" s="362"/>
      <c r="GB41" s="362"/>
      <c r="GC41" s="362"/>
      <c r="GD41" s="362"/>
      <c r="GE41" s="362"/>
      <c r="GF41" s="362"/>
      <c r="GG41" s="362"/>
      <c r="GH41" s="362"/>
      <c r="GI41" s="362"/>
      <c r="GJ41" s="362"/>
      <c r="GK41" s="362"/>
      <c r="GL41" s="362"/>
      <c r="GM41" s="362"/>
      <c r="GN41" s="362"/>
      <c r="GO41" s="362"/>
      <c r="GP41" s="362"/>
      <c r="GQ41" s="362"/>
      <c r="GR41" s="362"/>
      <c r="GS41" s="362"/>
      <c r="GT41" s="362"/>
      <c r="GU41" s="362"/>
      <c r="GV41" s="362"/>
      <c r="GW41" s="362"/>
      <c r="GX41" s="362"/>
      <c r="GY41" s="362"/>
      <c r="GZ41" s="362"/>
      <c r="HA41" s="362"/>
      <c r="HB41" s="362"/>
      <c r="HC41" s="362"/>
      <c r="HD41" s="362"/>
      <c r="HE41" s="362"/>
      <c r="HF41" s="362"/>
      <c r="HG41" s="362"/>
      <c r="HH41" s="362"/>
      <c r="HI41" s="362"/>
      <c r="HJ41" s="362"/>
      <c r="HK41" s="362"/>
      <c r="HL41" s="362"/>
      <c r="HM41" s="362"/>
      <c r="HN41" s="362"/>
      <c r="HO41" s="362"/>
      <c r="HP41" s="362"/>
      <c r="HQ41" s="362"/>
      <c r="HR41" s="362"/>
      <c r="HS41" s="362"/>
      <c r="HT41" s="362"/>
      <c r="HU41" s="362"/>
      <c r="HV41" s="362"/>
      <c r="HW41" s="362"/>
      <c r="HX41" s="362"/>
      <c r="HY41" s="362"/>
      <c r="HZ41" s="362"/>
      <c r="IA41" s="362"/>
      <c r="IB41" s="362"/>
      <c r="IC41" s="362"/>
      <c r="ID41" s="362"/>
      <c r="IE41" s="362"/>
      <c r="IF41" s="362"/>
      <c r="IG41" s="362"/>
      <c r="IH41" s="362"/>
      <c r="II41" s="362"/>
      <c r="IJ41" s="362"/>
      <c r="IK41" s="362"/>
      <c r="IL41" s="362"/>
      <c r="IM41" s="362"/>
      <c r="IN41" s="362"/>
      <c r="IO41" s="362"/>
      <c r="IP41" s="362"/>
      <c r="IQ41" s="362"/>
      <c r="IR41" s="362"/>
      <c r="IS41" s="362"/>
      <c r="IT41" s="362"/>
    </row>
    <row r="42" spans="1:254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CUMPRIR",IF(K2=O5,IF(E2=B94,"HÁ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083" t="s">
        <v>597</v>
      </c>
      <c r="Q42" s="1084">
        <v>3</v>
      </c>
      <c r="R42" s="1084">
        <v>6</v>
      </c>
      <c r="S42" s="1084">
        <v>9</v>
      </c>
      <c r="T42" s="1084">
        <v>12</v>
      </c>
      <c r="U42" s="1084">
        <v>15</v>
      </c>
      <c r="V42" s="1084">
        <v>18</v>
      </c>
      <c r="W42" s="1084">
        <v>21</v>
      </c>
      <c r="X42" s="1084">
        <v>24</v>
      </c>
      <c r="Y42" s="1084">
        <v>27</v>
      </c>
      <c r="Z42" s="1084">
        <v>30</v>
      </c>
      <c r="AA42" s="1084">
        <v>33</v>
      </c>
      <c r="AB42" s="1084">
        <v>36</v>
      </c>
      <c r="AC42" s="1084">
        <v>39</v>
      </c>
      <c r="AD42" s="1084">
        <v>42</v>
      </c>
      <c r="AE42" s="1084">
        <v>45</v>
      </c>
      <c r="AF42" s="1084">
        <v>48</v>
      </c>
      <c r="AG42" s="1097">
        <v>51</v>
      </c>
      <c r="AH42" s="362"/>
      <c r="AI42" s="362"/>
      <c r="AJ42" s="362"/>
      <c r="AK42" s="362"/>
      <c r="AL42" s="362"/>
      <c r="AM42" s="362"/>
      <c r="AN42" s="362"/>
      <c r="AO42" s="362"/>
      <c r="AP42" s="362"/>
      <c r="AQ42" s="362"/>
      <c r="AR42" s="362"/>
      <c r="AS42" s="362"/>
      <c r="AT42" s="362"/>
      <c r="AU42" s="362"/>
      <c r="AV42" s="362"/>
      <c r="AW42" s="362"/>
      <c r="AX42" s="2"/>
      <c r="AY42" s="2"/>
      <c r="AZ42" s="2"/>
      <c r="BA42" s="1076"/>
      <c r="BB42" s="362"/>
      <c r="BC42" s="362"/>
      <c r="BD42" s="362"/>
      <c r="BE42" s="362"/>
      <c r="BF42" s="362"/>
      <c r="BG42" s="362"/>
      <c r="BH42" s="362"/>
      <c r="BI42" s="362"/>
      <c r="BJ42" s="362"/>
      <c r="BK42" s="362"/>
      <c r="BL42" s="362"/>
      <c r="BM42" s="362"/>
      <c r="BN42" s="362"/>
      <c r="BO42" s="362"/>
      <c r="BP42" s="36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362"/>
      <c r="CB42" s="362"/>
      <c r="CC42" s="362"/>
      <c r="CD42" s="362"/>
      <c r="CE42" s="362"/>
      <c r="CF42" s="362"/>
      <c r="CG42" s="362"/>
      <c r="CH42" s="362"/>
      <c r="CI42" s="362"/>
      <c r="CJ42" s="362"/>
      <c r="CK42" s="362"/>
      <c r="CL42" s="362"/>
      <c r="CM42" s="362"/>
      <c r="CN42" s="362"/>
      <c r="CO42" s="362"/>
      <c r="CP42" s="362"/>
      <c r="CQ42" s="362"/>
      <c r="CR42" s="362"/>
      <c r="CS42" s="362"/>
      <c r="CT42" s="362"/>
      <c r="CU42" s="362"/>
      <c r="CV42" s="362"/>
      <c r="CW42" s="362"/>
      <c r="CX42" s="362"/>
      <c r="CY42" s="362"/>
      <c r="CZ42" s="362"/>
      <c r="DA42" s="362"/>
      <c r="DB42" s="362"/>
      <c r="DC42" s="362"/>
      <c r="DD42" s="362"/>
      <c r="DE42" s="362"/>
      <c r="DF42" s="362"/>
      <c r="DG42" s="362"/>
      <c r="DH42" s="362"/>
      <c r="DI42" s="362"/>
      <c r="DJ42" s="362"/>
      <c r="DK42" s="362"/>
      <c r="DL42" s="362"/>
      <c r="DM42" s="362"/>
      <c r="DN42" s="362"/>
      <c r="DO42" s="362"/>
      <c r="DP42" s="362"/>
      <c r="DQ42" s="362"/>
      <c r="DR42" s="362"/>
      <c r="DS42" s="362"/>
      <c r="DT42" s="362"/>
      <c r="DU42" s="362"/>
      <c r="DV42" s="362"/>
      <c r="DW42" s="362"/>
      <c r="DX42" s="362"/>
      <c r="DY42" s="362"/>
      <c r="DZ42" s="362"/>
      <c r="EA42" s="362"/>
      <c r="EB42" s="362"/>
      <c r="EC42" s="362"/>
      <c r="ED42" s="362"/>
      <c r="EE42" s="362"/>
      <c r="EF42" s="362"/>
      <c r="EG42" s="362"/>
      <c r="EH42" s="362"/>
      <c r="EI42" s="362"/>
      <c r="EJ42" s="362"/>
      <c r="EK42" s="362"/>
      <c r="EL42" s="362"/>
      <c r="EM42" s="362"/>
      <c r="EN42" s="362"/>
      <c r="EO42" s="362"/>
      <c r="EP42" s="362"/>
      <c r="EQ42" s="362"/>
      <c r="ER42" s="362"/>
      <c r="ES42" s="362"/>
      <c r="ET42" s="362"/>
      <c r="EU42" s="362"/>
      <c r="EV42" s="362"/>
      <c r="EW42" s="362"/>
      <c r="EX42" s="362"/>
      <c r="EY42" s="362"/>
      <c r="EZ42" s="362"/>
      <c r="FA42" s="362"/>
      <c r="FB42" s="362"/>
      <c r="FC42" s="362"/>
      <c r="FD42" s="362"/>
      <c r="FE42" s="362"/>
      <c r="FF42" s="362"/>
      <c r="FG42" s="362"/>
      <c r="FH42" s="362"/>
      <c r="FI42" s="362"/>
      <c r="FJ42" s="362"/>
      <c r="FK42" s="362"/>
      <c r="FL42" s="362"/>
      <c r="FM42" s="362"/>
      <c r="FN42" s="362"/>
      <c r="FO42" s="362"/>
      <c r="FP42" s="362"/>
      <c r="FQ42" s="362"/>
      <c r="FR42" s="362"/>
      <c r="FS42" s="362"/>
      <c r="FT42" s="362"/>
      <c r="FU42" s="362"/>
      <c r="FV42" s="362"/>
      <c r="FW42" s="362"/>
      <c r="FX42" s="362"/>
      <c r="FY42" s="362"/>
      <c r="FZ42" s="362"/>
      <c r="GA42" s="362"/>
      <c r="GB42" s="362"/>
      <c r="GC42" s="362"/>
      <c r="GD42" s="362"/>
      <c r="GE42" s="362"/>
      <c r="GF42" s="362"/>
      <c r="GG42" s="362"/>
      <c r="GH42" s="362"/>
      <c r="GI42" s="362"/>
      <c r="GJ42" s="362"/>
      <c r="GK42" s="362"/>
      <c r="GL42" s="362"/>
      <c r="GM42" s="362"/>
      <c r="GN42" s="362"/>
      <c r="GO42" s="362"/>
      <c r="GP42" s="362"/>
      <c r="GQ42" s="362"/>
      <c r="GR42" s="362"/>
      <c r="GS42" s="362"/>
      <c r="GT42" s="362"/>
      <c r="GU42" s="362"/>
      <c r="GV42" s="362"/>
      <c r="GW42" s="362"/>
      <c r="GX42" s="362"/>
      <c r="GY42" s="362"/>
      <c r="GZ42" s="362"/>
      <c r="HA42" s="362"/>
      <c r="HB42" s="362"/>
      <c r="HC42" s="362"/>
      <c r="HD42" s="362"/>
      <c r="HE42" s="362"/>
      <c r="HF42" s="362"/>
      <c r="HG42" s="362"/>
      <c r="HH42" s="362"/>
      <c r="HI42" s="362"/>
      <c r="HJ42" s="362"/>
      <c r="HK42" s="362"/>
      <c r="HL42" s="362"/>
      <c r="HM42" s="362"/>
      <c r="HN42" s="362"/>
      <c r="HO42" s="362"/>
      <c r="HP42" s="362"/>
      <c r="HQ42" s="362"/>
      <c r="HR42" s="362"/>
      <c r="HS42" s="362"/>
      <c r="HT42" s="362"/>
      <c r="HU42" s="362"/>
      <c r="HV42" s="362"/>
      <c r="HW42" s="362"/>
      <c r="HX42" s="362"/>
      <c r="HY42" s="362"/>
      <c r="HZ42" s="362"/>
      <c r="IA42" s="362"/>
      <c r="IB42" s="362"/>
      <c r="IC42" s="362"/>
      <c r="ID42" s="362"/>
      <c r="IE42" s="362"/>
      <c r="IF42" s="362"/>
      <c r="IG42" s="362"/>
      <c r="IH42" s="362"/>
      <c r="II42" s="362"/>
      <c r="IJ42" s="362"/>
      <c r="IK42" s="362"/>
      <c r="IL42" s="362"/>
      <c r="IM42" s="362"/>
      <c r="IN42" s="362"/>
      <c r="IO42" s="362"/>
      <c r="IP42" s="362"/>
      <c r="IQ42" s="362"/>
      <c r="IR42" s="362"/>
      <c r="IS42" s="362"/>
      <c r="IT42" s="362"/>
    </row>
    <row r="43" spans="1:254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IF(E42&gt;0,IF(E2=B93,ROUNDUP(E42*0.4,0),ROUNDUP(E42*0.2,0)),0)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093" t="s">
        <v>351</v>
      </c>
      <c r="Q43" s="1094">
        <v>0.03</v>
      </c>
      <c r="R43" s="1094">
        <v>0.06</v>
      </c>
      <c r="S43" s="1094">
        <v>0.09</v>
      </c>
      <c r="T43" s="1094">
        <v>0.12</v>
      </c>
      <c r="U43" s="1094">
        <v>0.15</v>
      </c>
      <c r="V43" s="1094">
        <v>0.18</v>
      </c>
      <c r="W43" s="1094">
        <v>0.21</v>
      </c>
      <c r="X43" s="1094">
        <v>0.24</v>
      </c>
      <c r="Y43" s="1094">
        <v>0.27</v>
      </c>
      <c r="Z43" s="1094">
        <v>0.3</v>
      </c>
      <c r="AA43" s="1094">
        <v>0.33</v>
      </c>
      <c r="AB43" s="1094">
        <v>0.36</v>
      </c>
      <c r="AC43" s="1094">
        <v>0.39</v>
      </c>
      <c r="AD43" s="1094">
        <v>0.42</v>
      </c>
      <c r="AE43" s="1094">
        <v>0.45</v>
      </c>
      <c r="AF43" s="1094">
        <v>0.48</v>
      </c>
      <c r="AG43" s="1095">
        <v>0.51</v>
      </c>
      <c r="AH43" s="362"/>
      <c r="AI43" s="362"/>
      <c r="AJ43" s="362"/>
      <c r="AK43" s="362"/>
      <c r="AL43" s="362"/>
      <c r="AM43" s="362"/>
      <c r="AN43" s="362"/>
      <c r="AO43" s="362"/>
      <c r="AP43" s="362"/>
      <c r="AQ43" s="362"/>
      <c r="AR43" s="362"/>
      <c r="AS43" s="362"/>
      <c r="AT43" s="362"/>
      <c r="AU43" s="362"/>
      <c r="AV43" s="362"/>
      <c r="AW43" s="362"/>
      <c r="AX43" s="2"/>
      <c r="AY43" s="2"/>
      <c r="AZ43" s="2"/>
      <c r="BA43" s="1076"/>
      <c r="BB43" s="362"/>
      <c r="BC43" s="362"/>
      <c r="BD43" s="362"/>
      <c r="BE43" s="362"/>
      <c r="BF43" s="362"/>
      <c r="BG43" s="362"/>
      <c r="BH43" s="362"/>
      <c r="BI43" s="362"/>
      <c r="BJ43" s="362"/>
      <c r="BK43" s="362"/>
      <c r="BL43" s="362"/>
      <c r="BM43" s="362"/>
      <c r="BN43" s="362"/>
      <c r="BO43" s="362"/>
      <c r="BP43" s="362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362"/>
      <c r="CB43" s="362"/>
      <c r="CC43" s="362"/>
      <c r="CD43" s="362"/>
      <c r="CE43" s="362"/>
      <c r="CF43" s="362"/>
      <c r="CG43" s="362"/>
      <c r="CH43" s="362"/>
      <c r="CI43" s="362"/>
      <c r="CJ43" s="362"/>
      <c r="CK43" s="362"/>
      <c r="CL43" s="362"/>
      <c r="CM43" s="362"/>
      <c r="CN43" s="362"/>
      <c r="CO43" s="362"/>
      <c r="CP43" s="362"/>
      <c r="CQ43" s="362"/>
      <c r="CR43" s="362"/>
      <c r="CS43" s="362"/>
      <c r="CT43" s="362"/>
      <c r="CU43" s="362"/>
      <c r="CV43" s="362"/>
      <c r="CW43" s="362"/>
      <c r="CX43" s="362"/>
      <c r="CY43" s="362"/>
      <c r="CZ43" s="362"/>
      <c r="DA43" s="362"/>
      <c r="DB43" s="362"/>
      <c r="DC43" s="362"/>
      <c r="DD43" s="362"/>
      <c r="DE43" s="362"/>
      <c r="DF43" s="362"/>
      <c r="DG43" s="362"/>
      <c r="DH43" s="362"/>
      <c r="DI43" s="362"/>
      <c r="DJ43" s="362"/>
      <c r="DK43" s="362"/>
      <c r="DL43" s="362"/>
      <c r="DM43" s="362"/>
      <c r="DN43" s="362"/>
      <c r="DO43" s="362"/>
      <c r="DP43" s="362"/>
      <c r="DQ43" s="362"/>
      <c r="DR43" s="362"/>
      <c r="DS43" s="362"/>
      <c r="DT43" s="362"/>
      <c r="DU43" s="362"/>
      <c r="DV43" s="362"/>
      <c r="DW43" s="362"/>
      <c r="DX43" s="362"/>
      <c r="DY43" s="362"/>
      <c r="DZ43" s="362"/>
      <c r="EA43" s="362"/>
      <c r="EB43" s="362"/>
      <c r="EC43" s="362"/>
      <c r="ED43" s="362"/>
      <c r="EE43" s="362"/>
      <c r="EF43" s="362"/>
      <c r="EG43" s="362"/>
      <c r="EH43" s="362"/>
      <c r="EI43" s="362"/>
      <c r="EJ43" s="362"/>
      <c r="EK43" s="362"/>
      <c r="EL43" s="362"/>
      <c r="EM43" s="362"/>
      <c r="EN43" s="362"/>
      <c r="EO43" s="362"/>
      <c r="EP43" s="362"/>
      <c r="EQ43" s="362"/>
      <c r="ER43" s="362"/>
      <c r="ES43" s="362"/>
      <c r="ET43" s="362"/>
      <c r="EU43" s="362"/>
      <c r="EV43" s="362"/>
      <c r="EW43" s="362"/>
      <c r="EX43" s="362"/>
      <c r="EY43" s="362"/>
      <c r="EZ43" s="362"/>
      <c r="FA43" s="362"/>
      <c r="FB43" s="362"/>
      <c r="FC43" s="362"/>
      <c r="FD43" s="362"/>
      <c r="FE43" s="362"/>
      <c r="FF43" s="362"/>
      <c r="FG43" s="362"/>
      <c r="FH43" s="362"/>
      <c r="FI43" s="362"/>
      <c r="FJ43" s="362"/>
      <c r="FK43" s="362"/>
      <c r="FL43" s="362"/>
      <c r="FM43" s="362"/>
      <c r="FN43" s="362"/>
      <c r="FO43" s="362"/>
      <c r="FP43" s="362"/>
      <c r="FQ43" s="362"/>
      <c r="FR43" s="362"/>
      <c r="FS43" s="362"/>
      <c r="FT43" s="362"/>
      <c r="FU43" s="362"/>
      <c r="FV43" s="362"/>
      <c r="FW43" s="362"/>
      <c r="FX43" s="362"/>
      <c r="FY43" s="362"/>
      <c r="FZ43" s="362"/>
      <c r="GA43" s="362"/>
      <c r="GB43" s="362"/>
      <c r="GC43" s="362"/>
      <c r="GD43" s="362"/>
      <c r="GE43" s="362"/>
      <c r="GF43" s="362"/>
      <c r="GG43" s="362"/>
      <c r="GH43" s="362"/>
      <c r="GI43" s="362"/>
      <c r="GJ43" s="362"/>
      <c r="GK43" s="362"/>
      <c r="GL43" s="362"/>
      <c r="GM43" s="362"/>
      <c r="GN43" s="362"/>
      <c r="GO43" s="362"/>
      <c r="GP43" s="362"/>
      <c r="GQ43" s="362"/>
      <c r="GR43" s="362"/>
      <c r="GS43" s="362"/>
      <c r="GT43" s="362"/>
      <c r="GU43" s="362"/>
      <c r="GV43" s="362"/>
      <c r="GW43" s="362"/>
      <c r="GX43" s="362"/>
      <c r="GY43" s="362"/>
      <c r="GZ43" s="362"/>
      <c r="HA43" s="362"/>
      <c r="HB43" s="362"/>
      <c r="HC43" s="362"/>
      <c r="HD43" s="362"/>
      <c r="HE43" s="362"/>
      <c r="HF43" s="362"/>
      <c r="HG43" s="362"/>
      <c r="HH43" s="362"/>
      <c r="HI43" s="362"/>
      <c r="HJ43" s="362"/>
      <c r="HK43" s="362"/>
      <c r="HL43" s="362"/>
      <c r="HM43" s="362"/>
      <c r="HN43" s="362"/>
      <c r="HO43" s="362"/>
      <c r="HP43" s="362"/>
      <c r="HQ43" s="362"/>
      <c r="HR43" s="362"/>
      <c r="HS43" s="362"/>
      <c r="HT43" s="362"/>
      <c r="HU43" s="362"/>
      <c r="HV43" s="362"/>
      <c r="HW43" s="362"/>
      <c r="HX43" s="362"/>
      <c r="HY43" s="362"/>
      <c r="HZ43" s="362"/>
      <c r="IA43" s="362"/>
      <c r="IB43" s="362"/>
      <c r="IC43" s="362"/>
      <c r="ID43" s="362"/>
      <c r="IE43" s="362"/>
      <c r="IF43" s="362"/>
      <c r="IG43" s="362"/>
      <c r="IH43" s="362"/>
      <c r="II43" s="362"/>
      <c r="IJ43" s="362"/>
      <c r="IK43" s="362"/>
      <c r="IL43" s="362"/>
      <c r="IM43" s="362"/>
      <c r="IN43" s="362"/>
      <c r="IO43" s="362"/>
      <c r="IP43" s="362"/>
      <c r="IQ43" s="362"/>
      <c r="IR43" s="362"/>
      <c r="IS43" s="362"/>
      <c r="IT43" s="362"/>
    </row>
    <row r="44" spans="1:254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P44" s="362"/>
      <c r="Q44" s="362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  <c r="AC44" s="362"/>
      <c r="AD44" s="362"/>
      <c r="AE44" s="362"/>
      <c r="AF44" s="362"/>
      <c r="AG44" s="362"/>
      <c r="AH44" s="362"/>
      <c r="AI44" s="362"/>
      <c r="AJ44" s="362"/>
      <c r="AK44" s="362"/>
      <c r="AL44" s="362"/>
      <c r="AM44" s="362"/>
      <c r="AN44" s="362"/>
      <c r="AO44" s="362"/>
      <c r="AP44" s="362"/>
      <c r="AQ44" s="362"/>
      <c r="AR44" s="362"/>
      <c r="AS44" s="362"/>
      <c r="AT44" s="362"/>
      <c r="AU44" s="362"/>
      <c r="AV44" s="362"/>
      <c r="AW44" s="362"/>
      <c r="AX44" s="2"/>
      <c r="AY44" s="2"/>
      <c r="AZ44" s="2"/>
      <c r="BA44" s="1076"/>
      <c r="BB44" s="362"/>
      <c r="BC44" s="362"/>
      <c r="BD44" s="362"/>
      <c r="BE44" s="362"/>
      <c r="BF44" s="362"/>
      <c r="BG44" s="362"/>
      <c r="BH44" s="362"/>
      <c r="BI44" s="362"/>
      <c r="BJ44" s="362"/>
      <c r="BK44" s="362"/>
      <c r="BL44" s="362"/>
      <c r="BM44" s="362"/>
      <c r="BN44" s="362"/>
      <c r="BO44" s="362"/>
      <c r="BP44" s="36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362"/>
      <c r="CB44" s="362"/>
      <c r="CC44" s="362"/>
      <c r="CD44" s="362"/>
      <c r="CE44" s="362"/>
      <c r="CF44" s="362"/>
      <c r="CG44" s="362"/>
      <c r="CH44" s="362"/>
      <c r="CI44" s="362"/>
      <c r="CJ44" s="362"/>
      <c r="CK44" s="362"/>
      <c r="CL44" s="362"/>
      <c r="CM44" s="362"/>
      <c r="CN44" s="362"/>
      <c r="CO44" s="362"/>
      <c r="CP44" s="362"/>
      <c r="CQ44" s="362"/>
      <c r="CR44" s="362"/>
      <c r="CS44" s="362"/>
      <c r="CT44" s="362"/>
      <c r="CU44" s="362"/>
      <c r="CV44" s="362"/>
      <c r="CW44" s="362"/>
      <c r="CX44" s="362"/>
      <c r="CY44" s="362"/>
      <c r="CZ44" s="362"/>
      <c r="DA44" s="362"/>
      <c r="DB44" s="362"/>
      <c r="DC44" s="362"/>
      <c r="DD44" s="362"/>
      <c r="DE44" s="362"/>
      <c r="DF44" s="362"/>
      <c r="DG44" s="362"/>
      <c r="DH44" s="362"/>
      <c r="DI44" s="362"/>
      <c r="DJ44" s="362"/>
      <c r="DK44" s="362"/>
      <c r="DL44" s="362"/>
      <c r="DM44" s="362"/>
      <c r="DN44" s="362"/>
      <c r="DO44" s="362"/>
      <c r="DP44" s="362"/>
      <c r="DQ44" s="362"/>
      <c r="DR44" s="362"/>
      <c r="DS44" s="362"/>
      <c r="DT44" s="362"/>
      <c r="DU44" s="362"/>
      <c r="DV44" s="362"/>
      <c r="DW44" s="362"/>
      <c r="DX44" s="362"/>
      <c r="DY44" s="362"/>
      <c r="DZ44" s="362"/>
      <c r="EA44" s="362"/>
      <c r="EB44" s="362"/>
      <c r="EC44" s="362"/>
      <c r="ED44" s="362"/>
      <c r="EE44" s="362"/>
      <c r="EF44" s="362"/>
      <c r="EG44" s="362"/>
      <c r="EH44" s="362"/>
      <c r="EI44" s="362"/>
      <c r="EJ44" s="362"/>
      <c r="EK44" s="362"/>
      <c r="EL44" s="362"/>
      <c r="EM44" s="362"/>
      <c r="EN44" s="362"/>
      <c r="EO44" s="362"/>
      <c r="EP44" s="362"/>
      <c r="EQ44" s="362"/>
      <c r="ER44" s="362"/>
      <c r="ES44" s="362"/>
      <c r="ET44" s="362"/>
      <c r="EU44" s="362"/>
      <c r="EV44" s="362"/>
      <c r="EW44" s="362"/>
      <c r="EX44" s="362"/>
      <c r="EY44" s="362"/>
      <c r="EZ44" s="362"/>
      <c r="FA44" s="362"/>
      <c r="FB44" s="362"/>
      <c r="FC44" s="362"/>
      <c r="FD44" s="362"/>
      <c r="FE44" s="362"/>
      <c r="FF44" s="362"/>
      <c r="FG44" s="362"/>
      <c r="FH44" s="362"/>
      <c r="FI44" s="362"/>
      <c r="FJ44" s="362"/>
      <c r="FK44" s="362"/>
      <c r="FL44" s="362"/>
      <c r="FM44" s="362"/>
      <c r="FN44" s="362"/>
      <c r="FO44" s="362"/>
      <c r="FP44" s="362"/>
      <c r="FQ44" s="362"/>
      <c r="FR44" s="362"/>
      <c r="FS44" s="362"/>
      <c r="FT44" s="362"/>
      <c r="FU44" s="362"/>
      <c r="FV44" s="362"/>
      <c r="FW44" s="362"/>
      <c r="FX44" s="362"/>
      <c r="FY44" s="362"/>
      <c r="FZ44" s="362"/>
      <c r="GA44" s="362"/>
      <c r="GB44" s="362"/>
      <c r="GC44" s="362"/>
      <c r="GD44" s="362"/>
      <c r="GE44" s="362"/>
      <c r="GF44" s="362"/>
      <c r="GG44" s="362"/>
      <c r="GH44" s="362"/>
      <c r="GI44" s="362"/>
      <c r="GJ44" s="362"/>
      <c r="GK44" s="362"/>
      <c r="GL44" s="362"/>
      <c r="GM44" s="362"/>
      <c r="GN44" s="362"/>
      <c r="GO44" s="362"/>
      <c r="GP44" s="362"/>
      <c r="GQ44" s="362"/>
      <c r="GR44" s="362"/>
      <c r="GS44" s="362"/>
      <c r="GT44" s="362"/>
      <c r="GU44" s="362"/>
      <c r="GV44" s="362"/>
      <c r="GW44" s="362"/>
      <c r="GX44" s="362"/>
      <c r="GY44" s="362"/>
      <c r="GZ44" s="362"/>
      <c r="HA44" s="362"/>
      <c r="HB44" s="362"/>
      <c r="HC44" s="362"/>
      <c r="HD44" s="362"/>
      <c r="HE44" s="362"/>
      <c r="HF44" s="362"/>
      <c r="HG44" s="362"/>
      <c r="HH44" s="362"/>
      <c r="HI44" s="362"/>
      <c r="HJ44" s="362"/>
      <c r="HK44" s="362"/>
      <c r="HL44" s="362"/>
      <c r="HM44" s="362"/>
      <c r="HN44" s="362"/>
      <c r="HO44" s="362"/>
      <c r="HP44" s="362"/>
      <c r="HQ44" s="362"/>
      <c r="HR44" s="362"/>
      <c r="HS44" s="362"/>
      <c r="HT44" s="362"/>
      <c r="HU44" s="362"/>
      <c r="HV44" s="362"/>
      <c r="HW44" s="362"/>
      <c r="HX44" s="362"/>
      <c r="HY44" s="362"/>
      <c r="HZ44" s="362"/>
      <c r="IA44" s="362"/>
      <c r="IB44" s="362"/>
      <c r="IC44" s="362"/>
      <c r="ID44" s="362"/>
      <c r="IE44" s="362"/>
      <c r="IF44" s="362"/>
      <c r="IG44" s="362"/>
      <c r="IH44" s="362"/>
      <c r="II44" s="362"/>
      <c r="IJ44" s="362"/>
      <c r="IK44" s="362"/>
      <c r="IL44" s="362"/>
      <c r="IM44" s="362"/>
      <c r="IN44" s="362"/>
      <c r="IO44" s="362"/>
      <c r="IP44" s="362"/>
      <c r="IQ44" s="362"/>
      <c r="IR44" s="362"/>
      <c r="IS44" s="362"/>
      <c r="IT44" s="362"/>
    </row>
    <row r="45" spans="1:254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1269" t="str">
        <f>IF(AND($E$51&gt;=36145,$E$51&lt;38037),IF(AND($K$2=$O$3,$D$14="X"),$H$46,IF($K$2=$O$4,$G$46,$E$51)),"REVER")</f>
        <v>REVER</v>
      </c>
      <c r="F45" s="261">
        <f>IF(AND(N8&gt;=36145,F47&lt;&gt;0),F46,IF(K2=O2,0,IF(K2=O3,A42,IF(K2=O4,A43,A44))))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083" t="s">
        <v>598</v>
      </c>
      <c r="Q45" s="1084">
        <v>3</v>
      </c>
      <c r="R45" s="1084">
        <v>6</v>
      </c>
      <c r="S45" s="1084">
        <v>9</v>
      </c>
      <c r="T45" s="1084">
        <v>12</v>
      </c>
      <c r="U45" s="1084">
        <v>15</v>
      </c>
      <c r="V45" s="1084">
        <v>18</v>
      </c>
      <c r="W45" s="1084">
        <v>21</v>
      </c>
      <c r="X45" s="1084">
        <v>24</v>
      </c>
      <c r="Y45" s="1084">
        <v>27</v>
      </c>
      <c r="Z45" s="1084">
        <v>30</v>
      </c>
      <c r="AA45" s="1084">
        <v>33</v>
      </c>
      <c r="AB45" s="1097">
        <v>36</v>
      </c>
      <c r="AC45" s="1074"/>
      <c r="AD45" s="1075"/>
      <c r="AE45" s="1075"/>
      <c r="AF45" s="1075"/>
      <c r="AG45" s="1074"/>
      <c r="AH45" s="362"/>
      <c r="AI45" s="362"/>
      <c r="AJ45" s="362"/>
      <c r="AK45" s="362"/>
      <c r="AL45" s="362"/>
      <c r="AM45" s="362"/>
      <c r="AN45" s="362"/>
      <c r="AO45" s="362"/>
      <c r="AP45" s="362"/>
      <c r="AQ45" s="362"/>
      <c r="AR45" s="362"/>
      <c r="AS45" s="362"/>
      <c r="AT45" s="362"/>
      <c r="AU45" s="362"/>
      <c r="AV45" s="362"/>
      <c r="AW45" s="362"/>
      <c r="AX45" s="2"/>
      <c r="AY45" s="2"/>
      <c r="AZ45" s="2"/>
      <c r="BA45" s="1076"/>
      <c r="BB45" s="362"/>
      <c r="BC45" s="362"/>
      <c r="BD45" s="362"/>
      <c r="BE45" s="362"/>
      <c r="BF45" s="362"/>
      <c r="BG45" s="362"/>
      <c r="BH45" s="362"/>
      <c r="BI45" s="362"/>
      <c r="BJ45" s="362"/>
      <c r="BK45" s="362"/>
      <c r="BL45" s="362"/>
      <c r="BM45" s="362"/>
      <c r="BN45" s="362"/>
      <c r="BO45" s="362"/>
      <c r="BP45" s="362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362"/>
      <c r="CB45" s="362"/>
      <c r="CC45" s="362"/>
      <c r="CD45" s="362"/>
      <c r="CE45" s="362"/>
      <c r="CF45" s="362"/>
      <c r="CG45" s="362"/>
      <c r="CH45" s="362"/>
      <c r="CI45" s="362"/>
      <c r="CJ45" s="362"/>
      <c r="CK45" s="362"/>
      <c r="CL45" s="362"/>
      <c r="CM45" s="362"/>
      <c r="CN45" s="362"/>
      <c r="CO45" s="362"/>
      <c r="CP45" s="362"/>
      <c r="CQ45" s="362"/>
      <c r="CR45" s="362"/>
      <c r="CS45" s="362"/>
      <c r="CT45" s="362"/>
      <c r="CU45" s="362"/>
      <c r="CV45" s="362"/>
      <c r="CW45" s="362"/>
      <c r="CX45" s="362"/>
      <c r="CY45" s="362"/>
      <c r="CZ45" s="362"/>
      <c r="DA45" s="362"/>
      <c r="DB45" s="362"/>
      <c r="DC45" s="362"/>
      <c r="DD45" s="362"/>
      <c r="DE45" s="362"/>
      <c r="DF45" s="362"/>
      <c r="DG45" s="362"/>
      <c r="DH45" s="362"/>
      <c r="DI45" s="362"/>
      <c r="DJ45" s="362"/>
      <c r="DK45" s="362"/>
      <c r="DL45" s="362"/>
      <c r="DM45" s="362"/>
      <c r="DN45" s="362"/>
      <c r="DO45" s="362"/>
      <c r="DP45" s="362"/>
      <c r="DQ45" s="362"/>
      <c r="DR45" s="362"/>
      <c r="DS45" s="362"/>
      <c r="DT45" s="362"/>
      <c r="DU45" s="362"/>
      <c r="DV45" s="362"/>
      <c r="DW45" s="362"/>
      <c r="DX45" s="362"/>
      <c r="DY45" s="362"/>
      <c r="DZ45" s="362"/>
      <c r="EA45" s="362"/>
      <c r="EB45" s="362"/>
      <c r="EC45" s="362"/>
      <c r="ED45" s="362"/>
      <c r="EE45" s="362"/>
      <c r="EF45" s="362"/>
      <c r="EG45" s="362"/>
      <c r="EH45" s="362"/>
      <c r="EI45" s="362"/>
      <c r="EJ45" s="362"/>
      <c r="EK45" s="362"/>
      <c r="EL45" s="362"/>
      <c r="EM45" s="362"/>
      <c r="EN45" s="362"/>
      <c r="EO45" s="362"/>
      <c r="EP45" s="362"/>
      <c r="EQ45" s="362"/>
      <c r="ER45" s="362"/>
      <c r="ES45" s="362"/>
      <c r="ET45" s="362"/>
      <c r="EU45" s="362"/>
      <c r="EV45" s="362"/>
      <c r="EW45" s="362"/>
      <c r="EX45" s="362"/>
      <c r="EY45" s="362"/>
      <c r="EZ45" s="362"/>
      <c r="FA45" s="362"/>
      <c r="FB45" s="362"/>
      <c r="FC45" s="362"/>
      <c r="FD45" s="362"/>
      <c r="FE45" s="362"/>
      <c r="FF45" s="362"/>
      <c r="FG45" s="362"/>
      <c r="FH45" s="362"/>
      <c r="FI45" s="362"/>
      <c r="FJ45" s="362"/>
      <c r="FK45" s="362"/>
      <c r="FL45" s="362"/>
      <c r="FM45" s="362"/>
      <c r="FN45" s="362"/>
      <c r="FO45" s="362"/>
      <c r="FP45" s="362"/>
      <c r="FQ45" s="362"/>
      <c r="FR45" s="362"/>
      <c r="FS45" s="362"/>
      <c r="FT45" s="362"/>
      <c r="FU45" s="362"/>
      <c r="FV45" s="362"/>
      <c r="FW45" s="362"/>
      <c r="FX45" s="362"/>
      <c r="FY45" s="362"/>
      <c r="FZ45" s="362"/>
      <c r="GA45" s="362"/>
      <c r="GB45" s="362"/>
      <c r="GC45" s="362"/>
      <c r="GD45" s="362"/>
      <c r="GE45" s="362"/>
      <c r="GF45" s="362"/>
      <c r="GG45" s="362"/>
      <c r="GH45" s="362"/>
      <c r="GI45" s="362"/>
      <c r="GJ45" s="362"/>
      <c r="GK45" s="362"/>
      <c r="GL45" s="362"/>
      <c r="GM45" s="362"/>
      <c r="GN45" s="362"/>
      <c r="GO45" s="362"/>
      <c r="GP45" s="362"/>
      <c r="GQ45" s="362"/>
      <c r="GR45" s="362"/>
      <c r="GS45" s="362"/>
      <c r="GT45" s="362"/>
      <c r="GU45" s="362"/>
      <c r="GV45" s="362"/>
      <c r="GW45" s="362"/>
      <c r="GX45" s="362"/>
      <c r="GY45" s="362"/>
      <c r="GZ45" s="362"/>
      <c r="HA45" s="362"/>
      <c r="HB45" s="362"/>
      <c r="HC45" s="362"/>
      <c r="HD45" s="362"/>
      <c r="HE45" s="362"/>
      <c r="HF45" s="362"/>
      <c r="HG45" s="362"/>
      <c r="HH45" s="362"/>
      <c r="HI45" s="362"/>
      <c r="HJ45" s="362"/>
      <c r="HK45" s="362"/>
      <c r="HL45" s="362"/>
      <c r="HM45" s="362"/>
      <c r="HN45" s="362"/>
      <c r="HO45" s="362"/>
      <c r="HP45" s="362"/>
      <c r="HQ45" s="362"/>
      <c r="HR45" s="362"/>
      <c r="HS45" s="362"/>
      <c r="HT45" s="362"/>
      <c r="HU45" s="362"/>
      <c r="HV45" s="362"/>
      <c r="HW45" s="362"/>
      <c r="HX45" s="362"/>
      <c r="HY45" s="362"/>
      <c r="HZ45" s="362"/>
      <c r="IA45" s="362"/>
      <c r="IB45" s="362"/>
      <c r="IC45" s="362"/>
      <c r="ID45" s="362"/>
      <c r="IE45" s="362"/>
      <c r="IF45" s="362"/>
      <c r="IG45" s="362"/>
      <c r="IH45" s="362"/>
      <c r="II45" s="362"/>
      <c r="IJ45" s="362"/>
      <c r="IK45" s="362"/>
      <c r="IL45" s="362"/>
      <c r="IM45" s="362"/>
      <c r="IN45" s="362"/>
      <c r="IO45" s="362"/>
      <c r="IP45" s="362"/>
      <c r="IQ45" s="362"/>
      <c r="IR45" s="362"/>
      <c r="IS45" s="362"/>
      <c r="IT45" s="362"/>
    </row>
    <row r="46" spans="1:254" ht="6" customHeight="1" thickBot="1" x14ac:dyDescent="0.2">
      <c r="A46" s="376"/>
      <c r="B46" s="234"/>
      <c r="C46" s="1066"/>
      <c r="D46" s="1262"/>
      <c r="F46" s="1257">
        <f>SUM($F$47:$F$50)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093" t="s">
        <v>351</v>
      </c>
      <c r="Q46" s="1094">
        <v>0.08</v>
      </c>
      <c r="R46" s="1094">
        <v>0.16</v>
      </c>
      <c r="S46" s="1094">
        <v>0.26</v>
      </c>
      <c r="T46" s="1094">
        <v>0.36</v>
      </c>
      <c r="U46" s="1094">
        <v>0.46</v>
      </c>
      <c r="V46" s="1094">
        <v>0.56000000000000005</v>
      </c>
      <c r="W46" s="1094">
        <v>0.66</v>
      </c>
      <c r="X46" s="1094">
        <v>0.76</v>
      </c>
      <c r="Y46" s="1094">
        <v>0.86</v>
      </c>
      <c r="Z46" s="1094">
        <v>0.96</v>
      </c>
      <c r="AA46" s="1094">
        <v>1.06</v>
      </c>
      <c r="AB46" s="1095">
        <v>1.1599999999999999</v>
      </c>
      <c r="AC46" s="1074"/>
      <c r="AD46" s="1075"/>
      <c r="AE46" s="1075"/>
      <c r="AF46" s="1075"/>
      <c r="AG46" s="1074"/>
      <c r="AH46" s="362"/>
      <c r="AI46" s="362"/>
      <c r="AJ46" s="362"/>
      <c r="AK46" s="362"/>
      <c r="AL46" s="362"/>
      <c r="AM46" s="362"/>
      <c r="AN46" s="362"/>
      <c r="AO46" s="362"/>
      <c r="AP46" s="362"/>
      <c r="AQ46" s="362"/>
      <c r="AR46" s="362"/>
      <c r="AS46" s="362"/>
      <c r="AT46" s="362"/>
      <c r="AU46" s="362"/>
      <c r="AV46" s="362"/>
      <c r="AW46" s="362"/>
      <c r="AX46" s="2"/>
      <c r="AY46" s="2"/>
      <c r="AZ46" s="2"/>
      <c r="BA46" s="1076"/>
      <c r="BB46" s="362"/>
      <c r="BC46" s="362"/>
      <c r="BD46" s="362"/>
      <c r="BE46" s="362"/>
      <c r="BF46" s="362"/>
      <c r="BG46" s="362"/>
      <c r="BH46" s="362"/>
      <c r="BI46" s="362"/>
      <c r="BJ46" s="362"/>
      <c r="BK46" s="362"/>
      <c r="BL46" s="362"/>
      <c r="BM46" s="362"/>
      <c r="BN46" s="362"/>
      <c r="BO46" s="362"/>
      <c r="BP46" s="36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362"/>
      <c r="CB46" s="362"/>
      <c r="CC46" s="362"/>
      <c r="CD46" s="362"/>
      <c r="CE46" s="362"/>
      <c r="CF46" s="362"/>
      <c r="CG46" s="362"/>
      <c r="CH46" s="362"/>
      <c r="CI46" s="362"/>
      <c r="CJ46" s="362"/>
      <c r="CK46" s="362"/>
      <c r="CL46" s="362"/>
      <c r="CM46" s="362"/>
      <c r="CN46" s="362"/>
      <c r="CO46" s="362"/>
      <c r="CP46" s="362"/>
      <c r="CQ46" s="362"/>
      <c r="CR46" s="362"/>
      <c r="CS46" s="362"/>
      <c r="CT46" s="362"/>
      <c r="CU46" s="362"/>
      <c r="CV46" s="362"/>
      <c r="CW46" s="362"/>
      <c r="CX46" s="362"/>
      <c r="CY46" s="362"/>
      <c r="CZ46" s="362"/>
      <c r="DA46" s="362"/>
      <c r="DB46" s="362"/>
      <c r="DC46" s="362"/>
      <c r="DD46" s="362"/>
      <c r="DE46" s="362"/>
      <c r="DF46" s="362"/>
      <c r="DG46" s="362"/>
      <c r="DH46" s="362"/>
      <c r="DI46" s="362"/>
      <c r="DJ46" s="362"/>
      <c r="DK46" s="362"/>
      <c r="DL46" s="362"/>
      <c r="DM46" s="362"/>
      <c r="DN46" s="362"/>
      <c r="DO46" s="362"/>
      <c r="DP46" s="362"/>
      <c r="DQ46" s="362"/>
      <c r="DR46" s="362"/>
      <c r="DS46" s="362"/>
      <c r="DT46" s="362"/>
      <c r="DU46" s="362"/>
      <c r="DV46" s="362"/>
      <c r="DW46" s="362"/>
      <c r="DX46" s="362"/>
      <c r="DY46" s="362"/>
      <c r="DZ46" s="362"/>
      <c r="EA46" s="362"/>
      <c r="EB46" s="362"/>
      <c r="EC46" s="362"/>
      <c r="ED46" s="362"/>
      <c r="EE46" s="362"/>
      <c r="EF46" s="362"/>
      <c r="EG46" s="362"/>
      <c r="EH46" s="362"/>
      <c r="EI46" s="362"/>
      <c r="EJ46" s="362"/>
      <c r="EK46" s="362"/>
      <c r="EL46" s="362"/>
      <c r="EM46" s="362"/>
      <c r="EN46" s="362"/>
      <c r="EO46" s="362"/>
      <c r="EP46" s="362"/>
      <c r="EQ46" s="362"/>
      <c r="ER46" s="362"/>
      <c r="ES46" s="362"/>
      <c r="ET46" s="362"/>
      <c r="EU46" s="362"/>
      <c r="EV46" s="362"/>
      <c r="EW46" s="362"/>
      <c r="EX46" s="362"/>
      <c r="EY46" s="362"/>
      <c r="EZ46" s="362"/>
      <c r="FA46" s="362"/>
      <c r="FB46" s="362"/>
      <c r="FC46" s="362"/>
      <c r="FD46" s="362"/>
      <c r="FE46" s="362"/>
      <c r="FF46" s="362"/>
      <c r="FG46" s="362"/>
      <c r="FH46" s="362"/>
      <c r="FI46" s="362"/>
      <c r="FJ46" s="362"/>
      <c r="FK46" s="362"/>
      <c r="FL46" s="362"/>
      <c r="FM46" s="362"/>
      <c r="FN46" s="362"/>
      <c r="FO46" s="362"/>
      <c r="FP46" s="362"/>
      <c r="FQ46" s="362"/>
      <c r="FR46" s="362"/>
      <c r="FS46" s="362"/>
      <c r="FT46" s="362"/>
      <c r="FU46" s="362"/>
      <c r="FV46" s="362"/>
      <c r="FW46" s="362"/>
      <c r="FX46" s="362"/>
      <c r="FY46" s="362"/>
      <c r="FZ46" s="362"/>
      <c r="GA46" s="362"/>
      <c r="GB46" s="362"/>
      <c r="GC46" s="362"/>
      <c r="GD46" s="362"/>
      <c r="GE46" s="362"/>
      <c r="GF46" s="362"/>
      <c r="GG46" s="362"/>
      <c r="GH46" s="362"/>
      <c r="GI46" s="362"/>
      <c r="GJ46" s="362"/>
      <c r="GK46" s="362"/>
      <c r="GL46" s="362"/>
      <c r="GM46" s="362"/>
      <c r="GN46" s="362"/>
      <c r="GO46" s="362"/>
      <c r="GP46" s="362"/>
      <c r="GQ46" s="362"/>
      <c r="GR46" s="362"/>
      <c r="GS46" s="362"/>
      <c r="GT46" s="362"/>
      <c r="GU46" s="362"/>
      <c r="GV46" s="362"/>
      <c r="GW46" s="362"/>
      <c r="GX46" s="362"/>
      <c r="GY46" s="362"/>
      <c r="GZ46" s="362"/>
      <c r="HA46" s="362"/>
      <c r="HB46" s="362"/>
      <c r="HC46" s="362"/>
      <c r="HD46" s="362"/>
      <c r="HE46" s="362"/>
      <c r="HF46" s="362"/>
      <c r="HG46" s="362"/>
      <c r="HH46" s="362"/>
      <c r="HI46" s="362"/>
      <c r="HJ46" s="362"/>
      <c r="HK46" s="362"/>
      <c r="HL46" s="362"/>
      <c r="HM46" s="362"/>
      <c r="HN46" s="362"/>
      <c r="HO46" s="362"/>
      <c r="HP46" s="362"/>
      <c r="HQ46" s="362"/>
      <c r="HR46" s="362"/>
      <c r="HS46" s="362"/>
      <c r="HT46" s="362"/>
      <c r="HU46" s="362"/>
      <c r="HV46" s="362"/>
      <c r="HW46" s="362"/>
      <c r="HX46" s="362"/>
      <c r="HY46" s="362"/>
      <c r="HZ46" s="362"/>
      <c r="IA46" s="362"/>
      <c r="IB46" s="362"/>
      <c r="IC46" s="362"/>
      <c r="ID46" s="362"/>
      <c r="IE46" s="362"/>
      <c r="IF46" s="362"/>
      <c r="IG46" s="362"/>
      <c r="IH46" s="362"/>
      <c r="II46" s="362"/>
      <c r="IJ46" s="362"/>
      <c r="IK46" s="362"/>
      <c r="IL46" s="362"/>
      <c r="IM46" s="362"/>
      <c r="IN46" s="362"/>
      <c r="IO46" s="362"/>
      <c r="IP46" s="362"/>
      <c r="IQ46" s="362"/>
      <c r="IR46" s="362"/>
      <c r="IS46" s="362"/>
      <c r="IT46" s="362"/>
    </row>
    <row r="47" spans="1:254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1038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1080"/>
      <c r="Q47" s="1096"/>
      <c r="R47" s="1096"/>
      <c r="S47" s="1096"/>
      <c r="T47" s="1096"/>
      <c r="U47" s="1096"/>
      <c r="V47" s="1096"/>
      <c r="W47" s="1096"/>
      <c r="X47" s="1096"/>
      <c r="Y47" s="1096"/>
      <c r="Z47" s="1096"/>
      <c r="AA47" s="1096"/>
      <c r="AB47" s="2"/>
      <c r="AC47" s="1074"/>
      <c r="AD47" s="1075"/>
      <c r="AE47" s="1075"/>
      <c r="AF47" s="1075"/>
      <c r="AG47" s="1074"/>
      <c r="AH47" s="362"/>
      <c r="AI47" s="362"/>
      <c r="AJ47" s="362"/>
      <c r="AK47" s="362"/>
      <c r="AL47" s="362"/>
      <c r="AM47" s="362"/>
      <c r="AN47" s="362"/>
      <c r="AO47" s="362"/>
      <c r="AP47" s="362"/>
      <c r="AQ47" s="362"/>
      <c r="AR47" s="362"/>
      <c r="AS47" s="362"/>
      <c r="AT47" s="362"/>
      <c r="AU47" s="362"/>
      <c r="AV47" s="362"/>
      <c r="AW47" s="362"/>
      <c r="AX47" s="2"/>
      <c r="AY47" s="2"/>
      <c r="AZ47" s="2"/>
      <c r="BA47" s="1076"/>
      <c r="BB47" s="362"/>
      <c r="BC47" s="362"/>
      <c r="BD47" s="362"/>
      <c r="BE47" s="362"/>
      <c r="BF47" s="362"/>
      <c r="BG47" s="362"/>
      <c r="BH47" s="362"/>
      <c r="BI47" s="362"/>
      <c r="BJ47" s="362"/>
      <c r="BK47" s="362"/>
      <c r="BL47" s="362"/>
      <c r="BM47" s="362"/>
      <c r="BN47" s="362"/>
      <c r="BO47" s="362"/>
      <c r="BP47" s="362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362"/>
      <c r="CB47" s="362"/>
      <c r="CC47" s="362"/>
      <c r="CD47" s="362"/>
      <c r="CE47" s="362"/>
      <c r="CF47" s="362"/>
      <c r="CG47" s="362"/>
      <c r="CH47" s="362"/>
      <c r="CI47" s="362"/>
      <c r="CJ47" s="362"/>
      <c r="CK47" s="362"/>
      <c r="CL47" s="362"/>
      <c r="CM47" s="362"/>
      <c r="CN47" s="362"/>
      <c r="CO47" s="362"/>
      <c r="CP47" s="362"/>
      <c r="CQ47" s="362"/>
      <c r="CR47" s="362"/>
      <c r="CS47" s="362"/>
      <c r="CT47" s="362"/>
      <c r="CU47" s="362"/>
      <c r="CV47" s="362"/>
      <c r="CW47" s="362"/>
      <c r="CX47" s="362"/>
      <c r="CY47" s="362"/>
      <c r="CZ47" s="362"/>
      <c r="DA47" s="362"/>
      <c r="DB47" s="362"/>
      <c r="DC47" s="362"/>
      <c r="DD47" s="362"/>
      <c r="DE47" s="362"/>
      <c r="DF47" s="362"/>
      <c r="DG47" s="362"/>
      <c r="DH47" s="362"/>
      <c r="DI47" s="362"/>
      <c r="DJ47" s="362"/>
      <c r="DK47" s="362"/>
      <c r="DL47" s="362"/>
      <c r="DM47" s="362"/>
      <c r="DN47" s="362"/>
      <c r="DO47" s="362"/>
      <c r="DP47" s="362"/>
      <c r="DQ47" s="362"/>
      <c r="DR47" s="362"/>
      <c r="DS47" s="362"/>
      <c r="DT47" s="362"/>
      <c r="DU47" s="362"/>
      <c r="DV47" s="362"/>
      <c r="DW47" s="362"/>
      <c r="DX47" s="362"/>
      <c r="DY47" s="362"/>
      <c r="DZ47" s="362"/>
      <c r="EA47" s="362"/>
      <c r="EB47" s="362"/>
      <c r="EC47" s="362"/>
      <c r="ED47" s="362"/>
      <c r="EE47" s="362"/>
      <c r="EF47" s="362"/>
      <c r="EG47" s="362"/>
      <c r="EH47" s="362"/>
      <c r="EI47" s="362"/>
      <c r="EJ47" s="362"/>
      <c r="EK47" s="362"/>
      <c r="EL47" s="362"/>
      <c r="EM47" s="362"/>
      <c r="EN47" s="362"/>
      <c r="EO47" s="362"/>
      <c r="EP47" s="362"/>
      <c r="EQ47" s="362"/>
      <c r="ER47" s="362"/>
      <c r="ES47" s="362"/>
      <c r="ET47" s="362"/>
      <c r="EU47" s="362"/>
      <c r="EV47" s="362"/>
      <c r="EW47" s="362"/>
      <c r="EX47" s="362"/>
      <c r="EY47" s="362"/>
      <c r="EZ47" s="362"/>
      <c r="FA47" s="362"/>
      <c r="FB47" s="362"/>
      <c r="FC47" s="362"/>
      <c r="FD47" s="362"/>
      <c r="FE47" s="362"/>
      <c r="FF47" s="362"/>
      <c r="FG47" s="362"/>
      <c r="FH47" s="362"/>
      <c r="FI47" s="362"/>
      <c r="FJ47" s="362"/>
      <c r="FK47" s="362"/>
      <c r="FL47" s="362"/>
      <c r="FM47" s="362"/>
      <c r="FN47" s="362"/>
      <c r="FO47" s="362"/>
      <c r="FP47" s="362"/>
      <c r="FQ47" s="362"/>
      <c r="FR47" s="362"/>
      <c r="FS47" s="362"/>
      <c r="FT47" s="362"/>
      <c r="FU47" s="362"/>
      <c r="FV47" s="362"/>
      <c r="FW47" s="362"/>
      <c r="FX47" s="362"/>
      <c r="FY47" s="362"/>
      <c r="FZ47" s="362"/>
      <c r="GA47" s="362"/>
      <c r="GB47" s="362"/>
      <c r="GC47" s="362"/>
      <c r="GD47" s="362"/>
      <c r="GE47" s="362"/>
      <c r="GF47" s="362"/>
      <c r="GG47" s="362"/>
      <c r="GH47" s="362"/>
      <c r="GI47" s="362"/>
      <c r="GJ47" s="362"/>
      <c r="GK47" s="362"/>
      <c r="GL47" s="362"/>
      <c r="GM47" s="362"/>
      <c r="GN47" s="362"/>
      <c r="GO47" s="362"/>
      <c r="GP47" s="362"/>
      <c r="GQ47" s="362"/>
      <c r="GR47" s="362"/>
      <c r="GS47" s="362"/>
      <c r="GT47" s="362"/>
      <c r="GU47" s="362"/>
      <c r="GV47" s="362"/>
      <c r="GW47" s="362"/>
      <c r="GX47" s="362"/>
      <c r="GY47" s="362"/>
      <c r="GZ47" s="362"/>
      <c r="HA47" s="362"/>
      <c r="HB47" s="362"/>
      <c r="HC47" s="362"/>
      <c r="HD47" s="362"/>
      <c r="HE47" s="362"/>
      <c r="HF47" s="362"/>
      <c r="HG47" s="362"/>
      <c r="HH47" s="362"/>
      <c r="HI47" s="362"/>
      <c r="HJ47" s="362"/>
      <c r="HK47" s="362"/>
      <c r="HL47" s="362"/>
      <c r="HM47" s="362"/>
      <c r="HN47" s="362"/>
      <c r="HO47" s="362"/>
      <c r="HP47" s="362"/>
      <c r="HQ47" s="362"/>
      <c r="HR47" s="362"/>
      <c r="HS47" s="362"/>
      <c r="HT47" s="362"/>
      <c r="HU47" s="362"/>
      <c r="HV47" s="362"/>
      <c r="HW47" s="362"/>
      <c r="HX47" s="362"/>
      <c r="HY47" s="362"/>
      <c r="HZ47" s="362"/>
      <c r="IA47" s="362"/>
      <c r="IB47" s="362"/>
      <c r="IC47" s="362"/>
      <c r="ID47" s="362"/>
      <c r="IE47" s="362"/>
      <c r="IF47" s="362"/>
      <c r="IG47" s="362"/>
      <c r="IH47" s="362"/>
      <c r="II47" s="362"/>
      <c r="IJ47" s="362"/>
      <c r="IK47" s="362"/>
      <c r="IL47" s="362"/>
      <c r="IM47" s="362"/>
      <c r="IN47" s="362"/>
      <c r="IO47" s="362"/>
      <c r="IP47" s="362"/>
      <c r="IQ47" s="362"/>
      <c r="IR47" s="362"/>
      <c r="IS47" s="362"/>
      <c r="IT47" s="362"/>
    </row>
    <row r="48" spans="1:254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083" t="s">
        <v>600</v>
      </c>
      <c r="Q48" s="1084">
        <v>3</v>
      </c>
      <c r="R48" s="1084">
        <v>6</v>
      </c>
      <c r="S48" s="1084">
        <v>9</v>
      </c>
      <c r="T48" s="1084">
        <v>12</v>
      </c>
      <c r="U48" s="1084">
        <v>15</v>
      </c>
      <c r="V48" s="1084">
        <v>18</v>
      </c>
      <c r="W48" s="1084">
        <v>21</v>
      </c>
      <c r="X48" s="1084">
        <v>24</v>
      </c>
      <c r="Y48" s="1084">
        <v>27</v>
      </c>
      <c r="Z48" s="1084">
        <v>30</v>
      </c>
      <c r="AA48" s="1084">
        <v>33</v>
      </c>
      <c r="AB48" s="1084">
        <v>36</v>
      </c>
      <c r="AC48" s="1084">
        <v>39</v>
      </c>
      <c r="AD48" s="1084">
        <v>42</v>
      </c>
      <c r="AE48" s="1084">
        <v>45</v>
      </c>
      <c r="AF48" s="1084">
        <v>48</v>
      </c>
      <c r="AG48" s="1084">
        <v>51</v>
      </c>
      <c r="AH48" s="1084">
        <v>54</v>
      </c>
      <c r="AI48" s="1084">
        <v>57</v>
      </c>
      <c r="AJ48" s="1097">
        <v>60</v>
      </c>
      <c r="AK48" s="362"/>
      <c r="AL48" s="362"/>
      <c r="AM48" s="362"/>
      <c r="AN48" s="362"/>
      <c r="AO48" s="362"/>
      <c r="AP48" s="362"/>
      <c r="AQ48" s="362"/>
      <c r="AR48" s="362"/>
      <c r="AS48" s="362"/>
      <c r="AT48" s="362"/>
      <c r="AU48" s="362"/>
      <c r="AV48" s="362"/>
      <c r="AW48" s="362"/>
      <c r="AX48" s="2"/>
      <c r="AY48" s="2"/>
      <c r="AZ48" s="2"/>
      <c r="BA48" s="1076"/>
      <c r="BB48" s="362"/>
      <c r="BC48" s="362"/>
      <c r="BD48" s="362"/>
      <c r="BE48" s="362"/>
      <c r="BF48" s="362"/>
      <c r="BG48" s="362"/>
      <c r="BH48" s="362"/>
      <c r="BI48" s="362"/>
      <c r="BJ48" s="362"/>
      <c r="BK48" s="362"/>
      <c r="BL48" s="362"/>
      <c r="BM48" s="362"/>
      <c r="BN48" s="362"/>
      <c r="BO48" s="362"/>
      <c r="BP48" s="362"/>
      <c r="BQ48" s="362"/>
      <c r="BR48" s="362"/>
      <c r="BS48" s="362"/>
      <c r="BT48" s="362"/>
      <c r="BU48" s="362"/>
      <c r="BV48" s="362"/>
      <c r="BW48" s="362"/>
      <c r="BX48" s="362"/>
      <c r="BY48" s="362"/>
      <c r="BZ48" s="362"/>
      <c r="CA48" s="362"/>
      <c r="CB48" s="362"/>
      <c r="CC48" s="362"/>
      <c r="CD48" s="362"/>
      <c r="CE48" s="362"/>
      <c r="CF48" s="362"/>
      <c r="CG48" s="362"/>
      <c r="CH48" s="362"/>
      <c r="CI48" s="362"/>
      <c r="CJ48" s="362"/>
      <c r="CK48" s="362"/>
      <c r="CL48" s="362"/>
      <c r="CM48" s="362"/>
      <c r="CN48" s="362"/>
      <c r="CO48" s="362"/>
      <c r="CP48" s="362"/>
      <c r="CQ48" s="362"/>
      <c r="CR48" s="362"/>
      <c r="CS48" s="362"/>
      <c r="CT48" s="362"/>
      <c r="CU48" s="362"/>
      <c r="CV48" s="362"/>
      <c r="CW48" s="362"/>
      <c r="CX48" s="362"/>
      <c r="CY48" s="362"/>
      <c r="CZ48" s="362"/>
      <c r="DA48" s="362"/>
      <c r="DB48" s="362"/>
      <c r="DC48" s="362"/>
      <c r="DD48" s="362"/>
      <c r="DE48" s="362"/>
      <c r="DF48" s="362"/>
      <c r="DG48" s="362"/>
      <c r="DH48" s="362"/>
      <c r="DI48" s="362"/>
      <c r="DJ48" s="362"/>
      <c r="DK48" s="362"/>
      <c r="DL48" s="362"/>
      <c r="DM48" s="362"/>
      <c r="DN48" s="362"/>
      <c r="DO48" s="362"/>
      <c r="DP48" s="362"/>
      <c r="DQ48" s="362"/>
      <c r="DR48" s="362"/>
      <c r="DS48" s="362"/>
      <c r="DT48" s="362"/>
      <c r="DU48" s="362"/>
      <c r="DV48" s="362"/>
      <c r="DW48" s="362"/>
      <c r="DX48" s="362"/>
      <c r="DY48" s="362"/>
      <c r="DZ48" s="362"/>
      <c r="EA48" s="362"/>
      <c r="EB48" s="362"/>
      <c r="EC48" s="362"/>
      <c r="ED48" s="362"/>
      <c r="EE48" s="362"/>
      <c r="EF48" s="362"/>
      <c r="EG48" s="362"/>
      <c r="EH48" s="362"/>
      <c r="EI48" s="362"/>
      <c r="EJ48" s="362"/>
      <c r="EK48" s="362"/>
      <c r="EL48" s="362"/>
      <c r="EM48" s="362"/>
      <c r="EN48" s="362"/>
      <c r="EO48" s="362"/>
      <c r="EP48" s="362"/>
      <c r="EQ48" s="362"/>
      <c r="ER48" s="362"/>
      <c r="ES48" s="362"/>
      <c r="ET48" s="362"/>
      <c r="EU48" s="362"/>
      <c r="EV48" s="362"/>
      <c r="EW48" s="362"/>
      <c r="EX48" s="362"/>
      <c r="EY48" s="362"/>
      <c r="EZ48" s="362"/>
      <c r="FA48" s="362"/>
      <c r="FB48" s="362"/>
      <c r="FC48" s="362"/>
      <c r="FD48" s="362"/>
      <c r="FE48" s="362"/>
      <c r="FF48" s="362"/>
      <c r="FG48" s="362"/>
      <c r="FH48" s="362"/>
      <c r="FI48" s="362"/>
      <c r="FJ48" s="362"/>
      <c r="FK48" s="362"/>
      <c r="FL48" s="362"/>
      <c r="FM48" s="362"/>
      <c r="FN48" s="362"/>
      <c r="FO48" s="362"/>
      <c r="FP48" s="362"/>
      <c r="FQ48" s="362"/>
      <c r="FR48" s="362"/>
      <c r="FS48" s="362"/>
      <c r="FT48" s="362"/>
      <c r="FU48" s="362"/>
      <c r="FV48" s="362"/>
      <c r="FW48" s="362"/>
      <c r="FX48" s="362"/>
      <c r="FY48" s="362"/>
      <c r="FZ48" s="362"/>
      <c r="GA48" s="362"/>
      <c r="GB48" s="362"/>
      <c r="GC48" s="362"/>
      <c r="GD48" s="362"/>
      <c r="GE48" s="362"/>
      <c r="GF48" s="362"/>
      <c r="GG48" s="362"/>
      <c r="GH48" s="362"/>
      <c r="GI48" s="362"/>
      <c r="GJ48" s="362"/>
      <c r="GK48" s="362"/>
      <c r="GL48" s="362"/>
      <c r="GM48" s="362"/>
      <c r="GN48" s="362"/>
      <c r="GO48" s="362"/>
      <c r="GP48" s="362"/>
      <c r="GQ48" s="362"/>
      <c r="GR48" s="362"/>
      <c r="GS48" s="362"/>
      <c r="GT48" s="362"/>
      <c r="GU48" s="362"/>
      <c r="GV48" s="362"/>
      <c r="GW48" s="362"/>
      <c r="GX48" s="362"/>
      <c r="GY48" s="362"/>
      <c r="GZ48" s="362"/>
      <c r="HA48" s="362"/>
      <c r="HB48" s="362"/>
      <c r="HC48" s="362"/>
      <c r="HD48" s="362"/>
      <c r="HE48" s="362"/>
      <c r="HF48" s="362"/>
      <c r="HG48" s="362"/>
      <c r="HH48" s="362"/>
      <c r="HI48" s="362"/>
      <c r="HJ48" s="362"/>
      <c r="HK48" s="362"/>
      <c r="HL48" s="362"/>
      <c r="HM48" s="362"/>
      <c r="HN48" s="362"/>
      <c r="HO48" s="362"/>
      <c r="HP48" s="362"/>
      <c r="HQ48" s="362"/>
      <c r="HR48" s="362"/>
      <c r="HS48" s="362"/>
      <c r="HT48" s="362"/>
      <c r="HU48" s="362"/>
      <c r="HV48" s="362"/>
      <c r="HW48" s="362"/>
      <c r="HX48" s="362"/>
      <c r="HY48" s="362"/>
      <c r="HZ48" s="362"/>
      <c r="IA48" s="362"/>
      <c r="IB48" s="362"/>
      <c r="IC48" s="362"/>
      <c r="ID48" s="362"/>
      <c r="IE48" s="362"/>
      <c r="IF48" s="362"/>
      <c r="IG48" s="362"/>
      <c r="IH48" s="362"/>
      <c r="II48" s="362"/>
      <c r="IJ48" s="362"/>
      <c r="IK48" s="362"/>
      <c r="IL48" s="362"/>
      <c r="IM48" s="362"/>
      <c r="IN48" s="362"/>
      <c r="IO48" s="362"/>
      <c r="IP48" s="362"/>
      <c r="IQ48" s="362"/>
      <c r="IR48" s="362"/>
      <c r="IS48" s="362"/>
      <c r="IT48" s="362"/>
    </row>
    <row r="49" spans="1:254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093" t="s">
        <v>351</v>
      </c>
      <c r="Q49" s="1094">
        <v>0.05</v>
      </c>
      <c r="R49" s="1094">
        <v>0.1</v>
      </c>
      <c r="S49" s="1094">
        <v>0.15</v>
      </c>
      <c r="T49" s="1094">
        <v>0.2</v>
      </c>
      <c r="U49" s="1094">
        <v>0.25</v>
      </c>
      <c r="V49" s="1094">
        <v>0.3</v>
      </c>
      <c r="W49" s="1094">
        <v>0.35</v>
      </c>
      <c r="X49" s="1094">
        <v>0.4</v>
      </c>
      <c r="Y49" s="1094">
        <v>0.45</v>
      </c>
      <c r="Z49" s="1094">
        <v>0.5</v>
      </c>
      <c r="AA49" s="1094">
        <v>0.55000000000000004</v>
      </c>
      <c r="AB49" s="1094">
        <v>0.6</v>
      </c>
      <c r="AC49" s="1094">
        <v>0.65</v>
      </c>
      <c r="AD49" s="1094">
        <v>0.7</v>
      </c>
      <c r="AE49" s="1094">
        <v>0.75</v>
      </c>
      <c r="AF49" s="1094">
        <v>0.8</v>
      </c>
      <c r="AG49" s="1094">
        <v>0.85</v>
      </c>
      <c r="AH49" s="1094">
        <v>0.9</v>
      </c>
      <c r="AI49" s="1094">
        <v>0.95</v>
      </c>
      <c r="AJ49" s="1095">
        <v>1</v>
      </c>
      <c r="AK49" s="362"/>
      <c r="AL49" s="362"/>
      <c r="AM49" s="362"/>
      <c r="AN49" s="362"/>
      <c r="AO49" s="362"/>
      <c r="AP49" s="362"/>
      <c r="AQ49" s="362"/>
      <c r="AR49" s="362"/>
      <c r="AS49" s="362"/>
      <c r="AT49" s="362"/>
      <c r="AU49" s="362"/>
      <c r="AV49" s="362"/>
      <c r="AW49" s="362"/>
      <c r="AX49" s="2"/>
      <c r="AY49" s="2"/>
      <c r="AZ49" s="2"/>
      <c r="BA49" s="1076"/>
      <c r="BB49" s="362"/>
      <c r="BC49" s="362"/>
      <c r="BD49" s="362"/>
      <c r="BE49" s="362"/>
      <c r="BF49" s="362"/>
      <c r="BG49" s="362"/>
      <c r="BH49" s="362"/>
      <c r="BI49" s="362"/>
      <c r="BJ49" s="362"/>
      <c r="BK49" s="362"/>
      <c r="BL49" s="362"/>
      <c r="BM49" s="362"/>
      <c r="BN49" s="362"/>
      <c r="BO49" s="362"/>
      <c r="BP49" s="362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362"/>
      <c r="CB49" s="362"/>
      <c r="CC49" s="362"/>
      <c r="CD49" s="362"/>
      <c r="CE49" s="362"/>
      <c r="CF49" s="362"/>
      <c r="CG49" s="362"/>
      <c r="CH49" s="362"/>
      <c r="CI49" s="362"/>
      <c r="CJ49" s="362"/>
      <c r="CK49" s="362"/>
      <c r="CL49" s="362"/>
      <c r="CM49" s="362"/>
      <c r="CN49" s="362"/>
      <c r="CO49" s="362"/>
      <c r="CP49" s="362"/>
      <c r="CQ49" s="362"/>
      <c r="CR49" s="362"/>
      <c r="CS49" s="362"/>
      <c r="CT49" s="362"/>
      <c r="CU49" s="362"/>
      <c r="CV49" s="362"/>
      <c r="CW49" s="362"/>
      <c r="CX49" s="362"/>
      <c r="CY49" s="362"/>
      <c r="CZ49" s="362"/>
      <c r="DA49" s="362"/>
      <c r="DB49" s="362"/>
      <c r="DC49" s="362"/>
      <c r="DD49" s="362"/>
      <c r="DE49" s="362"/>
      <c r="DF49" s="362"/>
      <c r="DG49" s="362"/>
      <c r="DH49" s="362"/>
      <c r="DI49" s="362"/>
      <c r="DJ49" s="362"/>
      <c r="DK49" s="362"/>
      <c r="DL49" s="362"/>
      <c r="DM49" s="362"/>
      <c r="DN49" s="362"/>
      <c r="DO49" s="362"/>
      <c r="DP49" s="362"/>
      <c r="DQ49" s="362"/>
      <c r="DR49" s="362"/>
      <c r="DS49" s="362"/>
      <c r="DT49" s="362"/>
      <c r="DU49" s="362"/>
      <c r="DV49" s="362"/>
      <c r="DW49" s="362"/>
      <c r="DX49" s="362"/>
      <c r="DY49" s="362"/>
      <c r="DZ49" s="362"/>
      <c r="EA49" s="362"/>
      <c r="EB49" s="362"/>
      <c r="EC49" s="362"/>
      <c r="ED49" s="362"/>
      <c r="EE49" s="362"/>
      <c r="EF49" s="362"/>
      <c r="EG49" s="362"/>
      <c r="EH49" s="362"/>
      <c r="EI49" s="362"/>
      <c r="EJ49" s="362"/>
      <c r="EK49" s="362"/>
      <c r="EL49" s="362"/>
      <c r="EM49" s="362"/>
      <c r="EN49" s="362"/>
      <c r="EO49" s="362"/>
      <c r="EP49" s="362"/>
      <c r="EQ49" s="362"/>
      <c r="ER49" s="362"/>
      <c r="ES49" s="362"/>
      <c r="ET49" s="362"/>
      <c r="EU49" s="362"/>
      <c r="EV49" s="362"/>
      <c r="EW49" s="362"/>
      <c r="EX49" s="362"/>
      <c r="EY49" s="362"/>
      <c r="EZ49" s="362"/>
      <c r="FA49" s="362"/>
      <c r="FB49" s="362"/>
      <c r="FC49" s="362"/>
      <c r="FD49" s="362"/>
      <c r="FE49" s="362"/>
      <c r="FF49" s="362"/>
      <c r="FG49" s="362"/>
      <c r="FH49" s="362"/>
      <c r="FI49" s="362"/>
      <c r="FJ49" s="362"/>
      <c r="FK49" s="362"/>
      <c r="FL49" s="362"/>
      <c r="FM49" s="362"/>
      <c r="FN49" s="362"/>
      <c r="FO49" s="362"/>
      <c r="FP49" s="362"/>
      <c r="FQ49" s="362"/>
      <c r="FR49" s="362"/>
      <c r="FS49" s="362"/>
      <c r="FT49" s="362"/>
      <c r="FU49" s="362"/>
      <c r="FV49" s="362"/>
      <c r="FW49" s="362"/>
      <c r="FX49" s="362"/>
      <c r="FY49" s="362"/>
      <c r="FZ49" s="362"/>
      <c r="GA49" s="362"/>
      <c r="GB49" s="362"/>
      <c r="GC49" s="362"/>
      <c r="GD49" s="362"/>
      <c r="GE49" s="362"/>
      <c r="GF49" s="362"/>
      <c r="GG49" s="362"/>
      <c r="GH49" s="362"/>
      <c r="GI49" s="362"/>
      <c r="GJ49" s="362"/>
      <c r="GK49" s="362"/>
      <c r="GL49" s="362"/>
      <c r="GM49" s="362"/>
      <c r="GN49" s="362"/>
      <c r="GO49" s="362"/>
      <c r="GP49" s="362"/>
      <c r="GQ49" s="362"/>
      <c r="GR49" s="362"/>
      <c r="GS49" s="362"/>
      <c r="GT49" s="362"/>
      <c r="GU49" s="362"/>
      <c r="GV49" s="362"/>
      <c r="GW49" s="362"/>
      <c r="GX49" s="362"/>
      <c r="GY49" s="362"/>
      <c r="GZ49" s="362"/>
      <c r="HA49" s="362"/>
      <c r="HB49" s="362"/>
      <c r="HC49" s="362"/>
      <c r="HD49" s="362"/>
      <c r="HE49" s="362"/>
      <c r="HF49" s="362"/>
      <c r="HG49" s="362"/>
      <c r="HH49" s="362"/>
      <c r="HI49" s="362"/>
      <c r="HJ49" s="362"/>
      <c r="HK49" s="362"/>
      <c r="HL49" s="362"/>
      <c r="HM49" s="362"/>
      <c r="HN49" s="362"/>
      <c r="HO49" s="362"/>
      <c r="HP49" s="362"/>
      <c r="HQ49" s="362"/>
      <c r="HR49" s="362"/>
      <c r="HS49" s="362"/>
      <c r="HT49" s="362"/>
      <c r="HU49" s="362"/>
      <c r="HV49" s="362"/>
      <c r="HW49" s="362"/>
      <c r="HX49" s="362"/>
      <c r="HY49" s="362"/>
      <c r="HZ49" s="362"/>
      <c r="IA49" s="362"/>
      <c r="IB49" s="362"/>
      <c r="IC49" s="362"/>
      <c r="ID49" s="362"/>
      <c r="IE49" s="362"/>
      <c r="IF49" s="362"/>
      <c r="IG49" s="362"/>
      <c r="IH49" s="362"/>
      <c r="II49" s="362"/>
      <c r="IJ49" s="362"/>
      <c r="IK49" s="362"/>
      <c r="IL49" s="362"/>
      <c r="IM49" s="362"/>
      <c r="IN49" s="362"/>
      <c r="IO49" s="362"/>
      <c r="IP49" s="362"/>
      <c r="IQ49" s="362"/>
      <c r="IR49" s="362"/>
      <c r="IS49" s="362"/>
      <c r="IT49" s="362"/>
    </row>
    <row r="50" spans="1:254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CRÍTICA_IGP1!$E$50</f>
        <v>25567</v>
      </c>
      <c r="F50" s="1268">
        <f>'MTS - MAPA DE TEMPO DE SERVIÇO'!$H$40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1080"/>
      <c r="Q50" s="1096"/>
      <c r="R50" s="1096"/>
      <c r="S50" s="1096"/>
      <c r="T50" s="1096"/>
      <c r="U50" s="1096"/>
      <c r="V50" s="1096"/>
      <c r="W50" s="1096"/>
      <c r="X50" s="1096"/>
      <c r="Y50" s="1096"/>
      <c r="Z50" s="1096"/>
      <c r="AA50" s="1096"/>
      <c r="AB50" s="2"/>
      <c r="AC50" s="1074"/>
      <c r="AD50" s="1075"/>
      <c r="AE50" s="1075"/>
      <c r="AF50" s="1075"/>
      <c r="AG50" s="1074"/>
      <c r="AH50" s="362"/>
      <c r="AI50" s="362"/>
      <c r="AJ50" s="362"/>
      <c r="AK50" s="362"/>
      <c r="AL50" s="362"/>
      <c r="AM50" s="362"/>
      <c r="AN50" s="362"/>
      <c r="AO50" s="362"/>
      <c r="AP50" s="362"/>
      <c r="AQ50" s="362"/>
      <c r="AR50" s="362"/>
      <c r="AS50" s="362"/>
      <c r="AT50" s="362"/>
      <c r="AU50" s="362"/>
      <c r="AV50" s="362"/>
      <c r="AW50" s="362"/>
      <c r="AX50" s="2"/>
      <c r="AY50" s="2"/>
      <c r="AZ50" s="2"/>
      <c r="BA50" s="1076"/>
      <c r="BB50" s="362"/>
      <c r="BC50" s="362"/>
      <c r="BD50" s="362"/>
      <c r="BE50" s="362"/>
      <c r="BF50" s="362"/>
      <c r="BG50" s="362"/>
      <c r="BH50" s="362"/>
      <c r="BI50" s="362"/>
      <c r="BJ50" s="362"/>
      <c r="BK50" s="362"/>
      <c r="BL50" s="362"/>
      <c r="BM50" s="362"/>
      <c r="BN50" s="362"/>
      <c r="BO50" s="362"/>
      <c r="BP50" s="362"/>
      <c r="BQ50" s="362"/>
      <c r="BR50" s="362"/>
      <c r="BS50" s="362"/>
      <c r="BT50" s="362"/>
      <c r="BU50" s="362"/>
      <c r="BV50" s="362"/>
      <c r="BW50" s="362"/>
      <c r="BX50" s="362"/>
      <c r="BY50" s="362"/>
      <c r="BZ50" s="362"/>
      <c r="CA50" s="362"/>
      <c r="CB50" s="362"/>
      <c r="CC50" s="362"/>
      <c r="CD50" s="362"/>
      <c r="CE50" s="362"/>
      <c r="CF50" s="362"/>
      <c r="CG50" s="362"/>
      <c r="CH50" s="362"/>
      <c r="CI50" s="362"/>
      <c r="CJ50" s="362"/>
      <c r="CK50" s="362"/>
      <c r="CL50" s="362"/>
      <c r="CM50" s="362"/>
      <c r="CN50" s="362"/>
      <c r="CO50" s="362"/>
      <c r="CP50" s="362"/>
      <c r="CQ50" s="362"/>
      <c r="CR50" s="362"/>
      <c r="CS50" s="362"/>
      <c r="CT50" s="362"/>
      <c r="CU50" s="362"/>
      <c r="CV50" s="362"/>
      <c r="CW50" s="362"/>
      <c r="CX50" s="362"/>
      <c r="CY50" s="362"/>
      <c r="CZ50" s="362"/>
      <c r="DA50" s="362"/>
      <c r="DB50" s="362"/>
      <c r="DC50" s="362"/>
      <c r="DD50" s="362"/>
      <c r="DE50" s="362"/>
      <c r="DF50" s="362"/>
      <c r="DG50" s="362"/>
      <c r="DH50" s="362"/>
      <c r="DI50" s="362"/>
      <c r="DJ50" s="362"/>
      <c r="DK50" s="362"/>
      <c r="DL50" s="362"/>
      <c r="DM50" s="362"/>
      <c r="DN50" s="362"/>
      <c r="DO50" s="362"/>
      <c r="DP50" s="362"/>
      <c r="DQ50" s="362"/>
      <c r="DR50" s="362"/>
      <c r="DS50" s="362"/>
      <c r="DT50" s="362"/>
      <c r="DU50" s="362"/>
      <c r="DV50" s="362"/>
      <c r="DW50" s="362"/>
      <c r="DX50" s="362"/>
      <c r="DY50" s="362"/>
      <c r="DZ50" s="362"/>
      <c r="EA50" s="362"/>
      <c r="EB50" s="362"/>
      <c r="EC50" s="362"/>
      <c r="ED50" s="362"/>
      <c r="EE50" s="362"/>
      <c r="EF50" s="362"/>
      <c r="EG50" s="362"/>
      <c r="EH50" s="362"/>
      <c r="EI50" s="362"/>
      <c r="EJ50" s="362"/>
      <c r="EK50" s="362"/>
      <c r="EL50" s="362"/>
      <c r="EM50" s="362"/>
      <c r="EN50" s="362"/>
      <c r="EO50" s="362"/>
      <c r="EP50" s="362"/>
      <c r="EQ50" s="362"/>
      <c r="ER50" s="362"/>
      <c r="ES50" s="362"/>
      <c r="ET50" s="362"/>
      <c r="EU50" s="362"/>
      <c r="EV50" s="362"/>
      <c r="EW50" s="362"/>
      <c r="EX50" s="362"/>
      <c r="EY50" s="362"/>
      <c r="EZ50" s="362"/>
      <c r="FA50" s="362"/>
      <c r="FB50" s="362"/>
      <c r="FC50" s="362"/>
      <c r="FD50" s="362"/>
      <c r="FE50" s="362"/>
      <c r="FF50" s="362"/>
      <c r="FG50" s="362"/>
      <c r="FH50" s="362"/>
      <c r="FI50" s="362"/>
      <c r="FJ50" s="362"/>
      <c r="FK50" s="362"/>
      <c r="FL50" s="362"/>
      <c r="FM50" s="362"/>
      <c r="FN50" s="362"/>
      <c r="FO50" s="362"/>
      <c r="FP50" s="362"/>
      <c r="FQ50" s="362"/>
      <c r="FR50" s="362"/>
      <c r="FS50" s="362"/>
      <c r="FT50" s="362"/>
      <c r="FU50" s="362"/>
      <c r="FV50" s="362"/>
      <c r="FW50" s="362"/>
      <c r="FX50" s="362"/>
      <c r="FY50" s="362"/>
      <c r="FZ50" s="362"/>
      <c r="GA50" s="362"/>
      <c r="GB50" s="362"/>
      <c r="GC50" s="362"/>
      <c r="GD50" s="362"/>
      <c r="GE50" s="362"/>
      <c r="GF50" s="362"/>
      <c r="GG50" s="362"/>
      <c r="GH50" s="362"/>
      <c r="GI50" s="362"/>
      <c r="GJ50" s="362"/>
      <c r="GK50" s="362"/>
      <c r="GL50" s="362"/>
      <c r="GM50" s="362"/>
      <c r="GN50" s="362"/>
      <c r="GO50" s="362"/>
      <c r="GP50" s="362"/>
      <c r="GQ50" s="362"/>
      <c r="GR50" s="362"/>
      <c r="GS50" s="362"/>
      <c r="GT50" s="362"/>
      <c r="GU50" s="362"/>
      <c r="GV50" s="362"/>
      <c r="GW50" s="362"/>
      <c r="GX50" s="362"/>
      <c r="GY50" s="362"/>
      <c r="GZ50" s="362"/>
      <c r="HA50" s="362"/>
      <c r="HB50" s="362"/>
      <c r="HC50" s="362"/>
      <c r="HD50" s="362"/>
      <c r="HE50" s="362"/>
      <c r="HF50" s="362"/>
      <c r="HG50" s="362"/>
      <c r="HH50" s="362"/>
      <c r="HI50" s="362"/>
      <c r="HJ50" s="362"/>
      <c r="HK50" s="362"/>
      <c r="HL50" s="362"/>
      <c r="HM50" s="362"/>
      <c r="HN50" s="362"/>
      <c r="HO50" s="362"/>
      <c r="HP50" s="362"/>
      <c r="HQ50" s="362"/>
      <c r="HR50" s="362"/>
      <c r="HS50" s="362"/>
      <c r="HT50" s="362"/>
      <c r="HU50" s="362"/>
      <c r="HV50" s="362"/>
      <c r="HW50" s="362"/>
      <c r="HX50" s="362"/>
      <c r="HY50" s="362"/>
      <c r="HZ50" s="362"/>
      <c r="IA50" s="362"/>
      <c r="IB50" s="362"/>
      <c r="IC50" s="362"/>
      <c r="ID50" s="362"/>
      <c r="IE50" s="362"/>
      <c r="IF50" s="362"/>
      <c r="IG50" s="362"/>
      <c r="IH50" s="362"/>
      <c r="II50" s="362"/>
      <c r="IJ50" s="362"/>
      <c r="IK50" s="362"/>
      <c r="IL50" s="362"/>
      <c r="IM50" s="362"/>
      <c r="IN50" s="362"/>
      <c r="IO50" s="362"/>
      <c r="IP50" s="362"/>
      <c r="IQ50" s="362"/>
      <c r="IR50" s="362"/>
      <c r="IS50" s="362"/>
      <c r="IT50" s="362"/>
    </row>
    <row r="51" spans="1:254" ht="6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083" t="s">
        <v>687</v>
      </c>
      <c r="Q51" s="1084">
        <v>3</v>
      </c>
      <c r="R51" s="1084">
        <v>6</v>
      </c>
      <c r="S51" s="1084">
        <v>9</v>
      </c>
      <c r="T51" s="1084">
        <v>12</v>
      </c>
      <c r="U51" s="1084">
        <v>15</v>
      </c>
      <c r="V51" s="1084">
        <v>18</v>
      </c>
      <c r="W51" s="1084">
        <v>21</v>
      </c>
      <c r="X51" s="1084">
        <v>24</v>
      </c>
      <c r="Y51" s="1084">
        <v>27</v>
      </c>
      <c r="Z51" s="1084">
        <v>30</v>
      </c>
      <c r="AA51" s="1084">
        <v>33</v>
      </c>
      <c r="AB51" s="1097">
        <v>36</v>
      </c>
      <c r="AC51" s="362"/>
      <c r="AD51" s="362"/>
      <c r="AE51" s="362"/>
      <c r="AF51" s="362"/>
      <c r="AG51" s="362"/>
      <c r="AH51" s="362"/>
      <c r="AI51" s="362"/>
      <c r="AJ51" s="362"/>
      <c r="AK51" s="362"/>
      <c r="AL51" s="362"/>
      <c r="AM51" s="362"/>
      <c r="AN51" s="362"/>
      <c r="AO51" s="362"/>
      <c r="AP51" s="362"/>
      <c r="AQ51" s="362"/>
      <c r="AR51" s="362"/>
      <c r="AS51" s="362"/>
      <c r="AT51" s="362"/>
      <c r="AU51" s="362"/>
      <c r="AV51" s="362"/>
      <c r="AW51" s="362"/>
      <c r="AX51" s="2"/>
      <c r="AY51" s="2"/>
      <c r="AZ51" s="2"/>
      <c r="BA51" s="1076"/>
      <c r="BB51" s="362"/>
      <c r="BC51" s="362"/>
      <c r="BD51" s="362"/>
      <c r="BE51" s="362"/>
      <c r="BF51" s="362"/>
      <c r="BG51" s="362"/>
      <c r="BH51" s="362"/>
      <c r="BI51" s="362"/>
      <c r="BJ51" s="362"/>
      <c r="BK51" s="362"/>
      <c r="BL51" s="362"/>
      <c r="BM51" s="362"/>
      <c r="BN51" s="362"/>
      <c r="BO51" s="362"/>
      <c r="BP51" s="362"/>
      <c r="BQ51" s="362"/>
      <c r="BR51" s="362"/>
      <c r="BS51" s="362"/>
      <c r="BT51" s="362"/>
      <c r="BU51" s="362"/>
      <c r="BV51" s="362"/>
      <c r="BW51" s="362"/>
      <c r="BX51" s="362"/>
      <c r="BY51" s="362"/>
      <c r="BZ51" s="362"/>
      <c r="CA51" s="362"/>
      <c r="CB51" s="362"/>
      <c r="CC51" s="362"/>
      <c r="CD51" s="362"/>
      <c r="CE51" s="362"/>
      <c r="CF51" s="362"/>
      <c r="CG51" s="362"/>
      <c r="CH51" s="362"/>
      <c r="CI51" s="362"/>
      <c r="CJ51" s="362"/>
      <c r="CK51" s="362"/>
      <c r="CL51" s="362"/>
      <c r="CM51" s="362"/>
      <c r="CN51" s="362"/>
      <c r="CO51" s="362"/>
      <c r="CP51" s="362"/>
      <c r="CQ51" s="362"/>
      <c r="CR51" s="362"/>
      <c r="CS51" s="362"/>
      <c r="CT51" s="362"/>
      <c r="CU51" s="362"/>
      <c r="CV51" s="362"/>
      <c r="CW51" s="362"/>
      <c r="CX51" s="362"/>
      <c r="CY51" s="362"/>
      <c r="CZ51" s="362"/>
      <c r="DA51" s="362"/>
      <c r="DB51" s="362"/>
      <c r="DC51" s="362"/>
      <c r="DD51" s="362"/>
      <c r="DE51" s="362"/>
      <c r="DF51" s="362"/>
      <c r="DG51" s="362"/>
      <c r="DH51" s="362"/>
      <c r="DI51" s="362"/>
      <c r="DJ51" s="362"/>
      <c r="DK51" s="362"/>
      <c r="DL51" s="362"/>
      <c r="DM51" s="362"/>
      <c r="DN51" s="362"/>
      <c r="DO51" s="362"/>
      <c r="DP51" s="362"/>
      <c r="DQ51" s="362"/>
      <c r="DR51" s="362"/>
      <c r="DS51" s="362"/>
      <c r="DT51" s="362"/>
      <c r="DU51" s="362"/>
      <c r="DV51" s="362"/>
      <c r="DW51" s="362"/>
      <c r="DX51" s="362"/>
      <c r="DY51" s="362"/>
      <c r="DZ51" s="362"/>
      <c r="EA51" s="362"/>
      <c r="EB51" s="362"/>
      <c r="EC51" s="362"/>
      <c r="ED51" s="362"/>
      <c r="EE51" s="362"/>
      <c r="EF51" s="362"/>
      <c r="EG51" s="362"/>
      <c r="EH51" s="362"/>
      <c r="EI51" s="362"/>
      <c r="EJ51" s="362"/>
      <c r="EK51" s="362"/>
      <c r="EL51" s="362"/>
      <c r="EM51" s="362"/>
      <c r="EN51" s="362"/>
      <c r="EO51" s="362"/>
      <c r="EP51" s="362"/>
      <c r="EQ51" s="362"/>
      <c r="ER51" s="362"/>
      <c r="ES51" s="362"/>
      <c r="ET51" s="362"/>
      <c r="EU51" s="362"/>
      <c r="EV51" s="362"/>
      <c r="EW51" s="362"/>
      <c r="EX51" s="362"/>
      <c r="EY51" s="362"/>
      <c r="EZ51" s="362"/>
      <c r="FA51" s="362"/>
      <c r="FB51" s="362"/>
      <c r="FC51" s="362"/>
      <c r="FD51" s="362"/>
      <c r="FE51" s="362"/>
      <c r="FF51" s="362"/>
      <c r="FG51" s="362"/>
      <c r="FH51" s="362"/>
      <c r="FI51" s="362"/>
      <c r="FJ51" s="362"/>
      <c r="FK51" s="362"/>
      <c r="FL51" s="362"/>
      <c r="FM51" s="362"/>
      <c r="FN51" s="362"/>
      <c r="FO51" s="362"/>
      <c r="FP51" s="362"/>
      <c r="FQ51" s="362"/>
      <c r="FR51" s="362"/>
      <c r="FS51" s="362"/>
      <c r="FT51" s="362"/>
      <c r="FU51" s="362"/>
      <c r="FV51" s="362"/>
      <c r="FW51" s="362"/>
      <c r="FX51" s="362"/>
      <c r="FY51" s="362"/>
      <c r="FZ51" s="362"/>
      <c r="GA51" s="362"/>
      <c r="GB51" s="362"/>
      <c r="GC51" s="362"/>
      <c r="GD51" s="362"/>
      <c r="GE51" s="362"/>
      <c r="GF51" s="362"/>
      <c r="GG51" s="362"/>
      <c r="GH51" s="362"/>
      <c r="GI51" s="362"/>
      <c r="GJ51" s="362"/>
      <c r="GK51" s="362"/>
      <c r="GL51" s="362"/>
      <c r="GM51" s="362"/>
      <c r="GN51" s="362"/>
      <c r="GO51" s="362"/>
      <c r="GP51" s="362"/>
      <c r="GQ51" s="362"/>
      <c r="GR51" s="362"/>
      <c r="GS51" s="362"/>
      <c r="GT51" s="362"/>
      <c r="GU51" s="362"/>
      <c r="GV51" s="362"/>
      <c r="GW51" s="362"/>
      <c r="GX51" s="362"/>
      <c r="GY51" s="362"/>
      <c r="GZ51" s="362"/>
      <c r="HA51" s="362"/>
      <c r="HB51" s="362"/>
      <c r="HC51" s="362"/>
      <c r="HD51" s="362"/>
      <c r="HE51" s="362"/>
      <c r="HF51" s="362"/>
      <c r="HG51" s="362"/>
      <c r="HH51" s="362"/>
      <c r="HI51" s="362"/>
      <c r="HJ51" s="362"/>
      <c r="HK51" s="362"/>
      <c r="HL51" s="362"/>
      <c r="HM51" s="362"/>
      <c r="HN51" s="362"/>
      <c r="HO51" s="362"/>
      <c r="HP51" s="362"/>
      <c r="HQ51" s="362"/>
      <c r="HR51" s="362"/>
      <c r="HS51" s="362"/>
      <c r="HT51" s="362"/>
      <c r="HU51" s="362"/>
      <c r="HV51" s="362"/>
      <c r="HW51" s="362"/>
      <c r="HX51" s="362"/>
      <c r="HY51" s="362"/>
      <c r="HZ51" s="362"/>
      <c r="IA51" s="362"/>
      <c r="IB51" s="362"/>
      <c r="IC51" s="362"/>
      <c r="ID51" s="362"/>
      <c r="IE51" s="362"/>
      <c r="IF51" s="362"/>
      <c r="IG51" s="362"/>
      <c r="IH51" s="362"/>
      <c r="II51" s="362"/>
      <c r="IJ51" s="362"/>
      <c r="IK51" s="362"/>
      <c r="IL51" s="362"/>
      <c r="IM51" s="362"/>
      <c r="IN51" s="362"/>
      <c r="IO51" s="362"/>
      <c r="IP51" s="362"/>
      <c r="IQ51" s="362"/>
      <c r="IR51" s="362"/>
      <c r="IS51" s="362"/>
      <c r="IT51" s="362"/>
    </row>
    <row r="52" spans="1:254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093" t="s">
        <v>351</v>
      </c>
      <c r="Q52" s="1094">
        <v>0.1</v>
      </c>
      <c r="R52" s="1094">
        <v>0.15</v>
      </c>
      <c r="S52" s="1094">
        <v>0.2</v>
      </c>
      <c r="T52" s="1094">
        <v>0.25</v>
      </c>
      <c r="U52" s="1094">
        <v>0.28000000000000003</v>
      </c>
      <c r="V52" s="1094">
        <v>0.31</v>
      </c>
      <c r="W52" s="1094">
        <v>0.34</v>
      </c>
      <c r="X52" s="1094">
        <v>0.37</v>
      </c>
      <c r="Y52" s="1094">
        <v>0.4</v>
      </c>
      <c r="Z52" s="1094"/>
      <c r="AA52" s="1094"/>
      <c r="AB52" s="1095"/>
      <c r="AC52" s="362"/>
      <c r="AD52" s="362"/>
      <c r="AE52" s="362"/>
      <c r="AF52" s="362"/>
      <c r="AG52" s="362"/>
      <c r="AH52" s="362"/>
      <c r="AI52" s="362"/>
      <c r="AJ52" s="362"/>
      <c r="AK52" s="362"/>
      <c r="AL52" s="362"/>
      <c r="AM52" s="362"/>
      <c r="AN52" s="362"/>
      <c r="AO52" s="362"/>
      <c r="AP52" s="362"/>
      <c r="AQ52" s="362"/>
      <c r="AR52" s="362"/>
      <c r="AS52" s="362"/>
      <c r="AT52" s="362"/>
      <c r="AU52" s="362"/>
      <c r="AV52" s="362"/>
      <c r="AW52" s="362"/>
      <c r="AX52" s="2"/>
      <c r="AY52" s="2"/>
      <c r="AZ52" s="2"/>
      <c r="BA52" s="1076"/>
      <c r="BB52" s="362"/>
      <c r="BC52" s="362"/>
      <c r="BD52" s="362"/>
      <c r="BE52" s="362"/>
      <c r="BF52" s="362"/>
      <c r="BG52" s="362"/>
      <c r="BH52" s="362"/>
      <c r="BI52" s="362"/>
      <c r="BJ52" s="362"/>
      <c r="BK52" s="362"/>
      <c r="BL52" s="362"/>
      <c r="BM52" s="362"/>
      <c r="BN52" s="362"/>
      <c r="BO52" s="362"/>
      <c r="BP52" s="362"/>
      <c r="BQ52" s="362"/>
      <c r="BR52" s="362"/>
      <c r="BS52" s="362"/>
      <c r="BT52" s="362"/>
      <c r="BU52" s="362"/>
      <c r="BV52" s="362"/>
      <c r="BW52" s="362"/>
      <c r="BX52" s="362"/>
      <c r="BY52" s="362"/>
      <c r="BZ52" s="362"/>
      <c r="CA52" s="362"/>
      <c r="CB52" s="362"/>
      <c r="CC52" s="362"/>
      <c r="CD52" s="362"/>
      <c r="CE52" s="362"/>
      <c r="CF52" s="362"/>
      <c r="CG52" s="362"/>
      <c r="CH52" s="362"/>
      <c r="CI52" s="362"/>
      <c r="CJ52" s="362"/>
      <c r="CK52" s="362"/>
      <c r="CL52" s="362"/>
      <c r="CM52" s="362"/>
      <c r="CN52" s="362"/>
      <c r="CO52" s="362"/>
      <c r="CP52" s="362"/>
      <c r="CQ52" s="362"/>
      <c r="CR52" s="362"/>
      <c r="CS52" s="362"/>
      <c r="CT52" s="362"/>
      <c r="CU52" s="362"/>
      <c r="CV52" s="362"/>
      <c r="CW52" s="362"/>
      <c r="CX52" s="362"/>
      <c r="CY52" s="362"/>
      <c r="CZ52" s="362"/>
      <c r="DA52" s="362"/>
      <c r="DB52" s="362"/>
      <c r="DC52" s="362"/>
      <c r="DD52" s="362"/>
      <c r="DE52" s="362"/>
      <c r="DF52" s="362"/>
      <c r="DG52" s="362"/>
      <c r="DH52" s="362"/>
      <c r="DI52" s="362"/>
      <c r="DJ52" s="362"/>
      <c r="DK52" s="362"/>
      <c r="DL52" s="362"/>
      <c r="DM52" s="362"/>
      <c r="DN52" s="362"/>
      <c r="DO52" s="362"/>
      <c r="DP52" s="362"/>
      <c r="DQ52" s="362"/>
      <c r="DR52" s="362"/>
      <c r="DS52" s="362"/>
      <c r="DT52" s="362"/>
      <c r="DU52" s="362"/>
      <c r="DV52" s="362"/>
      <c r="DW52" s="362"/>
      <c r="DX52" s="362"/>
      <c r="DY52" s="362"/>
      <c r="DZ52" s="362"/>
      <c r="EA52" s="362"/>
      <c r="EB52" s="362"/>
      <c r="EC52" s="362"/>
      <c r="ED52" s="362"/>
      <c r="EE52" s="362"/>
      <c r="EF52" s="362"/>
      <c r="EG52" s="362"/>
      <c r="EH52" s="362"/>
      <c r="EI52" s="362"/>
      <c r="EJ52" s="362"/>
      <c r="EK52" s="362"/>
      <c r="EL52" s="362"/>
      <c r="EM52" s="362"/>
      <c r="EN52" s="362"/>
      <c r="EO52" s="362"/>
      <c r="EP52" s="362"/>
      <c r="EQ52" s="362"/>
      <c r="ER52" s="362"/>
      <c r="ES52" s="362"/>
      <c r="ET52" s="362"/>
      <c r="EU52" s="362"/>
      <c r="EV52" s="362"/>
      <c r="EW52" s="362"/>
      <c r="EX52" s="362"/>
      <c r="EY52" s="362"/>
      <c r="EZ52" s="362"/>
      <c r="FA52" s="362"/>
      <c r="FB52" s="362"/>
      <c r="FC52" s="362"/>
      <c r="FD52" s="362"/>
      <c r="FE52" s="362"/>
      <c r="FF52" s="362"/>
      <c r="FG52" s="362"/>
      <c r="FH52" s="362"/>
      <c r="FI52" s="362"/>
      <c r="FJ52" s="362"/>
      <c r="FK52" s="362"/>
      <c r="FL52" s="362"/>
      <c r="FM52" s="362"/>
      <c r="FN52" s="362"/>
      <c r="FO52" s="362"/>
      <c r="FP52" s="362"/>
      <c r="FQ52" s="362"/>
      <c r="FR52" s="362"/>
      <c r="FS52" s="362"/>
      <c r="FT52" s="362"/>
      <c r="FU52" s="362"/>
      <c r="FV52" s="362"/>
      <c r="FW52" s="362"/>
      <c r="FX52" s="362"/>
      <c r="FY52" s="362"/>
      <c r="FZ52" s="362"/>
      <c r="GA52" s="362"/>
      <c r="GB52" s="362"/>
      <c r="GC52" s="362"/>
      <c r="GD52" s="362"/>
      <c r="GE52" s="362"/>
      <c r="GF52" s="362"/>
      <c r="GG52" s="362"/>
      <c r="GH52" s="362"/>
      <c r="GI52" s="362"/>
      <c r="GJ52" s="362"/>
      <c r="GK52" s="362"/>
      <c r="GL52" s="362"/>
      <c r="GM52" s="362"/>
      <c r="GN52" s="362"/>
      <c r="GO52" s="362"/>
      <c r="GP52" s="362"/>
      <c r="GQ52" s="362"/>
      <c r="GR52" s="362"/>
      <c r="GS52" s="362"/>
      <c r="GT52" s="362"/>
      <c r="GU52" s="362"/>
      <c r="GV52" s="362"/>
      <c r="GW52" s="362"/>
      <c r="GX52" s="362"/>
      <c r="GY52" s="362"/>
      <c r="GZ52" s="362"/>
      <c r="HA52" s="362"/>
      <c r="HB52" s="362"/>
      <c r="HC52" s="362"/>
      <c r="HD52" s="362"/>
      <c r="HE52" s="362"/>
      <c r="HF52" s="362"/>
      <c r="HG52" s="362"/>
      <c r="HH52" s="362"/>
      <c r="HI52" s="362"/>
      <c r="HJ52" s="362"/>
      <c r="HK52" s="362"/>
      <c r="HL52" s="362"/>
      <c r="HM52" s="362"/>
      <c r="HN52" s="362"/>
      <c r="HO52" s="362"/>
      <c r="HP52" s="362"/>
      <c r="HQ52" s="362"/>
      <c r="HR52" s="362"/>
      <c r="HS52" s="362"/>
      <c r="HT52" s="362"/>
      <c r="HU52" s="362"/>
      <c r="HV52" s="362"/>
      <c r="HW52" s="362"/>
      <c r="HX52" s="362"/>
      <c r="HY52" s="362"/>
      <c r="HZ52" s="362"/>
      <c r="IA52" s="362"/>
      <c r="IB52" s="362"/>
      <c r="IC52" s="362"/>
      <c r="ID52" s="362"/>
      <c r="IE52" s="362"/>
      <c r="IF52" s="362"/>
      <c r="IG52" s="362"/>
      <c r="IH52" s="362"/>
      <c r="II52" s="362"/>
      <c r="IJ52" s="362"/>
      <c r="IK52" s="362"/>
      <c r="IL52" s="362"/>
      <c r="IM52" s="362"/>
      <c r="IN52" s="362"/>
      <c r="IO52" s="362"/>
      <c r="IP52" s="362"/>
      <c r="IQ52" s="362"/>
      <c r="IR52" s="362"/>
      <c r="IS52" s="362"/>
      <c r="IT52" s="362"/>
    </row>
    <row r="53" spans="1:254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1080"/>
      <c r="Q53" s="1096"/>
      <c r="R53" s="1096"/>
      <c r="S53" s="1096"/>
      <c r="T53" s="1096"/>
      <c r="U53" s="1096"/>
      <c r="V53" s="1096"/>
      <c r="W53" s="1096"/>
      <c r="X53" s="1096"/>
      <c r="Y53" s="1096"/>
      <c r="Z53" s="1096"/>
      <c r="AA53" s="1096"/>
      <c r="AB53" s="1096"/>
      <c r="AC53" s="362"/>
      <c r="AD53" s="362"/>
      <c r="AE53" s="362"/>
      <c r="AF53" s="362"/>
      <c r="AG53" s="362"/>
      <c r="AH53" s="362"/>
      <c r="AI53" s="362"/>
      <c r="AJ53" s="362"/>
      <c r="AK53" s="362"/>
      <c r="AL53" s="362"/>
      <c r="AM53" s="362"/>
      <c r="AN53" s="362"/>
      <c r="AO53" s="362"/>
      <c r="AP53" s="362"/>
      <c r="AQ53" s="362"/>
      <c r="AR53" s="362"/>
      <c r="AS53" s="362"/>
      <c r="AT53" s="362"/>
      <c r="AU53" s="362"/>
      <c r="AV53" s="362"/>
      <c r="AW53" s="362"/>
      <c r="AX53" s="2"/>
      <c r="AY53" s="2"/>
      <c r="AZ53" s="2"/>
      <c r="BA53" s="1076"/>
      <c r="BB53" s="362"/>
      <c r="BC53" s="362"/>
      <c r="BD53" s="362"/>
      <c r="BE53" s="362"/>
      <c r="BF53" s="362"/>
      <c r="BG53" s="362"/>
      <c r="BH53" s="362"/>
      <c r="BI53" s="362"/>
      <c r="BJ53" s="362"/>
      <c r="BK53" s="362"/>
      <c r="BL53" s="362"/>
      <c r="BM53" s="362"/>
      <c r="BN53" s="362"/>
      <c r="BO53" s="362"/>
      <c r="BP53" s="362"/>
      <c r="BQ53" s="362"/>
      <c r="BR53" s="362"/>
      <c r="BS53" s="362"/>
      <c r="BT53" s="362"/>
      <c r="BU53" s="362"/>
      <c r="BV53" s="362"/>
      <c r="BW53" s="362"/>
      <c r="BX53" s="362"/>
      <c r="BY53" s="362"/>
      <c r="BZ53" s="362"/>
      <c r="CA53" s="362"/>
      <c r="CB53" s="362"/>
      <c r="CC53" s="362"/>
      <c r="CD53" s="362"/>
      <c r="CE53" s="362"/>
      <c r="CF53" s="362"/>
      <c r="CG53" s="362"/>
      <c r="CH53" s="362"/>
      <c r="CI53" s="362"/>
      <c r="CJ53" s="362"/>
      <c r="CK53" s="362"/>
      <c r="CL53" s="362"/>
      <c r="CM53" s="362"/>
      <c r="CN53" s="362"/>
      <c r="CO53" s="362"/>
      <c r="CP53" s="362"/>
      <c r="CQ53" s="362"/>
      <c r="CR53" s="362"/>
      <c r="CS53" s="362"/>
      <c r="CT53" s="362"/>
      <c r="CU53" s="362"/>
      <c r="CV53" s="362"/>
      <c r="CW53" s="362"/>
      <c r="CX53" s="362"/>
      <c r="CY53" s="362"/>
      <c r="CZ53" s="362"/>
      <c r="DA53" s="362"/>
      <c r="DB53" s="362"/>
      <c r="DC53" s="362"/>
      <c r="DD53" s="362"/>
      <c r="DE53" s="362"/>
      <c r="DF53" s="362"/>
      <c r="DG53" s="362"/>
      <c r="DH53" s="362"/>
      <c r="DI53" s="362"/>
      <c r="DJ53" s="362"/>
      <c r="DK53" s="362"/>
      <c r="DL53" s="362"/>
      <c r="DM53" s="362"/>
      <c r="DN53" s="362"/>
      <c r="DO53" s="362"/>
      <c r="DP53" s="362"/>
      <c r="DQ53" s="362"/>
      <c r="DR53" s="362"/>
      <c r="DS53" s="362"/>
      <c r="DT53" s="362"/>
      <c r="DU53" s="362"/>
      <c r="DV53" s="362"/>
      <c r="DW53" s="362"/>
      <c r="DX53" s="362"/>
      <c r="DY53" s="362"/>
      <c r="DZ53" s="362"/>
      <c r="EA53" s="362"/>
      <c r="EB53" s="362"/>
      <c r="EC53" s="362"/>
      <c r="ED53" s="362"/>
      <c r="EE53" s="362"/>
      <c r="EF53" s="362"/>
      <c r="EG53" s="362"/>
      <c r="EH53" s="362"/>
      <c r="EI53" s="362"/>
      <c r="EJ53" s="362"/>
      <c r="EK53" s="362"/>
      <c r="EL53" s="362"/>
      <c r="EM53" s="362"/>
      <c r="EN53" s="362"/>
      <c r="EO53" s="362"/>
      <c r="EP53" s="362"/>
      <c r="EQ53" s="362"/>
      <c r="ER53" s="362"/>
      <c r="ES53" s="362"/>
      <c r="ET53" s="362"/>
      <c r="EU53" s="362"/>
      <c r="EV53" s="362"/>
      <c r="EW53" s="362"/>
      <c r="EX53" s="362"/>
      <c r="EY53" s="362"/>
      <c r="EZ53" s="362"/>
      <c r="FA53" s="362"/>
      <c r="FB53" s="362"/>
      <c r="FC53" s="362"/>
      <c r="FD53" s="362"/>
      <c r="FE53" s="362"/>
      <c r="FF53" s="362"/>
      <c r="FG53" s="362"/>
      <c r="FH53" s="362"/>
      <c r="FI53" s="362"/>
      <c r="FJ53" s="362"/>
      <c r="FK53" s="362"/>
      <c r="FL53" s="362"/>
      <c r="FM53" s="362"/>
      <c r="FN53" s="362"/>
      <c r="FO53" s="362"/>
      <c r="FP53" s="362"/>
      <c r="FQ53" s="362"/>
      <c r="FR53" s="362"/>
      <c r="FS53" s="362"/>
      <c r="FT53" s="362"/>
      <c r="FU53" s="362"/>
      <c r="FV53" s="362"/>
      <c r="FW53" s="362"/>
      <c r="FX53" s="362"/>
      <c r="FY53" s="362"/>
      <c r="FZ53" s="362"/>
      <c r="GA53" s="362"/>
      <c r="GB53" s="362"/>
      <c r="GC53" s="362"/>
      <c r="GD53" s="362"/>
      <c r="GE53" s="362"/>
      <c r="GF53" s="362"/>
      <c r="GG53" s="362"/>
      <c r="GH53" s="362"/>
      <c r="GI53" s="362"/>
      <c r="GJ53" s="362"/>
      <c r="GK53" s="362"/>
      <c r="GL53" s="362"/>
      <c r="GM53" s="362"/>
      <c r="GN53" s="362"/>
      <c r="GO53" s="362"/>
      <c r="GP53" s="362"/>
      <c r="GQ53" s="362"/>
      <c r="GR53" s="362"/>
      <c r="GS53" s="362"/>
      <c r="GT53" s="362"/>
      <c r="GU53" s="362"/>
      <c r="GV53" s="362"/>
      <c r="GW53" s="362"/>
      <c r="GX53" s="362"/>
      <c r="GY53" s="362"/>
      <c r="GZ53" s="362"/>
      <c r="HA53" s="362"/>
      <c r="HB53" s="362"/>
      <c r="HC53" s="362"/>
      <c r="HD53" s="362"/>
      <c r="HE53" s="362"/>
      <c r="HF53" s="362"/>
      <c r="HG53" s="362"/>
      <c r="HH53" s="362"/>
      <c r="HI53" s="362"/>
      <c r="HJ53" s="362"/>
      <c r="HK53" s="362"/>
      <c r="HL53" s="362"/>
      <c r="HM53" s="362"/>
      <c r="HN53" s="362"/>
      <c r="HO53" s="362"/>
      <c r="HP53" s="362"/>
      <c r="HQ53" s="362"/>
      <c r="HR53" s="362"/>
      <c r="HS53" s="362"/>
      <c r="HT53" s="362"/>
      <c r="HU53" s="362"/>
      <c r="HV53" s="362"/>
      <c r="HW53" s="362"/>
      <c r="HX53" s="362"/>
      <c r="HY53" s="362"/>
      <c r="HZ53" s="362"/>
      <c r="IA53" s="362"/>
      <c r="IB53" s="362"/>
      <c r="IC53" s="362"/>
      <c r="ID53" s="362"/>
      <c r="IE53" s="362"/>
      <c r="IF53" s="362"/>
      <c r="IG53" s="362"/>
      <c r="IH53" s="362"/>
      <c r="II53" s="362"/>
      <c r="IJ53" s="362"/>
      <c r="IK53" s="362"/>
      <c r="IL53" s="362"/>
      <c r="IM53" s="362"/>
      <c r="IN53" s="362"/>
      <c r="IO53" s="362"/>
      <c r="IP53" s="362"/>
      <c r="IQ53" s="362"/>
      <c r="IR53" s="362"/>
      <c r="IS53" s="362"/>
      <c r="IT53" s="362"/>
    </row>
    <row r="54" spans="1:254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1038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083" t="s">
        <v>688</v>
      </c>
      <c r="Q54" s="1084">
        <v>3</v>
      </c>
      <c r="R54" s="1084">
        <v>4</v>
      </c>
      <c r="S54" s="1084">
        <v>5</v>
      </c>
      <c r="T54" s="1084">
        <v>6</v>
      </c>
      <c r="U54" s="1084">
        <v>7</v>
      </c>
      <c r="V54" s="1084">
        <v>8</v>
      </c>
      <c r="W54" s="1084">
        <v>9</v>
      </c>
      <c r="X54" s="1084">
        <v>10</v>
      </c>
      <c r="Y54" s="1084">
        <v>11</v>
      </c>
      <c r="Z54" s="1084">
        <v>12</v>
      </c>
      <c r="AA54" s="1084">
        <v>13</v>
      </c>
      <c r="AB54" s="1084">
        <v>14</v>
      </c>
      <c r="AC54" s="1084">
        <v>15</v>
      </c>
      <c r="AD54" s="1084">
        <v>16</v>
      </c>
      <c r="AE54" s="1084">
        <v>17</v>
      </c>
      <c r="AF54" s="1084">
        <v>18</v>
      </c>
      <c r="AG54" s="1084">
        <v>19</v>
      </c>
      <c r="AH54" s="1084">
        <v>20</v>
      </c>
      <c r="AI54" s="1084">
        <v>21</v>
      </c>
      <c r="AJ54" s="1084">
        <v>22</v>
      </c>
      <c r="AK54" s="1084">
        <v>23</v>
      </c>
      <c r="AL54" s="1084">
        <v>24</v>
      </c>
      <c r="AM54" s="1084">
        <v>25</v>
      </c>
      <c r="AN54" s="1084">
        <v>26</v>
      </c>
      <c r="AO54" s="1084">
        <v>27</v>
      </c>
      <c r="AP54" s="1084">
        <v>28</v>
      </c>
      <c r="AQ54" s="1084">
        <v>29</v>
      </c>
      <c r="AR54" s="1097">
        <v>30</v>
      </c>
      <c r="AS54" s="362"/>
      <c r="AT54" s="362"/>
      <c r="AU54" s="362"/>
      <c r="AV54" s="362"/>
      <c r="AW54" s="362"/>
      <c r="AX54" s="2"/>
      <c r="AY54" s="2"/>
      <c r="AZ54" s="2"/>
      <c r="BA54" s="1076"/>
      <c r="BB54" s="362"/>
      <c r="BC54" s="362"/>
      <c r="BD54" s="362"/>
      <c r="BE54" s="362"/>
      <c r="BF54" s="362"/>
      <c r="BG54" s="362"/>
      <c r="BH54" s="362"/>
      <c r="BI54" s="362"/>
      <c r="BJ54" s="362"/>
      <c r="BK54" s="362"/>
      <c r="BL54" s="362"/>
      <c r="BM54" s="362"/>
      <c r="BN54" s="362"/>
      <c r="BO54" s="362"/>
      <c r="BP54" s="362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  <c r="CA54" s="362"/>
      <c r="CB54" s="362"/>
      <c r="CC54" s="362"/>
      <c r="CD54" s="362"/>
      <c r="CE54" s="362"/>
      <c r="CF54" s="362"/>
      <c r="CG54" s="362"/>
      <c r="CH54" s="362"/>
      <c r="CI54" s="362"/>
      <c r="CJ54" s="362"/>
      <c r="CK54" s="362"/>
      <c r="CL54" s="362"/>
      <c r="CM54" s="362"/>
      <c r="CN54" s="362"/>
      <c r="CO54" s="362"/>
      <c r="CP54" s="362"/>
      <c r="CQ54" s="362"/>
      <c r="CR54" s="362"/>
      <c r="CS54" s="362"/>
      <c r="CT54" s="362"/>
      <c r="CU54" s="362"/>
      <c r="CV54" s="362"/>
      <c r="CW54" s="362"/>
      <c r="CX54" s="362"/>
      <c r="CY54" s="362"/>
      <c r="CZ54" s="362"/>
      <c r="DA54" s="362"/>
      <c r="DB54" s="362"/>
      <c r="DC54" s="362"/>
      <c r="DD54" s="362"/>
      <c r="DE54" s="362"/>
      <c r="DF54" s="362"/>
      <c r="DG54" s="362"/>
      <c r="DH54" s="362"/>
      <c r="DI54" s="362"/>
      <c r="DJ54" s="362"/>
      <c r="DK54" s="362"/>
      <c r="DL54" s="362"/>
      <c r="DM54" s="362"/>
      <c r="DN54" s="362"/>
      <c r="DO54" s="362"/>
      <c r="DP54" s="362"/>
      <c r="DQ54" s="362"/>
      <c r="DR54" s="362"/>
      <c r="DS54" s="362"/>
      <c r="DT54" s="362"/>
      <c r="DU54" s="362"/>
      <c r="DV54" s="362"/>
      <c r="DW54" s="362"/>
      <c r="DX54" s="362"/>
      <c r="DY54" s="362"/>
      <c r="DZ54" s="362"/>
      <c r="EA54" s="362"/>
      <c r="EB54" s="362"/>
      <c r="EC54" s="362"/>
      <c r="ED54" s="362"/>
      <c r="EE54" s="362"/>
      <c r="EF54" s="362"/>
      <c r="EG54" s="362"/>
      <c r="EH54" s="362"/>
      <c r="EI54" s="362"/>
      <c r="EJ54" s="362"/>
      <c r="EK54" s="362"/>
      <c r="EL54" s="362"/>
      <c r="EM54" s="362"/>
      <c r="EN54" s="362"/>
      <c r="EO54" s="362"/>
      <c r="EP54" s="362"/>
      <c r="EQ54" s="362"/>
      <c r="ER54" s="362"/>
      <c r="ES54" s="362"/>
      <c r="ET54" s="362"/>
      <c r="EU54" s="362"/>
      <c r="EV54" s="362"/>
      <c r="EW54" s="362"/>
      <c r="EX54" s="362"/>
      <c r="EY54" s="362"/>
      <c r="EZ54" s="362"/>
      <c r="FA54" s="362"/>
      <c r="FB54" s="362"/>
      <c r="FC54" s="362"/>
      <c r="FD54" s="362"/>
      <c r="FE54" s="362"/>
      <c r="FF54" s="362"/>
      <c r="FG54" s="362"/>
      <c r="FH54" s="362"/>
      <c r="FI54" s="362"/>
      <c r="FJ54" s="362"/>
      <c r="FK54" s="362"/>
      <c r="FL54" s="362"/>
      <c r="FM54" s="362"/>
      <c r="FN54" s="362"/>
      <c r="FO54" s="362"/>
      <c r="FP54" s="362"/>
      <c r="FQ54" s="362"/>
      <c r="FR54" s="362"/>
      <c r="FS54" s="362"/>
      <c r="FT54" s="362"/>
      <c r="FU54" s="362"/>
      <c r="FV54" s="362"/>
      <c r="FW54" s="362"/>
      <c r="FX54" s="362"/>
      <c r="FY54" s="362"/>
      <c r="FZ54" s="362"/>
      <c r="GA54" s="362"/>
      <c r="GB54" s="362"/>
      <c r="GC54" s="362"/>
      <c r="GD54" s="362"/>
      <c r="GE54" s="362"/>
      <c r="GF54" s="362"/>
      <c r="GG54" s="362"/>
      <c r="GH54" s="362"/>
      <c r="GI54" s="362"/>
      <c r="GJ54" s="362"/>
      <c r="GK54" s="362"/>
      <c r="GL54" s="362"/>
      <c r="GM54" s="362"/>
      <c r="GN54" s="362"/>
      <c r="GO54" s="362"/>
      <c r="GP54" s="362"/>
      <c r="GQ54" s="362"/>
      <c r="GR54" s="362"/>
      <c r="GS54" s="362"/>
      <c r="GT54" s="362"/>
      <c r="GU54" s="362"/>
      <c r="GV54" s="362"/>
      <c r="GW54" s="362"/>
      <c r="GX54" s="362"/>
      <c r="GY54" s="362"/>
      <c r="GZ54" s="362"/>
      <c r="HA54" s="362"/>
      <c r="HB54" s="362"/>
      <c r="HC54" s="362"/>
      <c r="HD54" s="362"/>
      <c r="HE54" s="362"/>
      <c r="HF54" s="362"/>
      <c r="HG54" s="362"/>
      <c r="HH54" s="362"/>
      <c r="HI54" s="362"/>
      <c r="HJ54" s="362"/>
      <c r="HK54" s="362"/>
      <c r="HL54" s="362"/>
      <c r="HM54" s="362"/>
      <c r="HN54" s="362"/>
      <c r="HO54" s="362"/>
      <c r="HP54" s="362"/>
      <c r="HQ54" s="362"/>
      <c r="HR54" s="362"/>
      <c r="HS54" s="362"/>
      <c r="HT54" s="362"/>
      <c r="HU54" s="362"/>
      <c r="HV54" s="362"/>
      <c r="HW54" s="362"/>
      <c r="HX54" s="362"/>
      <c r="HY54" s="362"/>
      <c r="HZ54" s="362"/>
      <c r="IA54" s="362"/>
      <c r="IB54" s="362"/>
      <c r="IC54" s="362"/>
      <c r="ID54" s="362"/>
      <c r="IE54" s="362"/>
      <c r="IF54" s="362"/>
      <c r="IG54" s="362"/>
      <c r="IH54" s="362"/>
      <c r="II54" s="362"/>
      <c r="IJ54" s="362"/>
      <c r="IK54" s="362"/>
      <c r="IL54" s="362"/>
      <c r="IM54" s="362"/>
      <c r="IN54" s="362"/>
      <c r="IO54" s="362"/>
      <c r="IP54" s="362"/>
      <c r="IQ54" s="362"/>
      <c r="IR54" s="362"/>
      <c r="IS54" s="362"/>
      <c r="IT54" s="362"/>
    </row>
    <row r="55" spans="1:254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093" t="s">
        <v>351</v>
      </c>
      <c r="Q55" s="1094">
        <v>0.03</v>
      </c>
      <c r="R55" s="1094">
        <v>0.04</v>
      </c>
      <c r="S55" s="1094">
        <v>0.05</v>
      </c>
      <c r="T55" s="1094">
        <v>0.06</v>
      </c>
      <c r="U55" s="1094">
        <v>7.0000000000000007E-2</v>
      </c>
      <c r="V55" s="1094">
        <v>0.08</v>
      </c>
      <c r="W55" s="1094">
        <v>0.09</v>
      </c>
      <c r="X55" s="1094">
        <v>0.1</v>
      </c>
      <c r="Y55" s="1094">
        <v>0.11</v>
      </c>
      <c r="Z55" s="1094">
        <v>0.12</v>
      </c>
      <c r="AA55" s="1094">
        <v>0.13</v>
      </c>
      <c r="AB55" s="1094">
        <v>0.14000000000000001</v>
      </c>
      <c r="AC55" s="1094">
        <v>0.15</v>
      </c>
      <c r="AD55" s="1094">
        <v>0.16</v>
      </c>
      <c r="AE55" s="1094">
        <v>0.17</v>
      </c>
      <c r="AF55" s="1094">
        <v>0.18</v>
      </c>
      <c r="AG55" s="1094">
        <v>0.19</v>
      </c>
      <c r="AH55" s="1094">
        <v>0.2</v>
      </c>
      <c r="AI55" s="1094">
        <v>0.21</v>
      </c>
      <c r="AJ55" s="1094">
        <v>0.22</v>
      </c>
      <c r="AK55" s="1094">
        <v>0.23</v>
      </c>
      <c r="AL55" s="1094">
        <v>0.24</v>
      </c>
      <c r="AM55" s="1094">
        <v>0.25</v>
      </c>
      <c r="AN55" s="1094">
        <v>0.26</v>
      </c>
      <c r="AO55" s="1094">
        <v>0.27</v>
      </c>
      <c r="AP55" s="1094">
        <v>0.28000000000000003</v>
      </c>
      <c r="AQ55" s="1094">
        <v>0.28999999999999998</v>
      </c>
      <c r="AR55" s="1095">
        <v>0.3</v>
      </c>
      <c r="AS55" s="362"/>
      <c r="AT55" s="362"/>
      <c r="AU55" s="362"/>
      <c r="AV55" s="362"/>
      <c r="AW55" s="362"/>
      <c r="AX55" s="2"/>
      <c r="AY55" s="2"/>
      <c r="AZ55" s="2"/>
      <c r="BA55" s="1076"/>
      <c r="BB55" s="362"/>
      <c r="BC55" s="362"/>
      <c r="BD55" s="362"/>
      <c r="BE55" s="362"/>
      <c r="BF55" s="362"/>
      <c r="BG55" s="362"/>
      <c r="BH55" s="362"/>
      <c r="BI55" s="362"/>
      <c r="BJ55" s="362"/>
      <c r="BK55" s="362"/>
      <c r="BL55" s="362"/>
      <c r="BM55" s="362"/>
      <c r="BN55" s="362"/>
      <c r="BO55" s="362"/>
      <c r="BP55" s="362"/>
      <c r="BQ55" s="362"/>
      <c r="BR55" s="362"/>
      <c r="BS55" s="362"/>
      <c r="BT55" s="362"/>
      <c r="BU55" s="362"/>
      <c r="BV55" s="362"/>
      <c r="BW55" s="362"/>
      <c r="BX55" s="362"/>
      <c r="BY55" s="362"/>
      <c r="BZ55" s="362"/>
      <c r="CA55" s="362"/>
      <c r="CB55" s="362"/>
      <c r="CC55" s="362"/>
      <c r="CD55" s="362"/>
      <c r="CE55" s="362"/>
      <c r="CF55" s="362"/>
      <c r="CG55" s="362"/>
      <c r="CH55" s="362"/>
      <c r="CI55" s="362"/>
      <c r="CJ55" s="362"/>
      <c r="CK55" s="362"/>
      <c r="CL55" s="362"/>
      <c r="CM55" s="362"/>
      <c r="CN55" s="362"/>
      <c r="CO55" s="362"/>
      <c r="CP55" s="362"/>
      <c r="CQ55" s="362"/>
      <c r="CR55" s="362"/>
      <c r="CS55" s="362"/>
      <c r="CT55" s="362"/>
      <c r="CU55" s="362"/>
      <c r="CV55" s="362"/>
      <c r="CW55" s="362"/>
      <c r="CX55" s="362"/>
      <c r="CY55" s="362"/>
      <c r="CZ55" s="362"/>
      <c r="DA55" s="362"/>
      <c r="DB55" s="362"/>
      <c r="DC55" s="362"/>
      <c r="DD55" s="362"/>
      <c r="DE55" s="362"/>
      <c r="DF55" s="362"/>
      <c r="DG55" s="362"/>
      <c r="DH55" s="362"/>
      <c r="DI55" s="362"/>
      <c r="DJ55" s="362"/>
      <c r="DK55" s="362"/>
      <c r="DL55" s="362"/>
      <c r="DM55" s="362"/>
      <c r="DN55" s="362"/>
      <c r="DO55" s="362"/>
      <c r="DP55" s="362"/>
      <c r="DQ55" s="362"/>
      <c r="DR55" s="362"/>
      <c r="DS55" s="362"/>
      <c r="DT55" s="362"/>
      <c r="DU55" s="362"/>
      <c r="DV55" s="362"/>
      <c r="DW55" s="362"/>
      <c r="DX55" s="362"/>
      <c r="DY55" s="362"/>
      <c r="DZ55" s="362"/>
      <c r="EA55" s="362"/>
      <c r="EB55" s="362"/>
      <c r="EC55" s="362"/>
      <c r="ED55" s="362"/>
      <c r="EE55" s="362"/>
      <c r="EF55" s="362"/>
      <c r="EG55" s="362"/>
      <c r="EH55" s="362"/>
      <c r="EI55" s="362"/>
      <c r="EJ55" s="362"/>
      <c r="EK55" s="362"/>
      <c r="EL55" s="362"/>
      <c r="EM55" s="362"/>
      <c r="EN55" s="362"/>
      <c r="EO55" s="362"/>
      <c r="EP55" s="362"/>
      <c r="EQ55" s="362"/>
      <c r="ER55" s="362"/>
      <c r="ES55" s="362"/>
      <c r="ET55" s="362"/>
      <c r="EU55" s="362"/>
      <c r="EV55" s="362"/>
      <c r="EW55" s="362"/>
      <c r="EX55" s="362"/>
      <c r="EY55" s="362"/>
      <c r="EZ55" s="362"/>
      <c r="FA55" s="362"/>
      <c r="FB55" s="362"/>
      <c r="FC55" s="362"/>
      <c r="FD55" s="362"/>
      <c r="FE55" s="362"/>
      <c r="FF55" s="362"/>
      <c r="FG55" s="362"/>
      <c r="FH55" s="362"/>
      <c r="FI55" s="362"/>
      <c r="FJ55" s="362"/>
      <c r="FK55" s="362"/>
      <c r="FL55" s="362"/>
      <c r="FM55" s="362"/>
      <c r="FN55" s="362"/>
      <c r="FO55" s="362"/>
      <c r="FP55" s="362"/>
      <c r="FQ55" s="362"/>
      <c r="FR55" s="362"/>
      <c r="FS55" s="362"/>
      <c r="FT55" s="362"/>
      <c r="FU55" s="362"/>
      <c r="FV55" s="362"/>
      <c r="FW55" s="362"/>
      <c r="FX55" s="362"/>
      <c r="FY55" s="362"/>
      <c r="FZ55" s="362"/>
      <c r="GA55" s="362"/>
      <c r="GB55" s="362"/>
      <c r="GC55" s="362"/>
      <c r="GD55" s="362"/>
      <c r="GE55" s="362"/>
      <c r="GF55" s="362"/>
      <c r="GG55" s="362"/>
      <c r="GH55" s="362"/>
      <c r="GI55" s="362"/>
      <c r="GJ55" s="362"/>
      <c r="GK55" s="362"/>
      <c r="GL55" s="362"/>
      <c r="GM55" s="362"/>
      <c r="GN55" s="362"/>
      <c r="GO55" s="362"/>
      <c r="GP55" s="362"/>
      <c r="GQ55" s="362"/>
      <c r="GR55" s="362"/>
      <c r="GS55" s="362"/>
      <c r="GT55" s="362"/>
      <c r="GU55" s="362"/>
      <c r="GV55" s="362"/>
      <c r="GW55" s="362"/>
      <c r="GX55" s="362"/>
      <c r="GY55" s="362"/>
      <c r="GZ55" s="362"/>
      <c r="HA55" s="362"/>
      <c r="HB55" s="362"/>
      <c r="HC55" s="362"/>
      <c r="HD55" s="362"/>
      <c r="HE55" s="362"/>
      <c r="HF55" s="362"/>
      <c r="HG55" s="362"/>
      <c r="HH55" s="362"/>
      <c r="HI55" s="362"/>
      <c r="HJ55" s="362"/>
      <c r="HK55" s="362"/>
      <c r="HL55" s="362"/>
      <c r="HM55" s="362"/>
      <c r="HN55" s="362"/>
      <c r="HO55" s="362"/>
      <c r="HP55" s="362"/>
      <c r="HQ55" s="362"/>
      <c r="HR55" s="362"/>
      <c r="HS55" s="362"/>
      <c r="HT55" s="362"/>
      <c r="HU55" s="362"/>
      <c r="HV55" s="362"/>
      <c r="HW55" s="362"/>
      <c r="HX55" s="362"/>
      <c r="HY55" s="362"/>
      <c r="HZ55" s="362"/>
      <c r="IA55" s="362"/>
      <c r="IB55" s="362"/>
      <c r="IC55" s="362"/>
      <c r="ID55" s="362"/>
      <c r="IE55" s="362"/>
      <c r="IF55" s="362"/>
      <c r="IG55" s="362"/>
      <c r="IH55" s="362"/>
      <c r="II55" s="362"/>
      <c r="IJ55" s="362"/>
      <c r="IK55" s="362"/>
      <c r="IL55" s="362"/>
      <c r="IM55" s="362"/>
      <c r="IN55" s="362"/>
      <c r="IO55" s="362"/>
      <c r="IP55" s="362"/>
      <c r="IQ55" s="362"/>
      <c r="IR55" s="362"/>
      <c r="IS55" s="362"/>
      <c r="IT55" s="362"/>
    </row>
    <row r="56" spans="1:254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1080"/>
      <c r="Q56" s="1096"/>
      <c r="R56" s="1096"/>
      <c r="S56" s="1096"/>
      <c r="T56" s="1096"/>
      <c r="U56" s="1096"/>
      <c r="V56" s="1096"/>
      <c r="W56" s="1096"/>
      <c r="X56" s="1096"/>
      <c r="Y56" s="1096"/>
      <c r="Z56" s="1096"/>
      <c r="AA56" s="1096"/>
      <c r="AB56" s="1096"/>
      <c r="AC56" s="362"/>
      <c r="AD56" s="362"/>
      <c r="AE56" s="362"/>
      <c r="AF56" s="362"/>
      <c r="AG56" s="362"/>
      <c r="AH56" s="362"/>
      <c r="AI56" s="362"/>
      <c r="AJ56" s="362"/>
      <c r="AK56" s="362"/>
      <c r="AL56" s="362"/>
      <c r="AM56" s="362"/>
      <c r="AN56" s="362"/>
      <c r="AO56" s="362"/>
      <c r="AP56" s="362"/>
      <c r="AQ56" s="362"/>
      <c r="AR56" s="362"/>
      <c r="AS56" s="362"/>
      <c r="AT56" s="362"/>
      <c r="AU56" s="362"/>
      <c r="AV56" s="362"/>
      <c r="AW56" s="362"/>
      <c r="AX56" s="2"/>
      <c r="AY56" s="2"/>
      <c r="AZ56" s="2"/>
      <c r="BA56" s="1076"/>
      <c r="BB56" s="362"/>
      <c r="BC56" s="362"/>
      <c r="BD56" s="362"/>
      <c r="BE56" s="362"/>
      <c r="BF56" s="362"/>
      <c r="BG56" s="362"/>
      <c r="BH56" s="362"/>
      <c r="BI56" s="362"/>
      <c r="BJ56" s="362"/>
      <c r="BK56" s="362"/>
      <c r="BL56" s="362"/>
      <c r="BM56" s="362"/>
      <c r="BN56" s="362"/>
      <c r="BO56" s="362"/>
      <c r="BP56" s="362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  <c r="CA56" s="362"/>
      <c r="CB56" s="362"/>
      <c r="CC56" s="362"/>
      <c r="CD56" s="362"/>
      <c r="CE56" s="362"/>
      <c r="CF56" s="362"/>
      <c r="CG56" s="362"/>
      <c r="CH56" s="362"/>
      <c r="CI56" s="362"/>
      <c r="CJ56" s="362"/>
      <c r="CK56" s="362"/>
      <c r="CL56" s="362"/>
      <c r="CM56" s="362"/>
      <c r="CN56" s="362"/>
      <c r="CO56" s="362"/>
      <c r="CP56" s="362"/>
      <c r="CQ56" s="362"/>
      <c r="CR56" s="362"/>
      <c r="CS56" s="362"/>
      <c r="CT56" s="362"/>
      <c r="CU56" s="362"/>
      <c r="CV56" s="362"/>
      <c r="CW56" s="362"/>
      <c r="CX56" s="362"/>
      <c r="CY56" s="362"/>
      <c r="CZ56" s="362"/>
      <c r="DA56" s="362"/>
      <c r="DB56" s="362"/>
      <c r="DC56" s="362"/>
      <c r="DD56" s="362"/>
      <c r="DE56" s="362"/>
      <c r="DF56" s="362"/>
      <c r="DG56" s="362"/>
      <c r="DH56" s="362"/>
      <c r="DI56" s="362"/>
      <c r="DJ56" s="362"/>
      <c r="DK56" s="362"/>
      <c r="DL56" s="362"/>
      <c r="DM56" s="362"/>
      <c r="DN56" s="362"/>
      <c r="DO56" s="362"/>
      <c r="DP56" s="362"/>
      <c r="DQ56" s="362"/>
      <c r="DR56" s="362"/>
      <c r="DS56" s="362"/>
      <c r="DT56" s="362"/>
      <c r="DU56" s="362"/>
      <c r="DV56" s="362"/>
      <c r="DW56" s="362"/>
      <c r="DX56" s="362"/>
      <c r="DY56" s="362"/>
      <c r="DZ56" s="362"/>
      <c r="EA56" s="362"/>
      <c r="EB56" s="362"/>
      <c r="EC56" s="362"/>
      <c r="ED56" s="362"/>
      <c r="EE56" s="362"/>
      <c r="EF56" s="362"/>
      <c r="EG56" s="362"/>
      <c r="EH56" s="362"/>
      <c r="EI56" s="362"/>
      <c r="EJ56" s="362"/>
      <c r="EK56" s="362"/>
      <c r="EL56" s="362"/>
      <c r="EM56" s="362"/>
      <c r="EN56" s="362"/>
      <c r="EO56" s="362"/>
      <c r="EP56" s="362"/>
      <c r="EQ56" s="362"/>
      <c r="ER56" s="362"/>
      <c r="ES56" s="362"/>
      <c r="ET56" s="362"/>
      <c r="EU56" s="362"/>
      <c r="EV56" s="362"/>
      <c r="EW56" s="362"/>
      <c r="EX56" s="362"/>
      <c r="EY56" s="362"/>
      <c r="EZ56" s="362"/>
      <c r="FA56" s="362"/>
      <c r="FB56" s="362"/>
      <c r="FC56" s="362"/>
      <c r="FD56" s="362"/>
      <c r="FE56" s="362"/>
      <c r="FF56" s="362"/>
      <c r="FG56" s="362"/>
      <c r="FH56" s="362"/>
      <c r="FI56" s="362"/>
      <c r="FJ56" s="362"/>
      <c r="FK56" s="362"/>
      <c r="FL56" s="362"/>
      <c r="FM56" s="362"/>
      <c r="FN56" s="362"/>
      <c r="FO56" s="362"/>
      <c r="FP56" s="362"/>
      <c r="FQ56" s="362"/>
      <c r="FR56" s="362"/>
      <c r="FS56" s="362"/>
      <c r="FT56" s="362"/>
      <c r="FU56" s="362"/>
      <c r="FV56" s="362"/>
      <c r="FW56" s="362"/>
      <c r="FX56" s="362"/>
      <c r="FY56" s="362"/>
      <c r="FZ56" s="362"/>
      <c r="GA56" s="362"/>
      <c r="GB56" s="362"/>
      <c r="GC56" s="362"/>
      <c r="GD56" s="362"/>
      <c r="GE56" s="362"/>
      <c r="GF56" s="362"/>
      <c r="GG56" s="362"/>
      <c r="GH56" s="362"/>
      <c r="GI56" s="362"/>
      <c r="GJ56" s="362"/>
      <c r="GK56" s="362"/>
      <c r="GL56" s="362"/>
      <c r="GM56" s="362"/>
      <c r="GN56" s="362"/>
      <c r="GO56" s="362"/>
      <c r="GP56" s="362"/>
      <c r="GQ56" s="362"/>
      <c r="GR56" s="362"/>
      <c r="GS56" s="362"/>
      <c r="GT56" s="362"/>
      <c r="GU56" s="362"/>
      <c r="GV56" s="362"/>
      <c r="GW56" s="362"/>
      <c r="GX56" s="362"/>
      <c r="GY56" s="362"/>
      <c r="GZ56" s="362"/>
      <c r="HA56" s="362"/>
      <c r="HB56" s="362"/>
      <c r="HC56" s="362"/>
      <c r="HD56" s="362"/>
      <c r="HE56" s="362"/>
      <c r="HF56" s="362"/>
      <c r="HG56" s="362"/>
      <c r="HH56" s="362"/>
      <c r="HI56" s="362"/>
      <c r="HJ56" s="362"/>
      <c r="HK56" s="362"/>
      <c r="HL56" s="362"/>
      <c r="HM56" s="362"/>
      <c r="HN56" s="362"/>
      <c r="HO56" s="362"/>
      <c r="HP56" s="362"/>
      <c r="HQ56" s="362"/>
      <c r="HR56" s="362"/>
      <c r="HS56" s="362"/>
      <c r="HT56" s="362"/>
      <c r="HU56" s="362"/>
      <c r="HV56" s="362"/>
      <c r="HW56" s="362"/>
      <c r="HX56" s="362"/>
      <c r="HY56" s="362"/>
      <c r="HZ56" s="362"/>
      <c r="IA56" s="362"/>
      <c r="IB56" s="362"/>
      <c r="IC56" s="362"/>
      <c r="ID56" s="362"/>
      <c r="IE56" s="362"/>
      <c r="IF56" s="362"/>
      <c r="IG56" s="362"/>
      <c r="IH56" s="362"/>
      <c r="II56" s="362"/>
      <c r="IJ56" s="362"/>
      <c r="IK56" s="362"/>
      <c r="IL56" s="362"/>
      <c r="IM56" s="362"/>
      <c r="IN56" s="362"/>
      <c r="IO56" s="362"/>
      <c r="IP56" s="362"/>
      <c r="IQ56" s="362"/>
      <c r="IR56" s="362"/>
      <c r="IS56" s="362"/>
      <c r="IT56" s="362"/>
    </row>
    <row r="57" spans="1:254" ht="15" thickBot="1" x14ac:dyDescent="0.2">
      <c r="A57" s="376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083" t="s">
        <v>690</v>
      </c>
      <c r="Q57" s="1084">
        <v>3</v>
      </c>
      <c r="R57" s="1084">
        <v>6</v>
      </c>
      <c r="S57" s="1084">
        <v>9</v>
      </c>
      <c r="T57" s="1084">
        <v>12</v>
      </c>
      <c r="U57" s="1084">
        <v>15</v>
      </c>
      <c r="V57" s="1084">
        <v>18</v>
      </c>
      <c r="W57" s="1084">
        <v>21</v>
      </c>
      <c r="X57" s="1084">
        <v>24</v>
      </c>
      <c r="Y57" s="1084">
        <v>27</v>
      </c>
      <c r="Z57" s="1084">
        <v>30</v>
      </c>
      <c r="AA57" s="1097">
        <v>33</v>
      </c>
      <c r="AB57" s="1096"/>
      <c r="AC57" s="362"/>
      <c r="AD57" s="362"/>
      <c r="AE57" s="362"/>
      <c r="AF57" s="362"/>
      <c r="AG57" s="362"/>
      <c r="AH57" s="362"/>
      <c r="AI57" s="362"/>
      <c r="AJ57" s="362"/>
      <c r="AK57" s="362"/>
      <c r="AL57" s="362"/>
      <c r="AM57" s="362"/>
      <c r="AN57" s="362"/>
      <c r="AO57" s="362"/>
      <c r="AP57" s="362"/>
      <c r="AQ57" s="362"/>
      <c r="AR57" s="362"/>
      <c r="AS57" s="362"/>
      <c r="AT57" s="362"/>
      <c r="AU57" s="362"/>
      <c r="AV57" s="362"/>
      <c r="AW57" s="362"/>
      <c r="AX57" s="2"/>
      <c r="AY57" s="2"/>
      <c r="AZ57" s="2"/>
      <c r="BA57" s="1076"/>
      <c r="BB57" s="362"/>
      <c r="BC57" s="362"/>
      <c r="BD57" s="362"/>
      <c r="BE57" s="362"/>
      <c r="BF57" s="362"/>
      <c r="BG57" s="362"/>
      <c r="BH57" s="362"/>
      <c r="BI57" s="362"/>
      <c r="BJ57" s="362"/>
      <c r="BK57" s="362"/>
      <c r="BL57" s="362"/>
      <c r="BM57" s="362"/>
      <c r="BN57" s="362"/>
      <c r="BO57" s="362"/>
      <c r="BP57" s="362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  <c r="CA57" s="362"/>
      <c r="CB57" s="362"/>
      <c r="CC57" s="362"/>
      <c r="CD57" s="362"/>
      <c r="CE57" s="362"/>
      <c r="CF57" s="362"/>
      <c r="CG57" s="362"/>
      <c r="CH57" s="362"/>
      <c r="CI57" s="362"/>
      <c r="CJ57" s="362"/>
      <c r="CK57" s="362"/>
      <c r="CL57" s="362"/>
      <c r="CM57" s="362"/>
      <c r="CN57" s="362"/>
      <c r="CO57" s="362"/>
      <c r="CP57" s="362"/>
      <c r="CQ57" s="362"/>
      <c r="CR57" s="362"/>
      <c r="CS57" s="362"/>
      <c r="CT57" s="362"/>
      <c r="CU57" s="362"/>
      <c r="CV57" s="362"/>
      <c r="CW57" s="362"/>
      <c r="CX57" s="362"/>
      <c r="CY57" s="362"/>
      <c r="CZ57" s="362"/>
      <c r="DA57" s="362"/>
      <c r="DB57" s="362"/>
      <c r="DC57" s="362"/>
      <c r="DD57" s="362"/>
      <c r="DE57" s="362"/>
      <c r="DF57" s="362"/>
      <c r="DG57" s="362"/>
      <c r="DH57" s="362"/>
      <c r="DI57" s="362"/>
      <c r="DJ57" s="362"/>
      <c r="DK57" s="362"/>
      <c r="DL57" s="362"/>
      <c r="DM57" s="362"/>
      <c r="DN57" s="362"/>
      <c r="DO57" s="362"/>
      <c r="DP57" s="362"/>
      <c r="DQ57" s="362"/>
      <c r="DR57" s="362"/>
      <c r="DS57" s="362"/>
      <c r="DT57" s="362"/>
      <c r="DU57" s="362"/>
      <c r="DV57" s="362"/>
      <c r="DW57" s="362"/>
      <c r="DX57" s="362"/>
      <c r="DY57" s="362"/>
      <c r="DZ57" s="362"/>
      <c r="EA57" s="362"/>
      <c r="EB57" s="362"/>
      <c r="EC57" s="362"/>
      <c r="ED57" s="362"/>
      <c r="EE57" s="362"/>
      <c r="EF57" s="362"/>
      <c r="EG57" s="362"/>
      <c r="EH57" s="362"/>
      <c r="EI57" s="362"/>
      <c r="EJ57" s="362"/>
      <c r="EK57" s="362"/>
      <c r="EL57" s="362"/>
      <c r="EM57" s="362"/>
      <c r="EN57" s="362"/>
      <c r="EO57" s="362"/>
      <c r="EP57" s="362"/>
      <c r="EQ57" s="362"/>
      <c r="ER57" s="362"/>
      <c r="ES57" s="362"/>
      <c r="ET57" s="362"/>
      <c r="EU57" s="362"/>
      <c r="EV57" s="362"/>
      <c r="EW57" s="362"/>
      <c r="EX57" s="362"/>
      <c r="EY57" s="362"/>
      <c r="EZ57" s="362"/>
      <c r="FA57" s="362"/>
      <c r="FB57" s="362"/>
      <c r="FC57" s="362"/>
      <c r="FD57" s="362"/>
      <c r="FE57" s="362"/>
      <c r="FF57" s="362"/>
      <c r="FG57" s="362"/>
      <c r="FH57" s="362"/>
      <c r="FI57" s="362"/>
      <c r="FJ57" s="362"/>
      <c r="FK57" s="362"/>
      <c r="FL57" s="362"/>
      <c r="FM57" s="362"/>
      <c r="FN57" s="362"/>
      <c r="FO57" s="362"/>
      <c r="FP57" s="362"/>
      <c r="FQ57" s="362"/>
      <c r="FR57" s="362"/>
      <c r="FS57" s="362"/>
      <c r="FT57" s="362"/>
      <c r="FU57" s="362"/>
      <c r="FV57" s="362"/>
      <c r="FW57" s="362"/>
      <c r="FX57" s="362"/>
      <c r="FY57" s="362"/>
      <c r="FZ57" s="362"/>
      <c r="GA57" s="362"/>
      <c r="GB57" s="362"/>
      <c r="GC57" s="362"/>
      <c r="GD57" s="362"/>
      <c r="GE57" s="362"/>
      <c r="GF57" s="362"/>
      <c r="GG57" s="362"/>
      <c r="GH57" s="362"/>
      <c r="GI57" s="362"/>
      <c r="GJ57" s="362"/>
      <c r="GK57" s="362"/>
      <c r="GL57" s="362"/>
      <c r="GM57" s="362"/>
      <c r="GN57" s="362"/>
      <c r="GO57" s="362"/>
      <c r="GP57" s="362"/>
      <c r="GQ57" s="362"/>
      <c r="GR57" s="362"/>
      <c r="GS57" s="362"/>
      <c r="GT57" s="362"/>
      <c r="GU57" s="362"/>
      <c r="GV57" s="362"/>
      <c r="GW57" s="362"/>
      <c r="GX57" s="362"/>
      <c r="GY57" s="362"/>
      <c r="GZ57" s="362"/>
      <c r="HA57" s="362"/>
      <c r="HB57" s="362"/>
      <c r="HC57" s="362"/>
      <c r="HD57" s="362"/>
      <c r="HE57" s="362"/>
      <c r="HF57" s="362"/>
      <c r="HG57" s="362"/>
      <c r="HH57" s="362"/>
      <c r="HI57" s="362"/>
      <c r="HJ57" s="362"/>
      <c r="HK57" s="362"/>
      <c r="HL57" s="362"/>
      <c r="HM57" s="362"/>
      <c r="HN57" s="362"/>
      <c r="HO57" s="362"/>
      <c r="HP57" s="362"/>
      <c r="HQ57" s="362"/>
      <c r="HR57" s="362"/>
      <c r="HS57" s="362"/>
      <c r="HT57" s="362"/>
      <c r="HU57" s="362"/>
      <c r="HV57" s="362"/>
      <c r="HW57" s="362"/>
      <c r="HX57" s="362"/>
      <c r="HY57" s="362"/>
      <c r="HZ57" s="362"/>
      <c r="IA57" s="362"/>
      <c r="IB57" s="362"/>
      <c r="IC57" s="362"/>
      <c r="ID57" s="362"/>
      <c r="IE57" s="362"/>
      <c r="IF57" s="362"/>
      <c r="IG57" s="362"/>
      <c r="IH57" s="362"/>
      <c r="II57" s="362"/>
      <c r="IJ57" s="362"/>
      <c r="IK57" s="362"/>
      <c r="IL57" s="362"/>
      <c r="IM57" s="362"/>
      <c r="IN57" s="362"/>
      <c r="IO57" s="362"/>
      <c r="IP57" s="362"/>
      <c r="IQ57" s="362"/>
      <c r="IR57" s="362"/>
      <c r="IS57" s="362"/>
      <c r="IT57" s="362"/>
    </row>
    <row r="58" spans="1:254" ht="6" customHeight="1" thickBot="1" x14ac:dyDescent="0.2">
      <c r="A58" s="295"/>
      <c r="B58" s="1265"/>
      <c r="C58" s="1066" t="str">
        <f>IF(C54&gt;0,C54,IF(C55&gt;0,C55,IF(C56&gt;0,C56,IF(C57&gt;0,C57,"REVER"))))</f>
        <v>REVER</v>
      </c>
      <c r="D58" s="387"/>
      <c r="E58" s="1210" t="str">
        <f>IF(E57&gt;0,E57,IF(E56&gt;0,E56,IF(E55&gt;0,E55,IF(E54&gt;0,E54,"REVER"))))</f>
        <v>REVER</v>
      </c>
      <c r="F58" s="389"/>
      <c r="G58" s="385"/>
      <c r="H58" s="385"/>
      <c r="I58" s="389"/>
      <c r="J58" s="391"/>
      <c r="K58" s="1266"/>
      <c r="L58" s="74"/>
      <c r="M58" s="1267"/>
      <c r="N58" s="74"/>
      <c r="O58" s="391"/>
      <c r="P58" s="1093" t="s">
        <v>351</v>
      </c>
      <c r="Q58" s="1094">
        <v>0.1</v>
      </c>
      <c r="R58" s="1094">
        <v>0.14000000000000001</v>
      </c>
      <c r="S58" s="1094">
        <v>0.18</v>
      </c>
      <c r="T58" s="1094">
        <v>0.22</v>
      </c>
      <c r="U58" s="1094">
        <v>0.25</v>
      </c>
      <c r="V58" s="1094">
        <v>0.3</v>
      </c>
      <c r="W58" s="1094">
        <v>0.32</v>
      </c>
      <c r="X58" s="1094">
        <v>0.35</v>
      </c>
      <c r="Y58" s="1094">
        <v>0.4</v>
      </c>
      <c r="Z58" s="1094">
        <v>0.45</v>
      </c>
      <c r="AA58" s="1095">
        <v>0.5</v>
      </c>
      <c r="AB58" s="1104"/>
      <c r="AC58" s="1090"/>
      <c r="AD58" s="1091"/>
      <c r="AE58" s="1091"/>
      <c r="AF58" s="1091"/>
      <c r="AG58" s="1090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1076"/>
      <c r="BB58" s="362"/>
      <c r="BC58" s="362"/>
      <c r="BD58" s="362"/>
      <c r="BE58" s="362"/>
      <c r="BF58" s="362"/>
      <c r="BG58" s="362"/>
      <c r="BH58" s="362"/>
      <c r="BI58" s="362"/>
      <c r="BJ58" s="362"/>
      <c r="BK58" s="362"/>
      <c r="BL58" s="362"/>
      <c r="BM58" s="362"/>
      <c r="BN58" s="362"/>
      <c r="BO58" s="362"/>
      <c r="BP58" s="362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  <c r="CA58" s="362"/>
      <c r="CB58" s="362"/>
      <c r="CC58" s="362"/>
      <c r="CD58" s="362"/>
      <c r="CE58" s="362"/>
      <c r="CF58" s="362"/>
      <c r="CG58" s="362"/>
      <c r="CH58" s="362"/>
      <c r="CI58" s="362"/>
      <c r="CJ58" s="362"/>
      <c r="CK58" s="362"/>
      <c r="CL58" s="362"/>
      <c r="CM58" s="362"/>
      <c r="CN58" s="362"/>
      <c r="CO58" s="362"/>
      <c r="CP58" s="362"/>
      <c r="CQ58" s="362"/>
      <c r="CR58" s="362"/>
      <c r="CS58" s="362"/>
      <c r="CT58" s="362"/>
      <c r="CU58" s="362"/>
      <c r="CV58" s="362"/>
      <c r="CW58" s="362"/>
      <c r="CX58" s="362"/>
      <c r="CY58" s="362"/>
      <c r="CZ58" s="362"/>
      <c r="DA58" s="362"/>
      <c r="DB58" s="362"/>
      <c r="DC58" s="362"/>
      <c r="DD58" s="362"/>
      <c r="DE58" s="362"/>
      <c r="DF58" s="362"/>
      <c r="DG58" s="362"/>
      <c r="DH58" s="362"/>
      <c r="DI58" s="362"/>
      <c r="DJ58" s="362"/>
      <c r="DK58" s="362"/>
      <c r="DL58" s="362"/>
      <c r="DM58" s="362"/>
      <c r="DN58" s="362"/>
      <c r="DO58" s="362"/>
      <c r="DP58" s="362"/>
      <c r="DQ58" s="362"/>
      <c r="DR58" s="362"/>
      <c r="DS58" s="362"/>
      <c r="DT58" s="362"/>
      <c r="DU58" s="362"/>
      <c r="DV58" s="362"/>
      <c r="DW58" s="362"/>
      <c r="DX58" s="362"/>
      <c r="DY58" s="362"/>
      <c r="DZ58" s="362"/>
      <c r="EA58" s="362"/>
      <c r="EB58" s="362"/>
      <c r="EC58" s="362"/>
      <c r="ED58" s="362"/>
      <c r="EE58" s="362"/>
      <c r="EF58" s="362"/>
      <c r="EG58" s="362"/>
      <c r="EH58" s="362"/>
      <c r="EI58" s="362"/>
      <c r="EJ58" s="362"/>
      <c r="EK58" s="362"/>
      <c r="EL58" s="362"/>
      <c r="EM58" s="362"/>
      <c r="EN58" s="362"/>
      <c r="EO58" s="362"/>
      <c r="EP58" s="362"/>
      <c r="EQ58" s="362"/>
      <c r="ER58" s="362"/>
      <c r="ES58" s="362"/>
      <c r="ET58" s="362"/>
      <c r="EU58" s="362"/>
      <c r="EV58" s="362"/>
      <c r="EW58" s="362"/>
      <c r="EX58" s="362"/>
      <c r="EY58" s="362"/>
      <c r="EZ58" s="362"/>
      <c r="FA58" s="362"/>
      <c r="FB58" s="362"/>
      <c r="FC58" s="362"/>
      <c r="FD58" s="362"/>
      <c r="FE58" s="362"/>
      <c r="FF58" s="362"/>
      <c r="FG58" s="362"/>
      <c r="FH58" s="362"/>
      <c r="FI58" s="362"/>
      <c r="FJ58" s="362"/>
      <c r="FK58" s="362"/>
      <c r="FL58" s="362"/>
      <c r="FM58" s="362"/>
      <c r="FN58" s="362"/>
      <c r="FO58" s="362"/>
      <c r="FP58" s="362"/>
      <c r="FQ58" s="362"/>
      <c r="FR58" s="362"/>
      <c r="FS58" s="362"/>
      <c r="FT58" s="362"/>
      <c r="FU58" s="362"/>
      <c r="FV58" s="362"/>
      <c r="FW58" s="362"/>
      <c r="FX58" s="362"/>
      <c r="FY58" s="362"/>
      <c r="FZ58" s="362"/>
      <c r="GA58" s="362"/>
      <c r="GB58" s="362"/>
      <c r="GC58" s="362"/>
      <c r="GD58" s="362"/>
      <c r="GE58" s="362"/>
      <c r="GF58" s="362"/>
      <c r="GG58" s="362"/>
      <c r="GH58" s="362"/>
      <c r="GI58" s="362"/>
      <c r="GJ58" s="362"/>
      <c r="GK58" s="362"/>
      <c r="GL58" s="362"/>
      <c r="GM58" s="362"/>
      <c r="GN58" s="362"/>
      <c r="GO58" s="362"/>
      <c r="GP58" s="362"/>
      <c r="GQ58" s="362"/>
      <c r="GR58" s="362"/>
      <c r="GS58" s="362"/>
      <c r="GT58" s="362"/>
      <c r="GU58" s="362"/>
      <c r="GV58" s="362"/>
      <c r="GW58" s="362"/>
      <c r="GX58" s="362"/>
      <c r="GY58" s="362"/>
      <c r="GZ58" s="362"/>
      <c r="HA58" s="362"/>
      <c r="HB58" s="362"/>
      <c r="HC58" s="362"/>
      <c r="HD58" s="362"/>
      <c r="HE58" s="362"/>
      <c r="HF58" s="362"/>
      <c r="HG58" s="362"/>
      <c r="HH58" s="362"/>
      <c r="HI58" s="362"/>
      <c r="HJ58" s="362"/>
      <c r="HK58" s="362"/>
      <c r="HL58" s="362"/>
      <c r="HM58" s="362"/>
      <c r="HN58" s="362"/>
      <c r="HO58" s="362"/>
      <c r="HP58" s="362"/>
      <c r="HQ58" s="362"/>
      <c r="HR58" s="362"/>
      <c r="HS58" s="362"/>
      <c r="HT58" s="362"/>
      <c r="HU58" s="362"/>
      <c r="HV58" s="362"/>
      <c r="HW58" s="362"/>
      <c r="HX58" s="362"/>
      <c r="HY58" s="362"/>
      <c r="HZ58" s="362"/>
      <c r="IA58" s="362"/>
      <c r="IB58" s="362"/>
      <c r="IC58" s="362"/>
      <c r="ID58" s="362"/>
      <c r="IE58" s="362"/>
      <c r="IF58" s="362"/>
      <c r="IG58" s="362"/>
      <c r="IH58" s="362"/>
      <c r="II58" s="362"/>
      <c r="IJ58" s="362"/>
      <c r="IK58" s="362"/>
      <c r="IL58" s="362"/>
      <c r="IM58" s="362"/>
      <c r="IN58" s="362"/>
      <c r="IO58" s="362"/>
      <c r="IP58" s="362"/>
      <c r="IQ58" s="362"/>
      <c r="IR58" s="362"/>
      <c r="IS58" s="362"/>
      <c r="IT58" s="362"/>
    </row>
    <row r="59" spans="1:254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2"/>
      <c r="AD59" s="362"/>
      <c r="AE59" s="362"/>
      <c r="AF59" s="362"/>
      <c r="AG59" s="362"/>
      <c r="AH59" s="362"/>
      <c r="AI59" s="362"/>
      <c r="AJ59" s="36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362"/>
      <c r="AW59" s="362"/>
      <c r="AX59" s="2"/>
      <c r="AY59" s="2"/>
      <c r="AZ59" s="2"/>
      <c r="BA59" s="1076"/>
      <c r="BB59" s="362"/>
      <c r="BC59" s="362"/>
      <c r="BD59" s="362"/>
      <c r="BE59" s="362"/>
      <c r="BF59" s="362"/>
      <c r="BG59" s="362"/>
      <c r="BH59" s="362"/>
      <c r="BI59" s="362"/>
      <c r="BJ59" s="362"/>
      <c r="BK59" s="362"/>
      <c r="BL59" s="362"/>
      <c r="BM59" s="362"/>
      <c r="BN59" s="362"/>
      <c r="BO59" s="362"/>
      <c r="BP59" s="362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  <c r="CA59" s="362"/>
      <c r="CB59" s="362"/>
      <c r="CC59" s="362"/>
      <c r="CD59" s="362"/>
      <c r="CE59" s="362"/>
      <c r="CF59" s="362"/>
      <c r="CG59" s="362"/>
      <c r="CH59" s="362"/>
      <c r="CI59" s="362"/>
      <c r="CJ59" s="362"/>
      <c r="CK59" s="362"/>
      <c r="CL59" s="362"/>
      <c r="CM59" s="362"/>
      <c r="CN59" s="362"/>
      <c r="CO59" s="362"/>
      <c r="CP59" s="362"/>
      <c r="CQ59" s="362"/>
      <c r="CR59" s="362"/>
      <c r="CS59" s="362"/>
      <c r="CT59" s="362"/>
      <c r="CU59" s="362"/>
      <c r="CV59" s="362"/>
      <c r="CW59" s="362"/>
      <c r="CX59" s="362"/>
      <c r="CY59" s="362"/>
      <c r="CZ59" s="362"/>
      <c r="DA59" s="362"/>
      <c r="DB59" s="362"/>
      <c r="DC59" s="362"/>
      <c r="DD59" s="362"/>
      <c r="DE59" s="362"/>
      <c r="DF59" s="362"/>
      <c r="DG59" s="362"/>
      <c r="DH59" s="362"/>
      <c r="DI59" s="362"/>
      <c r="DJ59" s="362"/>
      <c r="DK59" s="362"/>
      <c r="DL59" s="362"/>
      <c r="DM59" s="362"/>
      <c r="DN59" s="362"/>
      <c r="DO59" s="362"/>
      <c r="DP59" s="362"/>
      <c r="DQ59" s="362"/>
      <c r="DR59" s="362"/>
      <c r="DS59" s="362"/>
      <c r="DT59" s="362"/>
      <c r="DU59" s="362"/>
      <c r="DV59" s="362"/>
      <c r="DW59" s="362"/>
      <c r="DX59" s="362"/>
      <c r="DY59" s="362"/>
      <c r="DZ59" s="362"/>
      <c r="EA59" s="362"/>
      <c r="EB59" s="362"/>
      <c r="EC59" s="362"/>
      <c r="ED59" s="362"/>
      <c r="EE59" s="362"/>
      <c r="EF59" s="362"/>
      <c r="EG59" s="362"/>
      <c r="EH59" s="362"/>
      <c r="EI59" s="362"/>
      <c r="EJ59" s="362"/>
      <c r="EK59" s="362"/>
      <c r="EL59" s="362"/>
      <c r="EM59" s="362"/>
      <c r="EN59" s="362"/>
      <c r="EO59" s="362"/>
      <c r="EP59" s="362"/>
      <c r="EQ59" s="362"/>
      <c r="ER59" s="362"/>
      <c r="ES59" s="362"/>
      <c r="ET59" s="362"/>
      <c r="EU59" s="362"/>
      <c r="EV59" s="362"/>
      <c r="EW59" s="362"/>
      <c r="EX59" s="362"/>
      <c r="EY59" s="362"/>
      <c r="EZ59" s="362"/>
      <c r="FA59" s="362"/>
      <c r="FB59" s="362"/>
      <c r="FC59" s="362"/>
      <c r="FD59" s="362"/>
      <c r="FE59" s="362"/>
      <c r="FF59" s="362"/>
      <c r="FG59" s="362"/>
      <c r="FH59" s="362"/>
      <c r="FI59" s="362"/>
      <c r="FJ59" s="362"/>
      <c r="FK59" s="362"/>
      <c r="FL59" s="362"/>
      <c r="FM59" s="362"/>
      <c r="FN59" s="362"/>
      <c r="FO59" s="362"/>
      <c r="FP59" s="362"/>
      <c r="FQ59" s="362"/>
      <c r="FR59" s="362"/>
      <c r="FS59" s="362"/>
      <c r="FT59" s="362"/>
      <c r="FU59" s="362"/>
      <c r="FV59" s="362"/>
      <c r="FW59" s="362"/>
      <c r="FX59" s="362"/>
      <c r="FY59" s="362"/>
      <c r="FZ59" s="362"/>
      <c r="GA59" s="362"/>
      <c r="GB59" s="362"/>
      <c r="GC59" s="362"/>
      <c r="GD59" s="362"/>
      <c r="GE59" s="362"/>
      <c r="GF59" s="362"/>
      <c r="GG59" s="362"/>
      <c r="GH59" s="362"/>
      <c r="GI59" s="362"/>
      <c r="GJ59" s="362"/>
      <c r="GK59" s="362"/>
      <c r="GL59" s="362"/>
      <c r="GM59" s="362"/>
      <c r="GN59" s="362"/>
      <c r="GO59" s="362"/>
      <c r="GP59" s="362"/>
      <c r="GQ59" s="362"/>
      <c r="GR59" s="362"/>
      <c r="GS59" s="362"/>
      <c r="GT59" s="362"/>
      <c r="GU59" s="362"/>
      <c r="GV59" s="362"/>
      <c r="GW59" s="362"/>
      <c r="GX59" s="362"/>
      <c r="GY59" s="362"/>
      <c r="GZ59" s="362"/>
      <c r="HA59" s="362"/>
      <c r="HB59" s="362"/>
      <c r="HC59" s="362"/>
      <c r="HD59" s="362"/>
      <c r="HE59" s="362"/>
      <c r="HF59" s="362"/>
      <c r="HG59" s="362"/>
      <c r="HH59" s="362"/>
      <c r="HI59" s="362"/>
      <c r="HJ59" s="362"/>
      <c r="HK59" s="362"/>
      <c r="HL59" s="362"/>
      <c r="HM59" s="362"/>
      <c r="HN59" s="362"/>
      <c r="HO59" s="362"/>
      <c r="HP59" s="362"/>
      <c r="HQ59" s="362"/>
      <c r="HR59" s="362"/>
      <c r="HS59" s="362"/>
      <c r="HT59" s="362"/>
      <c r="HU59" s="362"/>
      <c r="HV59" s="362"/>
      <c r="HW59" s="362"/>
      <c r="HX59" s="362"/>
      <c r="HY59" s="362"/>
      <c r="HZ59" s="362"/>
      <c r="IA59" s="362"/>
      <c r="IB59" s="362"/>
      <c r="IC59" s="362"/>
      <c r="ID59" s="362"/>
      <c r="IE59" s="362"/>
      <c r="IF59" s="362"/>
      <c r="IG59" s="362"/>
      <c r="IH59" s="362"/>
      <c r="II59" s="362"/>
      <c r="IJ59" s="362"/>
      <c r="IK59" s="362"/>
      <c r="IL59" s="362"/>
      <c r="IM59" s="362"/>
      <c r="IN59" s="362"/>
      <c r="IO59" s="362"/>
      <c r="IP59" s="362"/>
      <c r="IQ59" s="362"/>
      <c r="IR59" s="362"/>
      <c r="IS59" s="362"/>
      <c r="IT59" s="362"/>
    </row>
    <row r="60" spans="1:254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083" t="s">
        <v>692</v>
      </c>
      <c r="Q60" s="1084">
        <v>3</v>
      </c>
      <c r="R60" s="1084">
        <v>6</v>
      </c>
      <c r="S60" s="1084">
        <v>9</v>
      </c>
      <c r="T60" s="1084">
        <v>12</v>
      </c>
      <c r="U60" s="1084">
        <v>15</v>
      </c>
      <c r="V60" s="1084">
        <v>18</v>
      </c>
      <c r="W60" s="1084">
        <v>21</v>
      </c>
      <c r="X60" s="1084">
        <v>24</v>
      </c>
      <c r="Y60" s="1084">
        <v>27</v>
      </c>
      <c r="Z60" s="1084">
        <v>30</v>
      </c>
      <c r="AA60" s="1084">
        <v>33</v>
      </c>
      <c r="AB60" s="1084">
        <v>34</v>
      </c>
      <c r="AC60" s="1097">
        <v>35</v>
      </c>
      <c r="AD60" s="362"/>
      <c r="AE60" s="362"/>
      <c r="AF60" s="362"/>
      <c r="AG60" s="362"/>
      <c r="AH60" s="362"/>
      <c r="AI60" s="362"/>
      <c r="AJ60" s="362"/>
      <c r="AK60" s="1096"/>
      <c r="AL60" s="1096"/>
      <c r="AM60" s="1096"/>
      <c r="AN60" s="1096"/>
      <c r="AO60" s="2"/>
      <c r="AP60" s="2"/>
      <c r="AQ60" s="2"/>
      <c r="AR60" s="2"/>
      <c r="AS60" s="2"/>
      <c r="AT60" s="2"/>
      <c r="AU60" s="2"/>
      <c r="AV60" s="362"/>
      <c r="AW60" s="362"/>
      <c r="AX60" s="2"/>
      <c r="AY60" s="2"/>
      <c r="AZ60" s="2"/>
      <c r="BA60" s="1076"/>
      <c r="BB60" s="362"/>
      <c r="BC60" s="362"/>
      <c r="BD60" s="362"/>
      <c r="BE60" s="362"/>
      <c r="BF60" s="362"/>
      <c r="BG60" s="362"/>
      <c r="BH60" s="362"/>
      <c r="BI60" s="362"/>
      <c r="BJ60" s="362"/>
      <c r="BK60" s="362"/>
      <c r="BL60" s="362"/>
      <c r="BM60" s="362"/>
      <c r="BN60" s="362"/>
      <c r="BO60" s="362"/>
      <c r="BP60" s="362"/>
      <c r="BQ60" s="362"/>
      <c r="BR60" s="362"/>
      <c r="BS60" s="362"/>
      <c r="BT60" s="362"/>
      <c r="BU60" s="362"/>
      <c r="BV60" s="362"/>
      <c r="BW60" s="362"/>
      <c r="BX60" s="362"/>
      <c r="BY60" s="362"/>
      <c r="BZ60" s="362"/>
      <c r="CA60" s="362"/>
      <c r="CB60" s="362"/>
      <c r="CC60" s="362"/>
      <c r="CD60" s="362"/>
      <c r="CE60" s="362"/>
      <c r="CF60" s="362"/>
      <c r="CG60" s="362"/>
      <c r="CH60" s="362"/>
      <c r="CI60" s="362"/>
      <c r="CJ60" s="362"/>
      <c r="CK60" s="362"/>
      <c r="CL60" s="362"/>
      <c r="CM60" s="362"/>
      <c r="CN60" s="362"/>
      <c r="CO60" s="362"/>
      <c r="CP60" s="362"/>
      <c r="CQ60" s="362"/>
      <c r="CR60" s="362"/>
      <c r="CS60" s="362"/>
      <c r="CT60" s="362"/>
      <c r="CU60" s="362"/>
      <c r="CV60" s="362"/>
      <c r="CW60" s="362"/>
      <c r="CX60" s="362"/>
      <c r="CY60" s="362"/>
      <c r="CZ60" s="362"/>
      <c r="DA60" s="362"/>
      <c r="DB60" s="362"/>
      <c r="DC60" s="362"/>
      <c r="DD60" s="362"/>
      <c r="DE60" s="362"/>
      <c r="DF60" s="362"/>
      <c r="DG60" s="362"/>
      <c r="DH60" s="362"/>
      <c r="DI60" s="362"/>
      <c r="DJ60" s="362"/>
      <c r="DK60" s="362"/>
      <c r="DL60" s="362"/>
      <c r="DM60" s="362"/>
      <c r="DN60" s="362"/>
      <c r="DO60" s="362"/>
      <c r="DP60" s="362"/>
      <c r="DQ60" s="362"/>
      <c r="DR60" s="362"/>
      <c r="DS60" s="362"/>
      <c r="DT60" s="362"/>
      <c r="DU60" s="362"/>
      <c r="DV60" s="362"/>
      <c r="DW60" s="362"/>
      <c r="DX60" s="362"/>
      <c r="DY60" s="362"/>
      <c r="DZ60" s="362"/>
      <c r="EA60" s="362"/>
      <c r="EB60" s="362"/>
      <c r="EC60" s="362"/>
      <c r="ED60" s="362"/>
      <c r="EE60" s="362"/>
      <c r="EF60" s="362"/>
      <c r="EG60" s="362"/>
      <c r="EH60" s="362"/>
      <c r="EI60" s="362"/>
      <c r="EJ60" s="362"/>
      <c r="EK60" s="362"/>
      <c r="EL60" s="362"/>
      <c r="EM60" s="362"/>
      <c r="EN60" s="362"/>
      <c r="EO60" s="362"/>
      <c r="EP60" s="362"/>
      <c r="EQ60" s="362"/>
      <c r="ER60" s="362"/>
      <c r="ES60" s="362"/>
      <c r="ET60" s="362"/>
      <c r="EU60" s="362"/>
      <c r="EV60" s="362"/>
      <c r="EW60" s="362"/>
      <c r="EX60" s="362"/>
      <c r="EY60" s="362"/>
      <c r="EZ60" s="362"/>
      <c r="FA60" s="362"/>
      <c r="FB60" s="362"/>
      <c r="FC60" s="362"/>
      <c r="FD60" s="362"/>
      <c r="FE60" s="362"/>
      <c r="FF60" s="362"/>
      <c r="FG60" s="362"/>
      <c r="FH60" s="362"/>
      <c r="FI60" s="362"/>
      <c r="FJ60" s="362"/>
      <c r="FK60" s="362"/>
      <c r="FL60" s="362"/>
      <c r="FM60" s="362"/>
      <c r="FN60" s="362"/>
      <c r="FO60" s="362"/>
      <c r="FP60" s="362"/>
      <c r="FQ60" s="362"/>
      <c r="FR60" s="362"/>
      <c r="FS60" s="362"/>
      <c r="FT60" s="362"/>
      <c r="FU60" s="362"/>
      <c r="FV60" s="362"/>
      <c r="FW60" s="362"/>
      <c r="FX60" s="362"/>
      <c r="FY60" s="362"/>
      <c r="FZ60" s="362"/>
      <c r="GA60" s="362"/>
      <c r="GB60" s="362"/>
      <c r="GC60" s="362"/>
      <c r="GD60" s="362"/>
      <c r="GE60" s="362"/>
      <c r="GF60" s="362"/>
      <c r="GG60" s="362"/>
      <c r="GH60" s="362"/>
      <c r="GI60" s="362"/>
      <c r="GJ60" s="362"/>
      <c r="GK60" s="362"/>
      <c r="GL60" s="362"/>
      <c r="GM60" s="362"/>
      <c r="GN60" s="362"/>
      <c r="GO60" s="362"/>
      <c r="GP60" s="362"/>
      <c r="GQ60" s="362"/>
      <c r="GR60" s="362"/>
      <c r="GS60" s="362"/>
      <c r="GT60" s="362"/>
      <c r="GU60" s="362"/>
      <c r="GV60" s="362"/>
      <c r="GW60" s="362"/>
      <c r="GX60" s="362"/>
      <c r="GY60" s="362"/>
      <c r="GZ60" s="362"/>
      <c r="HA60" s="362"/>
      <c r="HB60" s="362"/>
      <c r="HC60" s="362"/>
      <c r="HD60" s="362"/>
      <c r="HE60" s="362"/>
      <c r="HF60" s="362"/>
      <c r="HG60" s="362"/>
      <c r="HH60" s="362"/>
      <c r="HI60" s="362"/>
      <c r="HJ60" s="362"/>
      <c r="HK60" s="362"/>
      <c r="HL60" s="362"/>
      <c r="HM60" s="362"/>
      <c r="HN60" s="362"/>
      <c r="HO60" s="362"/>
      <c r="HP60" s="362"/>
      <c r="HQ60" s="362"/>
      <c r="HR60" s="362"/>
      <c r="HS60" s="362"/>
      <c r="HT60" s="362"/>
      <c r="HU60" s="362"/>
      <c r="HV60" s="362"/>
      <c r="HW60" s="362"/>
      <c r="HX60" s="362"/>
      <c r="HY60" s="362"/>
      <c r="HZ60" s="362"/>
      <c r="IA60" s="362"/>
      <c r="IB60" s="362"/>
      <c r="IC60" s="362"/>
      <c r="ID60" s="362"/>
      <c r="IE60" s="362"/>
      <c r="IF60" s="362"/>
      <c r="IG60" s="362"/>
      <c r="IH60" s="362"/>
      <c r="II60" s="362"/>
      <c r="IJ60" s="362"/>
      <c r="IK60" s="362"/>
      <c r="IL60" s="362"/>
      <c r="IM60" s="362"/>
      <c r="IN60" s="362"/>
      <c r="IO60" s="362"/>
      <c r="IP60" s="362"/>
      <c r="IQ60" s="362"/>
      <c r="IR60" s="362"/>
      <c r="IS60" s="362"/>
      <c r="IT60" s="362"/>
    </row>
    <row r="61" spans="1:254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255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093" t="s">
        <v>351</v>
      </c>
      <c r="Q61" s="1094">
        <v>0.03</v>
      </c>
      <c r="R61" s="1094">
        <v>0.06</v>
      </c>
      <c r="S61" s="1094">
        <v>0.09</v>
      </c>
      <c r="T61" s="1094">
        <v>0.12</v>
      </c>
      <c r="U61" s="1094">
        <v>0.15</v>
      </c>
      <c r="V61" s="1094">
        <v>0.18</v>
      </c>
      <c r="W61" s="1094">
        <v>0.21</v>
      </c>
      <c r="X61" s="1094">
        <v>0.24</v>
      </c>
      <c r="Y61" s="1094">
        <v>0.27</v>
      </c>
      <c r="Z61" s="1094">
        <v>0.3</v>
      </c>
      <c r="AA61" s="1094">
        <v>0.33</v>
      </c>
      <c r="AB61" s="1094">
        <v>0.34</v>
      </c>
      <c r="AC61" s="1095">
        <v>0.35</v>
      </c>
      <c r="AD61" s="1075"/>
      <c r="AE61" s="1075"/>
      <c r="AF61" s="1075"/>
      <c r="AG61" s="1074"/>
      <c r="AH61" s="362"/>
      <c r="AI61" s="362"/>
      <c r="AJ61" s="362"/>
      <c r="AK61" s="362"/>
      <c r="AL61" s="362"/>
      <c r="AM61" s="362"/>
      <c r="AN61" s="362"/>
      <c r="AO61" s="362"/>
      <c r="AP61" s="362"/>
      <c r="AQ61" s="362"/>
      <c r="AR61" s="362"/>
      <c r="AS61" s="362"/>
      <c r="AT61" s="362"/>
      <c r="AU61" s="362"/>
      <c r="AV61" s="362"/>
      <c r="AW61" s="362"/>
      <c r="AX61" s="2"/>
      <c r="AY61" s="2"/>
      <c r="AZ61" s="2"/>
      <c r="BA61" s="1076"/>
      <c r="BB61" s="362"/>
      <c r="BC61" s="362"/>
      <c r="BD61" s="362"/>
      <c r="BE61" s="362"/>
      <c r="BF61" s="362"/>
      <c r="BG61" s="362"/>
      <c r="BH61" s="362"/>
      <c r="BI61" s="362"/>
      <c r="BJ61" s="362"/>
      <c r="BK61" s="362"/>
      <c r="BL61" s="362"/>
      <c r="BM61" s="362"/>
      <c r="BN61" s="362"/>
      <c r="BO61" s="362"/>
      <c r="BP61" s="362"/>
      <c r="BQ61" s="362"/>
      <c r="BR61" s="362"/>
      <c r="BS61" s="362"/>
      <c r="BT61" s="362"/>
      <c r="BU61" s="362"/>
      <c r="BV61" s="362"/>
      <c r="BW61" s="362"/>
      <c r="BX61" s="362"/>
      <c r="BY61" s="362"/>
      <c r="BZ61" s="362"/>
      <c r="CA61" s="362"/>
      <c r="CB61" s="362"/>
      <c r="CC61" s="362"/>
      <c r="CD61" s="362"/>
      <c r="CE61" s="362"/>
      <c r="CF61" s="362"/>
      <c r="CG61" s="362"/>
      <c r="CH61" s="362"/>
      <c r="CI61" s="362"/>
      <c r="CJ61" s="362"/>
      <c r="CK61" s="362"/>
      <c r="CL61" s="362"/>
      <c r="CM61" s="362"/>
      <c r="CN61" s="362"/>
      <c r="CO61" s="362"/>
      <c r="CP61" s="362"/>
      <c r="CQ61" s="362"/>
      <c r="CR61" s="362"/>
      <c r="CS61" s="362"/>
      <c r="CT61" s="362"/>
      <c r="CU61" s="362"/>
      <c r="CV61" s="362"/>
      <c r="CW61" s="362"/>
      <c r="CX61" s="362"/>
      <c r="CY61" s="362"/>
      <c r="CZ61" s="362"/>
      <c r="DA61" s="362"/>
      <c r="DB61" s="362"/>
      <c r="DC61" s="362"/>
      <c r="DD61" s="362"/>
      <c r="DE61" s="362"/>
      <c r="DF61" s="362"/>
      <c r="DG61" s="362"/>
      <c r="DH61" s="362"/>
      <c r="DI61" s="362"/>
      <c r="DJ61" s="362"/>
      <c r="DK61" s="362"/>
      <c r="DL61" s="362"/>
      <c r="DM61" s="362"/>
      <c r="DN61" s="362"/>
      <c r="DO61" s="362"/>
      <c r="DP61" s="362"/>
      <c r="DQ61" s="362"/>
      <c r="DR61" s="362"/>
      <c r="DS61" s="362"/>
      <c r="DT61" s="362"/>
      <c r="DU61" s="362"/>
      <c r="DV61" s="362"/>
      <c r="DW61" s="362"/>
      <c r="DX61" s="362"/>
      <c r="DY61" s="362"/>
      <c r="DZ61" s="362"/>
      <c r="EA61" s="362"/>
      <c r="EB61" s="362"/>
      <c r="EC61" s="362"/>
      <c r="ED61" s="362"/>
      <c r="EE61" s="362"/>
      <c r="EF61" s="362"/>
      <c r="EG61" s="362"/>
      <c r="EH61" s="362"/>
      <c r="EI61" s="362"/>
      <c r="EJ61" s="362"/>
      <c r="EK61" s="362"/>
      <c r="EL61" s="362"/>
      <c r="EM61" s="362"/>
      <c r="EN61" s="362"/>
      <c r="EO61" s="362"/>
      <c r="EP61" s="362"/>
      <c r="EQ61" s="362"/>
      <c r="ER61" s="362"/>
      <c r="ES61" s="362"/>
      <c r="ET61" s="362"/>
      <c r="EU61" s="362"/>
      <c r="EV61" s="362"/>
      <c r="EW61" s="362"/>
      <c r="EX61" s="362"/>
      <c r="EY61" s="362"/>
      <c r="EZ61" s="362"/>
      <c r="FA61" s="362"/>
      <c r="FB61" s="362"/>
      <c r="FC61" s="362"/>
      <c r="FD61" s="362"/>
      <c r="FE61" s="362"/>
      <c r="FF61" s="362"/>
      <c r="FG61" s="362"/>
      <c r="FH61" s="362"/>
      <c r="FI61" s="362"/>
      <c r="FJ61" s="362"/>
      <c r="FK61" s="362"/>
      <c r="FL61" s="362"/>
      <c r="FM61" s="362"/>
      <c r="FN61" s="362"/>
      <c r="FO61" s="362"/>
      <c r="FP61" s="362"/>
      <c r="FQ61" s="362"/>
      <c r="FR61" s="362"/>
      <c r="FS61" s="362"/>
      <c r="FT61" s="362"/>
      <c r="FU61" s="362"/>
      <c r="FV61" s="362"/>
      <c r="FW61" s="362"/>
      <c r="FX61" s="362"/>
      <c r="FY61" s="362"/>
      <c r="FZ61" s="362"/>
      <c r="GA61" s="362"/>
      <c r="GB61" s="362"/>
      <c r="GC61" s="362"/>
      <c r="GD61" s="362"/>
      <c r="GE61" s="362"/>
      <c r="GF61" s="362"/>
      <c r="GG61" s="362"/>
      <c r="GH61" s="362"/>
      <c r="GI61" s="362"/>
      <c r="GJ61" s="362"/>
      <c r="GK61" s="362"/>
      <c r="GL61" s="362"/>
      <c r="GM61" s="362"/>
      <c r="GN61" s="362"/>
      <c r="GO61" s="362"/>
      <c r="GP61" s="362"/>
      <c r="GQ61" s="362"/>
      <c r="GR61" s="362"/>
      <c r="GS61" s="362"/>
      <c r="GT61" s="362"/>
      <c r="GU61" s="362"/>
      <c r="GV61" s="362"/>
      <c r="GW61" s="362"/>
      <c r="GX61" s="362"/>
      <c r="GY61" s="362"/>
      <c r="GZ61" s="362"/>
      <c r="HA61" s="362"/>
      <c r="HB61" s="362"/>
      <c r="HC61" s="362"/>
      <c r="HD61" s="362"/>
      <c r="HE61" s="362"/>
      <c r="HF61" s="362"/>
      <c r="HG61" s="362"/>
      <c r="HH61" s="362"/>
      <c r="HI61" s="362"/>
      <c r="HJ61" s="362"/>
      <c r="HK61" s="362"/>
      <c r="HL61" s="362"/>
      <c r="HM61" s="362"/>
      <c r="HN61" s="362"/>
      <c r="HO61" s="362"/>
      <c r="HP61" s="362"/>
      <c r="HQ61" s="362"/>
      <c r="HR61" s="362"/>
      <c r="HS61" s="362"/>
      <c r="HT61" s="362"/>
      <c r="HU61" s="362"/>
      <c r="HV61" s="362"/>
      <c r="HW61" s="362"/>
      <c r="HX61" s="362"/>
      <c r="HY61" s="362"/>
      <c r="HZ61" s="362"/>
      <c r="IA61" s="362"/>
      <c r="IB61" s="362"/>
      <c r="IC61" s="362"/>
      <c r="ID61" s="362"/>
      <c r="IE61" s="362"/>
      <c r="IF61" s="362"/>
      <c r="IG61" s="362"/>
      <c r="IH61" s="362"/>
      <c r="II61" s="362"/>
      <c r="IJ61" s="362"/>
      <c r="IK61" s="362"/>
      <c r="IL61" s="362"/>
      <c r="IM61" s="362"/>
      <c r="IN61" s="362"/>
      <c r="IO61" s="362"/>
      <c r="IP61" s="362"/>
      <c r="IQ61" s="362"/>
      <c r="IR61" s="362"/>
      <c r="IS61" s="362"/>
      <c r="IT61" s="362"/>
    </row>
    <row r="62" spans="1:254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2"/>
      <c r="AD62" s="1075"/>
      <c r="AE62" s="1075"/>
      <c r="AF62" s="1075"/>
      <c r="AG62" s="1074"/>
      <c r="AH62" s="362"/>
      <c r="AI62" s="362"/>
      <c r="AJ62" s="362"/>
      <c r="AK62" s="362"/>
      <c r="AL62" s="362"/>
      <c r="AM62" s="362"/>
      <c r="AN62" s="362"/>
      <c r="AO62" s="362"/>
      <c r="AP62" s="362"/>
      <c r="AQ62" s="362"/>
      <c r="AR62" s="362"/>
      <c r="AS62" s="362"/>
      <c r="AT62" s="362"/>
      <c r="AU62" s="362"/>
      <c r="AV62" s="362"/>
      <c r="AW62" s="362"/>
      <c r="AX62" s="2"/>
      <c r="AY62" s="2"/>
      <c r="AZ62" s="2"/>
      <c r="BA62" s="1076"/>
      <c r="BB62" s="362"/>
      <c r="BC62" s="362"/>
      <c r="BD62" s="362"/>
      <c r="BE62" s="362"/>
      <c r="BF62" s="362"/>
      <c r="BG62" s="362"/>
      <c r="BH62" s="362"/>
      <c r="BI62" s="362"/>
      <c r="BJ62" s="362"/>
      <c r="BK62" s="362"/>
      <c r="BL62" s="362"/>
      <c r="BM62" s="362"/>
      <c r="BN62" s="362"/>
      <c r="BO62" s="362"/>
      <c r="BP62" s="362"/>
      <c r="BQ62" s="362"/>
      <c r="BR62" s="362"/>
      <c r="BS62" s="362"/>
      <c r="BT62" s="362"/>
      <c r="BU62" s="362"/>
      <c r="BV62" s="362"/>
      <c r="BW62" s="362"/>
      <c r="BX62" s="362"/>
      <c r="BY62" s="362"/>
      <c r="BZ62" s="362"/>
      <c r="CA62" s="362"/>
      <c r="CB62" s="362"/>
      <c r="CC62" s="362"/>
      <c r="CD62" s="362"/>
      <c r="CE62" s="362"/>
      <c r="CF62" s="362"/>
      <c r="CG62" s="362"/>
      <c r="CH62" s="362"/>
      <c r="CI62" s="362"/>
      <c r="CJ62" s="362"/>
      <c r="CK62" s="362"/>
      <c r="CL62" s="362"/>
      <c r="CM62" s="362"/>
      <c r="CN62" s="362"/>
      <c r="CO62" s="362"/>
      <c r="CP62" s="362"/>
      <c r="CQ62" s="362"/>
      <c r="CR62" s="362"/>
      <c r="CS62" s="362"/>
      <c r="CT62" s="362"/>
      <c r="CU62" s="362"/>
      <c r="CV62" s="362"/>
      <c r="CW62" s="362"/>
      <c r="CX62" s="362"/>
      <c r="CY62" s="362"/>
      <c r="CZ62" s="362"/>
      <c r="DA62" s="362"/>
      <c r="DB62" s="362"/>
      <c r="DC62" s="362"/>
      <c r="DD62" s="362"/>
      <c r="DE62" s="362"/>
      <c r="DF62" s="362"/>
      <c r="DG62" s="362"/>
      <c r="DH62" s="362"/>
      <c r="DI62" s="362"/>
      <c r="DJ62" s="362"/>
      <c r="DK62" s="362"/>
      <c r="DL62" s="362"/>
      <c r="DM62" s="362"/>
      <c r="DN62" s="362"/>
      <c r="DO62" s="362"/>
      <c r="DP62" s="362"/>
      <c r="DQ62" s="362"/>
      <c r="DR62" s="362"/>
      <c r="DS62" s="362"/>
      <c r="DT62" s="362"/>
      <c r="DU62" s="362"/>
      <c r="DV62" s="362"/>
      <c r="DW62" s="362"/>
      <c r="DX62" s="362"/>
      <c r="DY62" s="362"/>
      <c r="DZ62" s="362"/>
      <c r="EA62" s="362"/>
      <c r="EB62" s="362"/>
      <c r="EC62" s="362"/>
      <c r="ED62" s="362"/>
      <c r="EE62" s="362"/>
      <c r="EF62" s="362"/>
      <c r="EG62" s="362"/>
      <c r="EH62" s="362"/>
      <c r="EI62" s="362"/>
      <c r="EJ62" s="362"/>
      <c r="EK62" s="362"/>
      <c r="EL62" s="362"/>
      <c r="EM62" s="362"/>
      <c r="EN62" s="362"/>
      <c r="EO62" s="362"/>
      <c r="EP62" s="362"/>
      <c r="EQ62" s="362"/>
      <c r="ER62" s="362"/>
      <c r="ES62" s="362"/>
      <c r="ET62" s="362"/>
      <c r="EU62" s="362"/>
      <c r="EV62" s="362"/>
      <c r="EW62" s="362"/>
      <c r="EX62" s="362"/>
      <c r="EY62" s="362"/>
      <c r="EZ62" s="362"/>
      <c r="FA62" s="362"/>
      <c r="FB62" s="362"/>
      <c r="FC62" s="362"/>
      <c r="FD62" s="362"/>
      <c r="FE62" s="362"/>
      <c r="FF62" s="362"/>
      <c r="FG62" s="362"/>
      <c r="FH62" s="362"/>
      <c r="FI62" s="362"/>
      <c r="FJ62" s="362"/>
      <c r="FK62" s="362"/>
      <c r="FL62" s="362"/>
      <c r="FM62" s="362"/>
      <c r="FN62" s="362"/>
      <c r="FO62" s="362"/>
      <c r="FP62" s="362"/>
      <c r="FQ62" s="362"/>
      <c r="FR62" s="362"/>
      <c r="FS62" s="362"/>
      <c r="FT62" s="362"/>
      <c r="FU62" s="362"/>
      <c r="FV62" s="362"/>
      <c r="FW62" s="362"/>
      <c r="FX62" s="362"/>
      <c r="FY62" s="362"/>
      <c r="FZ62" s="362"/>
      <c r="GA62" s="362"/>
      <c r="GB62" s="362"/>
      <c r="GC62" s="362"/>
      <c r="GD62" s="362"/>
      <c r="GE62" s="362"/>
      <c r="GF62" s="362"/>
      <c r="GG62" s="362"/>
      <c r="GH62" s="362"/>
      <c r="GI62" s="362"/>
      <c r="GJ62" s="362"/>
      <c r="GK62" s="362"/>
      <c r="GL62" s="362"/>
      <c r="GM62" s="362"/>
      <c r="GN62" s="362"/>
      <c r="GO62" s="362"/>
      <c r="GP62" s="362"/>
      <c r="GQ62" s="362"/>
      <c r="GR62" s="362"/>
      <c r="GS62" s="362"/>
      <c r="GT62" s="362"/>
      <c r="GU62" s="362"/>
      <c r="GV62" s="362"/>
      <c r="GW62" s="362"/>
      <c r="GX62" s="362"/>
      <c r="GY62" s="362"/>
      <c r="GZ62" s="362"/>
      <c r="HA62" s="362"/>
      <c r="HB62" s="362"/>
      <c r="HC62" s="362"/>
      <c r="HD62" s="362"/>
      <c r="HE62" s="362"/>
      <c r="HF62" s="362"/>
      <c r="HG62" s="362"/>
      <c r="HH62" s="362"/>
      <c r="HI62" s="362"/>
      <c r="HJ62" s="362"/>
      <c r="HK62" s="362"/>
      <c r="HL62" s="362"/>
      <c r="HM62" s="362"/>
      <c r="HN62" s="362"/>
      <c r="HO62" s="362"/>
      <c r="HP62" s="362"/>
      <c r="HQ62" s="362"/>
      <c r="HR62" s="362"/>
      <c r="HS62" s="362"/>
      <c r="HT62" s="362"/>
      <c r="HU62" s="362"/>
      <c r="HV62" s="362"/>
      <c r="HW62" s="362"/>
      <c r="HX62" s="362"/>
      <c r="HY62" s="362"/>
      <c r="HZ62" s="362"/>
      <c r="IA62" s="362"/>
      <c r="IB62" s="362"/>
      <c r="IC62" s="362"/>
      <c r="ID62" s="362"/>
      <c r="IE62" s="362"/>
      <c r="IF62" s="362"/>
      <c r="IG62" s="362"/>
      <c r="IH62" s="362"/>
      <c r="II62" s="362"/>
      <c r="IJ62" s="362"/>
      <c r="IK62" s="362"/>
      <c r="IL62" s="362"/>
      <c r="IM62" s="362"/>
      <c r="IN62" s="362"/>
      <c r="IO62" s="362"/>
      <c r="IP62" s="362"/>
      <c r="IQ62" s="362"/>
      <c r="IR62" s="362"/>
      <c r="IS62" s="362"/>
      <c r="IT62" s="362"/>
    </row>
    <row r="63" spans="1:254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255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105" t="s">
        <v>697</v>
      </c>
      <c r="Q63" s="1084">
        <v>3</v>
      </c>
      <c r="R63" s="1084">
        <v>6</v>
      </c>
      <c r="S63" s="1084">
        <v>9</v>
      </c>
      <c r="T63" s="1084">
        <v>12</v>
      </c>
      <c r="U63" s="1084">
        <v>15</v>
      </c>
      <c r="V63" s="1084">
        <v>18</v>
      </c>
      <c r="W63" s="1084">
        <v>21</v>
      </c>
      <c r="X63" s="1084">
        <v>24</v>
      </c>
      <c r="Y63" s="1084">
        <v>27</v>
      </c>
      <c r="Z63" s="1084">
        <v>30</v>
      </c>
      <c r="AA63" s="1097">
        <v>33</v>
      </c>
      <c r="AB63" s="362"/>
      <c r="AC63" s="362"/>
      <c r="AD63" s="1075"/>
      <c r="AE63" s="1075"/>
      <c r="AF63" s="1075"/>
      <c r="AG63" s="1074"/>
      <c r="AH63" s="362"/>
      <c r="AI63" s="362"/>
      <c r="AJ63" s="362"/>
      <c r="AK63" s="362"/>
      <c r="AL63" s="362"/>
      <c r="AM63" s="362"/>
      <c r="AN63" s="362"/>
      <c r="AO63" s="362"/>
      <c r="AP63" s="362"/>
      <c r="AQ63" s="362"/>
      <c r="AR63" s="362"/>
      <c r="AS63" s="362"/>
      <c r="AT63" s="362"/>
      <c r="AU63" s="362"/>
      <c r="AV63" s="362"/>
      <c r="AW63" s="362"/>
      <c r="AX63" s="2"/>
      <c r="AY63" s="2"/>
      <c r="AZ63" s="2"/>
      <c r="BA63" s="1076"/>
      <c r="BB63" s="362"/>
      <c r="BC63" s="362"/>
      <c r="BD63" s="362"/>
      <c r="BE63" s="362"/>
      <c r="BF63" s="362"/>
      <c r="BG63" s="362"/>
      <c r="BH63" s="362"/>
      <c r="BI63" s="362"/>
      <c r="BJ63" s="362"/>
      <c r="BK63" s="362"/>
      <c r="BL63" s="362"/>
      <c r="BM63" s="362"/>
      <c r="BN63" s="362"/>
      <c r="BO63" s="362"/>
      <c r="BP63" s="362"/>
      <c r="BQ63" s="362"/>
      <c r="BR63" s="362"/>
      <c r="BS63" s="362"/>
      <c r="BT63" s="362"/>
      <c r="BU63" s="362"/>
      <c r="BV63" s="362"/>
      <c r="BW63" s="362"/>
      <c r="BX63" s="362"/>
      <c r="BY63" s="362"/>
      <c r="BZ63" s="362"/>
      <c r="CA63" s="362"/>
      <c r="CB63" s="362"/>
      <c r="CC63" s="362"/>
      <c r="CD63" s="362"/>
      <c r="CE63" s="362"/>
      <c r="CF63" s="362"/>
      <c r="CG63" s="362"/>
      <c r="CH63" s="362"/>
      <c r="CI63" s="362"/>
      <c r="CJ63" s="362"/>
      <c r="CK63" s="362"/>
      <c r="CL63" s="362"/>
      <c r="CM63" s="362"/>
      <c r="CN63" s="362"/>
      <c r="CO63" s="362"/>
      <c r="CP63" s="362"/>
      <c r="CQ63" s="362"/>
      <c r="CR63" s="362"/>
      <c r="CS63" s="362"/>
      <c r="CT63" s="362"/>
      <c r="CU63" s="362"/>
      <c r="CV63" s="362"/>
      <c r="CW63" s="362"/>
      <c r="CX63" s="362"/>
      <c r="CY63" s="362"/>
      <c r="CZ63" s="362"/>
      <c r="DA63" s="362"/>
      <c r="DB63" s="362"/>
      <c r="DC63" s="362"/>
      <c r="DD63" s="362"/>
      <c r="DE63" s="362"/>
      <c r="DF63" s="362"/>
      <c r="DG63" s="362"/>
      <c r="DH63" s="362"/>
      <c r="DI63" s="362"/>
      <c r="DJ63" s="362"/>
      <c r="DK63" s="362"/>
      <c r="DL63" s="362"/>
      <c r="DM63" s="362"/>
      <c r="DN63" s="362"/>
      <c r="DO63" s="362"/>
      <c r="DP63" s="362"/>
      <c r="DQ63" s="362"/>
      <c r="DR63" s="362"/>
      <c r="DS63" s="362"/>
      <c r="DT63" s="362"/>
      <c r="DU63" s="362"/>
      <c r="DV63" s="362"/>
      <c r="DW63" s="362"/>
      <c r="DX63" s="362"/>
      <c r="DY63" s="362"/>
      <c r="DZ63" s="362"/>
      <c r="EA63" s="362"/>
      <c r="EB63" s="362"/>
      <c r="EC63" s="362"/>
      <c r="ED63" s="362"/>
      <c r="EE63" s="362"/>
      <c r="EF63" s="362"/>
      <c r="EG63" s="362"/>
      <c r="EH63" s="362"/>
      <c r="EI63" s="362"/>
      <c r="EJ63" s="362"/>
      <c r="EK63" s="362"/>
      <c r="EL63" s="362"/>
      <c r="EM63" s="362"/>
      <c r="EN63" s="362"/>
      <c r="EO63" s="362"/>
      <c r="EP63" s="362"/>
      <c r="EQ63" s="362"/>
      <c r="ER63" s="362"/>
      <c r="ES63" s="362"/>
      <c r="ET63" s="362"/>
      <c r="EU63" s="362"/>
      <c r="EV63" s="362"/>
      <c r="EW63" s="362"/>
      <c r="EX63" s="362"/>
      <c r="EY63" s="362"/>
      <c r="EZ63" s="362"/>
      <c r="FA63" s="362"/>
      <c r="FB63" s="362"/>
      <c r="FC63" s="362"/>
      <c r="FD63" s="362"/>
      <c r="FE63" s="362"/>
      <c r="FF63" s="362"/>
      <c r="FG63" s="362"/>
      <c r="FH63" s="362"/>
      <c r="FI63" s="362"/>
      <c r="FJ63" s="362"/>
      <c r="FK63" s="362"/>
      <c r="FL63" s="362"/>
      <c r="FM63" s="362"/>
      <c r="FN63" s="362"/>
      <c r="FO63" s="362"/>
      <c r="FP63" s="362"/>
      <c r="FQ63" s="362"/>
      <c r="FR63" s="362"/>
      <c r="FS63" s="362"/>
      <c r="FT63" s="362"/>
      <c r="FU63" s="362"/>
      <c r="FV63" s="362"/>
      <c r="FW63" s="362"/>
      <c r="FX63" s="362"/>
      <c r="FY63" s="362"/>
      <c r="FZ63" s="362"/>
      <c r="GA63" s="362"/>
      <c r="GB63" s="362"/>
      <c r="GC63" s="362"/>
      <c r="GD63" s="362"/>
      <c r="GE63" s="362"/>
      <c r="GF63" s="362"/>
      <c r="GG63" s="362"/>
      <c r="GH63" s="362"/>
      <c r="GI63" s="362"/>
      <c r="GJ63" s="362"/>
      <c r="GK63" s="362"/>
      <c r="GL63" s="362"/>
      <c r="GM63" s="362"/>
      <c r="GN63" s="362"/>
      <c r="GO63" s="362"/>
      <c r="GP63" s="362"/>
      <c r="GQ63" s="362"/>
      <c r="GR63" s="362"/>
      <c r="GS63" s="362"/>
      <c r="GT63" s="362"/>
      <c r="GU63" s="362"/>
      <c r="GV63" s="362"/>
      <c r="GW63" s="362"/>
      <c r="GX63" s="362"/>
      <c r="GY63" s="362"/>
      <c r="GZ63" s="362"/>
      <c r="HA63" s="362"/>
      <c r="HB63" s="362"/>
      <c r="HC63" s="362"/>
      <c r="HD63" s="362"/>
      <c r="HE63" s="362"/>
      <c r="HF63" s="362"/>
      <c r="HG63" s="362"/>
      <c r="HH63" s="362"/>
      <c r="HI63" s="362"/>
      <c r="HJ63" s="362"/>
      <c r="HK63" s="362"/>
      <c r="HL63" s="362"/>
      <c r="HM63" s="362"/>
      <c r="HN63" s="362"/>
      <c r="HO63" s="362"/>
      <c r="HP63" s="362"/>
      <c r="HQ63" s="362"/>
      <c r="HR63" s="362"/>
      <c r="HS63" s="362"/>
      <c r="HT63" s="362"/>
      <c r="HU63" s="362"/>
      <c r="HV63" s="362"/>
      <c r="HW63" s="362"/>
      <c r="HX63" s="362"/>
      <c r="HY63" s="362"/>
      <c r="HZ63" s="362"/>
      <c r="IA63" s="362"/>
      <c r="IB63" s="362"/>
      <c r="IC63" s="362"/>
      <c r="ID63" s="362"/>
      <c r="IE63" s="362"/>
      <c r="IF63" s="362"/>
      <c r="IG63" s="362"/>
      <c r="IH63" s="362"/>
      <c r="II63" s="362"/>
      <c r="IJ63" s="362"/>
      <c r="IK63" s="362"/>
      <c r="IL63" s="362"/>
      <c r="IM63" s="362"/>
      <c r="IN63" s="362"/>
      <c r="IO63" s="362"/>
      <c r="IP63" s="362"/>
      <c r="IQ63" s="362"/>
      <c r="IR63" s="362"/>
      <c r="IS63" s="362"/>
      <c r="IT63" s="362"/>
    </row>
    <row r="64" spans="1:254" x14ac:dyDescent="0.15">
      <c r="B64" s="197"/>
      <c r="C64" s="244">
        <f>IF(E2=B88,"NÃO CABE",IF(E2=B90,"NÃO CABE",IF(E2=B91,"NÃO CABE",IF(E2=B92,"NÃO CABE",IF(C65&gt;0,C65,"NADA A CUMPRIR")))))</f>
        <v>12775</v>
      </c>
      <c r="D64" s="198"/>
      <c r="E64" s="199"/>
      <c r="F64" s="200"/>
      <c r="G64" s="198"/>
      <c r="H64" s="201">
        <f>IF($C$64="NÃO CABE",0,IF($C$65&gt;0,ROUNDDOWN($C$65/365,0),0))</f>
        <v>35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093" t="s">
        <v>351</v>
      </c>
      <c r="Q64" s="1094">
        <v>0.1</v>
      </c>
      <c r="R64" s="1094">
        <v>0.16</v>
      </c>
      <c r="S64" s="1094">
        <v>0.22</v>
      </c>
      <c r="T64" s="1094">
        <v>0.28000000000000003</v>
      </c>
      <c r="U64" s="1094">
        <v>0.34</v>
      </c>
      <c r="V64" s="1094">
        <v>0.4</v>
      </c>
      <c r="W64" s="1094">
        <v>0.46</v>
      </c>
      <c r="X64" s="1094">
        <v>0.52</v>
      </c>
      <c r="Y64" s="1094">
        <v>0.57999999999999996</v>
      </c>
      <c r="Z64" s="1094">
        <v>0.64</v>
      </c>
      <c r="AA64" s="1095">
        <v>0.7</v>
      </c>
      <c r="AB64" s="362"/>
      <c r="AC64" s="1090"/>
      <c r="AD64" s="1075"/>
      <c r="AE64" s="1075"/>
      <c r="AF64" s="1075"/>
      <c r="AG64" s="1074"/>
      <c r="AH64" s="362"/>
      <c r="AI64" s="362"/>
      <c r="AJ64" s="362"/>
      <c r="AK64" s="362"/>
      <c r="AL64" s="362"/>
      <c r="AM64" s="362"/>
      <c r="AN64" s="362"/>
      <c r="AO64" s="362"/>
      <c r="AP64" s="362"/>
      <c r="AQ64" s="362"/>
      <c r="AR64" s="362"/>
      <c r="AS64" s="362"/>
      <c r="AT64" s="362"/>
      <c r="AU64" s="362"/>
      <c r="AV64" s="362"/>
      <c r="AW64" s="362"/>
      <c r="AX64" s="2"/>
      <c r="AY64" s="2"/>
      <c r="AZ64" s="2"/>
      <c r="BA64" s="1076"/>
      <c r="BB64" s="362"/>
      <c r="BC64" s="362"/>
      <c r="BD64" s="362"/>
      <c r="BE64" s="362"/>
      <c r="BF64" s="362"/>
      <c r="BG64" s="362"/>
      <c r="BH64" s="362"/>
      <c r="BI64" s="362"/>
      <c r="BJ64" s="362"/>
      <c r="BK64" s="362"/>
      <c r="BL64" s="362"/>
      <c r="BM64" s="362"/>
      <c r="BN64" s="362"/>
      <c r="BO64" s="362"/>
      <c r="BP64" s="362"/>
      <c r="BQ64" s="362"/>
      <c r="BR64" s="362"/>
      <c r="BS64" s="362"/>
      <c r="BT64" s="362"/>
      <c r="BU64" s="362"/>
      <c r="BV64" s="362"/>
      <c r="BW64" s="362"/>
      <c r="BX64" s="362"/>
      <c r="BY64" s="362"/>
      <c r="BZ64" s="362"/>
      <c r="CA64" s="362"/>
      <c r="CB64" s="362"/>
      <c r="CC64" s="362"/>
      <c r="CD64" s="362"/>
      <c r="CE64" s="362"/>
      <c r="CF64" s="362"/>
      <c r="CG64" s="362"/>
      <c r="CH64" s="362"/>
      <c r="CI64" s="362"/>
      <c r="CJ64" s="362"/>
      <c r="CK64" s="362"/>
      <c r="CL64" s="362"/>
      <c r="CM64" s="362"/>
      <c r="CN64" s="362"/>
      <c r="CO64" s="362"/>
      <c r="CP64" s="362"/>
      <c r="CQ64" s="362"/>
      <c r="CR64" s="362"/>
      <c r="CS64" s="362"/>
      <c r="CT64" s="362"/>
      <c r="CU64" s="362"/>
      <c r="CV64" s="362"/>
      <c r="CW64" s="362"/>
      <c r="CX64" s="362"/>
      <c r="CY64" s="362"/>
      <c r="CZ64" s="362"/>
      <c r="DA64" s="362"/>
      <c r="DB64" s="362"/>
      <c r="DC64" s="362"/>
      <c r="DD64" s="362"/>
      <c r="DE64" s="362"/>
      <c r="DF64" s="362"/>
      <c r="DG64" s="362"/>
      <c r="DH64" s="362"/>
      <c r="DI64" s="362"/>
      <c r="DJ64" s="362"/>
      <c r="DK64" s="362"/>
      <c r="DL64" s="362"/>
      <c r="DM64" s="362"/>
      <c r="DN64" s="362"/>
      <c r="DO64" s="362"/>
      <c r="DP64" s="362"/>
      <c r="DQ64" s="362"/>
      <c r="DR64" s="362"/>
      <c r="DS64" s="362"/>
      <c r="DT64" s="362"/>
      <c r="DU64" s="362"/>
      <c r="DV64" s="362"/>
      <c r="DW64" s="362"/>
      <c r="DX64" s="362"/>
      <c r="DY64" s="362"/>
      <c r="DZ64" s="362"/>
      <c r="EA64" s="362"/>
      <c r="EB64" s="362"/>
      <c r="EC64" s="362"/>
      <c r="ED64" s="362"/>
      <c r="EE64" s="362"/>
      <c r="EF64" s="362"/>
      <c r="EG64" s="362"/>
      <c r="EH64" s="362"/>
      <c r="EI64" s="362"/>
      <c r="EJ64" s="362"/>
      <c r="EK64" s="362"/>
      <c r="EL64" s="362"/>
      <c r="EM64" s="362"/>
      <c r="EN64" s="362"/>
      <c r="EO64" s="362"/>
      <c r="EP64" s="362"/>
      <c r="EQ64" s="362"/>
      <c r="ER64" s="362"/>
      <c r="ES64" s="362"/>
      <c r="ET64" s="362"/>
      <c r="EU64" s="362"/>
      <c r="EV64" s="362"/>
      <c r="EW64" s="362"/>
      <c r="EX64" s="362"/>
      <c r="EY64" s="362"/>
      <c r="EZ64" s="362"/>
      <c r="FA64" s="362"/>
      <c r="FB64" s="362"/>
      <c r="FC64" s="362"/>
      <c r="FD64" s="362"/>
      <c r="FE64" s="362"/>
      <c r="FF64" s="362"/>
      <c r="FG64" s="362"/>
      <c r="FH64" s="362"/>
      <c r="FI64" s="362"/>
      <c r="FJ64" s="362"/>
      <c r="FK64" s="362"/>
      <c r="FL64" s="362"/>
      <c r="FM64" s="362"/>
      <c r="FN64" s="362"/>
      <c r="FO64" s="362"/>
      <c r="FP64" s="362"/>
      <c r="FQ64" s="362"/>
      <c r="FR64" s="362"/>
      <c r="FS64" s="362"/>
      <c r="FT64" s="362"/>
      <c r="FU64" s="362"/>
      <c r="FV64" s="362"/>
      <c r="FW64" s="362"/>
      <c r="FX64" s="362"/>
      <c r="FY64" s="362"/>
      <c r="FZ64" s="362"/>
      <c r="GA64" s="362"/>
      <c r="GB64" s="362"/>
      <c r="GC64" s="362"/>
      <c r="GD64" s="362"/>
      <c r="GE64" s="362"/>
      <c r="GF64" s="362"/>
      <c r="GG64" s="362"/>
      <c r="GH64" s="362"/>
      <c r="GI64" s="362"/>
      <c r="GJ64" s="362"/>
      <c r="GK64" s="362"/>
      <c r="GL64" s="362"/>
      <c r="GM64" s="362"/>
      <c r="GN64" s="362"/>
      <c r="GO64" s="362"/>
      <c r="GP64" s="362"/>
      <c r="GQ64" s="362"/>
      <c r="GR64" s="362"/>
      <c r="GS64" s="362"/>
      <c r="GT64" s="362"/>
      <c r="GU64" s="362"/>
      <c r="GV64" s="362"/>
      <c r="GW64" s="362"/>
      <c r="GX64" s="362"/>
      <c r="GY64" s="362"/>
      <c r="GZ64" s="362"/>
      <c r="HA64" s="362"/>
      <c r="HB64" s="362"/>
      <c r="HC64" s="362"/>
      <c r="HD64" s="362"/>
      <c r="HE64" s="362"/>
      <c r="HF64" s="362"/>
      <c r="HG64" s="362"/>
      <c r="HH64" s="362"/>
      <c r="HI64" s="362"/>
      <c r="HJ64" s="362"/>
      <c r="HK64" s="362"/>
      <c r="HL64" s="362"/>
      <c r="HM64" s="362"/>
      <c r="HN64" s="362"/>
      <c r="HO64" s="362"/>
      <c r="HP64" s="362"/>
      <c r="HQ64" s="362"/>
      <c r="HR64" s="362"/>
      <c r="HS64" s="362"/>
      <c r="HT64" s="362"/>
      <c r="HU64" s="362"/>
      <c r="HV64" s="362"/>
      <c r="HW64" s="362"/>
      <c r="HX64" s="362"/>
      <c r="HY64" s="362"/>
      <c r="HZ64" s="362"/>
      <c r="IA64" s="362"/>
      <c r="IB64" s="362"/>
      <c r="IC64" s="362"/>
      <c r="ID64" s="362"/>
      <c r="IE64" s="362"/>
      <c r="IF64" s="362"/>
      <c r="IG64" s="362"/>
      <c r="IH64" s="362"/>
      <c r="II64" s="362"/>
      <c r="IJ64" s="362"/>
      <c r="IK64" s="362"/>
      <c r="IL64" s="362"/>
      <c r="IM64" s="362"/>
      <c r="IN64" s="362"/>
      <c r="IO64" s="362"/>
      <c r="IP64" s="362"/>
      <c r="IQ64" s="362"/>
      <c r="IR64" s="362"/>
      <c r="IS64" s="362"/>
      <c r="IT64" s="362"/>
    </row>
    <row r="65" spans="1:254" ht="15" thickBot="1" x14ac:dyDescent="0.2">
      <c r="B65" s="204"/>
      <c r="C65" s="209">
        <f>IF(K2=O2,IF(E2=B93,R119,R118),IF(K2=O3,Q117,IF(K2=O6,Q117,IF(K2=O4,Q116,IF(K2=O5,Q116,IF($K$2=O7,Q120,0))))))</f>
        <v>12775</v>
      </c>
      <c r="D65" s="205"/>
      <c r="E65" s="206"/>
      <c r="F65" s="207"/>
      <c r="G65" s="205"/>
      <c r="H65" s="207">
        <f>IF($C$64="NÃO CABE",0,IF($C$65&gt;0,ROUNDDOWN($C$65/365,0),0))</f>
        <v>35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  <c r="AC65" s="1074"/>
      <c r="AD65" s="362"/>
      <c r="AE65" s="362"/>
      <c r="AF65" s="362"/>
      <c r="AG65" s="362"/>
      <c r="AH65" s="362"/>
      <c r="AI65" s="362"/>
      <c r="AJ65" s="362"/>
      <c r="AK65" s="362"/>
      <c r="AL65" s="362"/>
      <c r="AM65" s="362"/>
      <c r="AN65" s="362"/>
      <c r="AO65" s="362"/>
      <c r="AP65" s="362"/>
      <c r="AQ65" s="362"/>
      <c r="AR65" s="362"/>
      <c r="AS65" s="362"/>
      <c r="AT65" s="362"/>
      <c r="AU65" s="362"/>
      <c r="AV65" s="362"/>
      <c r="AW65" s="362"/>
      <c r="AX65" s="2"/>
      <c r="AY65" s="2"/>
      <c r="AZ65" s="2"/>
      <c r="BA65" s="1076"/>
      <c r="BB65" s="362"/>
      <c r="BC65" s="362"/>
      <c r="BD65" s="362"/>
      <c r="BE65" s="362"/>
      <c r="BF65" s="362"/>
      <c r="BG65" s="362"/>
      <c r="BH65" s="362"/>
      <c r="BI65" s="362"/>
      <c r="BJ65" s="362"/>
      <c r="BK65" s="362"/>
      <c r="BL65" s="362"/>
      <c r="BM65" s="362"/>
      <c r="BN65" s="362"/>
      <c r="BO65" s="362"/>
      <c r="BP65" s="362"/>
      <c r="BQ65" s="362"/>
      <c r="BR65" s="362"/>
      <c r="BS65" s="362"/>
      <c r="BT65" s="362"/>
      <c r="BU65" s="362"/>
      <c r="BV65" s="362"/>
      <c r="BW65" s="362"/>
      <c r="BX65" s="362"/>
      <c r="BY65" s="362"/>
      <c r="BZ65" s="362"/>
      <c r="CA65" s="362"/>
      <c r="CB65" s="362"/>
      <c r="CC65" s="362"/>
      <c r="CD65" s="362"/>
      <c r="CE65" s="362"/>
      <c r="CF65" s="362"/>
      <c r="CG65" s="362"/>
      <c r="CH65" s="362"/>
      <c r="CI65" s="362"/>
      <c r="CJ65" s="362"/>
      <c r="CK65" s="362"/>
      <c r="CL65" s="362"/>
      <c r="CM65" s="362"/>
      <c r="CN65" s="362"/>
      <c r="CO65" s="362"/>
      <c r="CP65" s="362"/>
      <c r="CQ65" s="362"/>
      <c r="CR65" s="362"/>
      <c r="CS65" s="362"/>
      <c r="CT65" s="362"/>
      <c r="CU65" s="362"/>
      <c r="CV65" s="362"/>
      <c r="CW65" s="362"/>
      <c r="CX65" s="362"/>
      <c r="CY65" s="362"/>
      <c r="CZ65" s="362"/>
      <c r="DA65" s="362"/>
      <c r="DB65" s="362"/>
      <c r="DC65" s="362"/>
      <c r="DD65" s="362"/>
      <c r="DE65" s="362"/>
      <c r="DF65" s="362"/>
      <c r="DG65" s="362"/>
      <c r="DH65" s="362"/>
      <c r="DI65" s="362"/>
      <c r="DJ65" s="362"/>
      <c r="DK65" s="362"/>
      <c r="DL65" s="362"/>
      <c r="DM65" s="362"/>
      <c r="DN65" s="362"/>
      <c r="DO65" s="362"/>
      <c r="DP65" s="362"/>
      <c r="DQ65" s="362"/>
      <c r="DR65" s="362"/>
      <c r="DS65" s="362"/>
      <c r="DT65" s="362"/>
      <c r="DU65" s="362"/>
      <c r="DV65" s="362"/>
      <c r="DW65" s="362"/>
      <c r="DX65" s="362"/>
      <c r="DY65" s="362"/>
      <c r="DZ65" s="362"/>
      <c r="EA65" s="362"/>
      <c r="EB65" s="362"/>
      <c r="EC65" s="362"/>
      <c r="ED65" s="362"/>
      <c r="EE65" s="362"/>
      <c r="EF65" s="362"/>
      <c r="EG65" s="362"/>
      <c r="EH65" s="362"/>
      <c r="EI65" s="362"/>
      <c r="EJ65" s="362"/>
      <c r="EK65" s="362"/>
      <c r="EL65" s="362"/>
      <c r="EM65" s="362"/>
      <c r="EN65" s="362"/>
      <c r="EO65" s="362"/>
      <c r="EP65" s="362"/>
      <c r="EQ65" s="362"/>
      <c r="ER65" s="362"/>
      <c r="ES65" s="362"/>
      <c r="ET65" s="362"/>
      <c r="EU65" s="362"/>
      <c r="EV65" s="362"/>
      <c r="EW65" s="362"/>
      <c r="EX65" s="362"/>
      <c r="EY65" s="362"/>
      <c r="EZ65" s="362"/>
      <c r="FA65" s="362"/>
      <c r="FB65" s="362"/>
      <c r="FC65" s="362"/>
      <c r="FD65" s="362"/>
      <c r="FE65" s="362"/>
      <c r="FF65" s="362"/>
      <c r="FG65" s="362"/>
      <c r="FH65" s="362"/>
      <c r="FI65" s="362"/>
      <c r="FJ65" s="362"/>
      <c r="FK65" s="362"/>
      <c r="FL65" s="362"/>
      <c r="FM65" s="362"/>
      <c r="FN65" s="362"/>
      <c r="FO65" s="362"/>
      <c r="FP65" s="362"/>
      <c r="FQ65" s="362"/>
      <c r="FR65" s="362"/>
      <c r="FS65" s="362"/>
      <c r="FT65" s="362"/>
      <c r="FU65" s="362"/>
      <c r="FV65" s="362"/>
      <c r="FW65" s="362"/>
      <c r="FX65" s="362"/>
      <c r="FY65" s="362"/>
      <c r="FZ65" s="362"/>
      <c r="GA65" s="362"/>
      <c r="GB65" s="362"/>
      <c r="GC65" s="362"/>
      <c r="GD65" s="362"/>
      <c r="GE65" s="362"/>
      <c r="GF65" s="362"/>
      <c r="GG65" s="362"/>
      <c r="GH65" s="362"/>
      <c r="GI65" s="362"/>
      <c r="GJ65" s="362"/>
      <c r="GK65" s="362"/>
      <c r="GL65" s="362"/>
      <c r="GM65" s="362"/>
      <c r="GN65" s="362"/>
      <c r="GO65" s="362"/>
      <c r="GP65" s="362"/>
      <c r="GQ65" s="362"/>
      <c r="GR65" s="362"/>
      <c r="GS65" s="362"/>
      <c r="GT65" s="362"/>
      <c r="GU65" s="362"/>
      <c r="GV65" s="362"/>
      <c r="GW65" s="362"/>
      <c r="GX65" s="362"/>
      <c r="GY65" s="362"/>
      <c r="GZ65" s="362"/>
      <c r="HA65" s="362"/>
      <c r="HB65" s="362"/>
      <c r="HC65" s="362"/>
      <c r="HD65" s="362"/>
      <c r="HE65" s="362"/>
      <c r="HF65" s="362"/>
      <c r="HG65" s="362"/>
      <c r="HH65" s="362"/>
      <c r="HI65" s="362"/>
      <c r="HJ65" s="362"/>
      <c r="HK65" s="362"/>
      <c r="HL65" s="362"/>
      <c r="HM65" s="362"/>
      <c r="HN65" s="362"/>
      <c r="HO65" s="362"/>
      <c r="HP65" s="362"/>
      <c r="HQ65" s="362"/>
      <c r="HR65" s="362"/>
      <c r="HS65" s="362"/>
      <c r="HT65" s="362"/>
      <c r="HU65" s="362"/>
      <c r="HV65" s="362"/>
      <c r="HW65" s="362"/>
      <c r="HX65" s="362"/>
      <c r="HY65" s="362"/>
      <c r="HZ65" s="362"/>
      <c r="IA65" s="362"/>
      <c r="IB65" s="362"/>
      <c r="IC65" s="362"/>
      <c r="ID65" s="362"/>
      <c r="IE65" s="362"/>
      <c r="IF65" s="362"/>
      <c r="IG65" s="362"/>
      <c r="IH65" s="362"/>
      <c r="II65" s="362"/>
      <c r="IJ65" s="362"/>
      <c r="IK65" s="362"/>
      <c r="IL65" s="362"/>
      <c r="IM65" s="362"/>
      <c r="IN65" s="362"/>
      <c r="IO65" s="362"/>
      <c r="IP65" s="362"/>
      <c r="IQ65" s="362"/>
      <c r="IR65" s="362"/>
      <c r="IS65" s="362"/>
      <c r="IT65" s="362"/>
    </row>
    <row r="66" spans="1:254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105" t="s">
        <v>698</v>
      </c>
      <c r="Q66" s="1084">
        <v>3</v>
      </c>
      <c r="R66" s="1084">
        <v>6</v>
      </c>
      <c r="S66" s="1084">
        <v>9</v>
      </c>
      <c r="T66" s="1084">
        <v>12</v>
      </c>
      <c r="U66" s="1084">
        <v>15</v>
      </c>
      <c r="V66" s="1084">
        <v>18</v>
      </c>
      <c r="W66" s="1084">
        <v>21</v>
      </c>
      <c r="X66" s="1097">
        <v>24</v>
      </c>
      <c r="Y66" s="2"/>
      <c r="Z66" s="2"/>
      <c r="AA66" s="2"/>
      <c r="AB66" s="2"/>
      <c r="AC66" s="2"/>
      <c r="AD66" s="362"/>
      <c r="AE66" s="362"/>
      <c r="AF66" s="362"/>
      <c r="AG66" s="362"/>
      <c r="AH66" s="362"/>
      <c r="AI66" s="362"/>
      <c r="AJ66" s="362"/>
      <c r="AK66" s="362"/>
      <c r="AL66" s="362"/>
      <c r="AM66" s="362"/>
      <c r="AN66" s="362"/>
      <c r="AO66" s="362"/>
      <c r="AP66" s="362"/>
      <c r="AQ66" s="362"/>
      <c r="AR66" s="362"/>
      <c r="AS66" s="362"/>
      <c r="AT66" s="362"/>
      <c r="AU66" s="362"/>
      <c r="AV66" s="362"/>
      <c r="AW66" s="362"/>
      <c r="AX66" s="2"/>
      <c r="AY66" s="2"/>
      <c r="AZ66" s="2"/>
      <c r="BA66" s="1076"/>
      <c r="BB66" s="362"/>
      <c r="BC66" s="362"/>
      <c r="BD66" s="362"/>
      <c r="BE66" s="362"/>
      <c r="BF66" s="362"/>
      <c r="BG66" s="362"/>
      <c r="BH66" s="362"/>
      <c r="BI66" s="362"/>
      <c r="BJ66" s="362"/>
      <c r="BK66" s="362"/>
      <c r="BL66" s="362"/>
      <c r="BM66" s="362"/>
      <c r="BN66" s="362"/>
      <c r="BO66" s="362"/>
      <c r="BP66" s="362"/>
      <c r="BQ66" s="362"/>
      <c r="BR66" s="362"/>
      <c r="BS66" s="362"/>
      <c r="BT66" s="362"/>
      <c r="BU66" s="362"/>
      <c r="BV66" s="362"/>
      <c r="BW66" s="362"/>
      <c r="BX66" s="362"/>
      <c r="BY66" s="362"/>
      <c r="BZ66" s="362"/>
      <c r="CA66" s="362"/>
      <c r="CB66" s="362"/>
      <c r="CC66" s="362"/>
      <c r="CD66" s="362"/>
      <c r="CE66" s="362"/>
      <c r="CF66" s="362"/>
      <c r="CG66" s="362"/>
      <c r="CH66" s="362"/>
      <c r="CI66" s="362"/>
      <c r="CJ66" s="362"/>
      <c r="CK66" s="362"/>
      <c r="CL66" s="362"/>
      <c r="CM66" s="362"/>
      <c r="CN66" s="362"/>
      <c r="CO66" s="362"/>
      <c r="CP66" s="362"/>
      <c r="CQ66" s="362"/>
      <c r="CR66" s="362"/>
      <c r="CS66" s="362"/>
      <c r="CT66" s="362"/>
      <c r="CU66" s="362"/>
      <c r="CV66" s="362"/>
      <c r="CW66" s="362"/>
      <c r="CX66" s="362"/>
      <c r="CY66" s="362"/>
      <c r="CZ66" s="362"/>
      <c r="DA66" s="362"/>
      <c r="DB66" s="362"/>
      <c r="DC66" s="362"/>
      <c r="DD66" s="362"/>
      <c r="DE66" s="362"/>
      <c r="DF66" s="362"/>
      <c r="DG66" s="362"/>
      <c r="DH66" s="362"/>
      <c r="DI66" s="362"/>
      <c r="DJ66" s="362"/>
      <c r="DK66" s="362"/>
      <c r="DL66" s="362"/>
      <c r="DM66" s="362"/>
      <c r="DN66" s="362"/>
      <c r="DO66" s="362"/>
      <c r="DP66" s="362"/>
      <c r="DQ66" s="362"/>
      <c r="DR66" s="362"/>
      <c r="DS66" s="362"/>
      <c r="DT66" s="362"/>
      <c r="DU66" s="362"/>
      <c r="DV66" s="362"/>
      <c r="DW66" s="362"/>
      <c r="DX66" s="362"/>
      <c r="DY66" s="362"/>
      <c r="DZ66" s="362"/>
      <c r="EA66" s="362"/>
      <c r="EB66" s="362"/>
      <c r="EC66" s="362"/>
      <c r="ED66" s="362"/>
      <c r="EE66" s="362"/>
      <c r="EF66" s="362"/>
      <c r="EG66" s="362"/>
      <c r="EH66" s="362"/>
      <c r="EI66" s="362"/>
      <c r="EJ66" s="362"/>
      <c r="EK66" s="362"/>
      <c r="EL66" s="362"/>
      <c r="EM66" s="362"/>
      <c r="EN66" s="362"/>
      <c r="EO66" s="362"/>
      <c r="EP66" s="362"/>
      <c r="EQ66" s="362"/>
      <c r="ER66" s="362"/>
      <c r="ES66" s="362"/>
      <c r="ET66" s="362"/>
      <c r="EU66" s="362"/>
      <c r="EV66" s="362"/>
      <c r="EW66" s="362"/>
      <c r="EX66" s="362"/>
      <c r="EY66" s="362"/>
      <c r="EZ66" s="362"/>
      <c r="FA66" s="362"/>
      <c r="FB66" s="362"/>
      <c r="FC66" s="362"/>
      <c r="FD66" s="362"/>
      <c r="FE66" s="362"/>
      <c r="FF66" s="362"/>
      <c r="FG66" s="362"/>
      <c r="FH66" s="362"/>
      <c r="FI66" s="362"/>
      <c r="FJ66" s="362"/>
      <c r="FK66" s="362"/>
      <c r="FL66" s="362"/>
      <c r="FM66" s="362"/>
      <c r="FN66" s="362"/>
      <c r="FO66" s="362"/>
      <c r="FP66" s="362"/>
      <c r="FQ66" s="362"/>
      <c r="FR66" s="362"/>
      <c r="FS66" s="362"/>
      <c r="FT66" s="362"/>
      <c r="FU66" s="362"/>
      <c r="FV66" s="362"/>
      <c r="FW66" s="362"/>
      <c r="FX66" s="362"/>
      <c r="FY66" s="362"/>
      <c r="FZ66" s="362"/>
      <c r="GA66" s="362"/>
      <c r="GB66" s="362"/>
      <c r="GC66" s="362"/>
      <c r="GD66" s="362"/>
      <c r="GE66" s="362"/>
      <c r="GF66" s="362"/>
      <c r="GG66" s="362"/>
      <c r="GH66" s="362"/>
      <c r="GI66" s="362"/>
      <c r="GJ66" s="362"/>
      <c r="GK66" s="362"/>
      <c r="GL66" s="362"/>
      <c r="GM66" s="362"/>
      <c r="GN66" s="362"/>
      <c r="GO66" s="362"/>
      <c r="GP66" s="362"/>
      <c r="GQ66" s="362"/>
      <c r="GR66" s="362"/>
      <c r="GS66" s="362"/>
      <c r="GT66" s="362"/>
      <c r="GU66" s="362"/>
      <c r="GV66" s="362"/>
      <c r="GW66" s="362"/>
      <c r="GX66" s="362"/>
      <c r="GY66" s="362"/>
      <c r="GZ66" s="362"/>
      <c r="HA66" s="362"/>
      <c r="HB66" s="362"/>
      <c r="HC66" s="362"/>
      <c r="HD66" s="362"/>
      <c r="HE66" s="362"/>
      <c r="HF66" s="362"/>
      <c r="HG66" s="362"/>
      <c r="HH66" s="362"/>
      <c r="HI66" s="362"/>
      <c r="HJ66" s="362"/>
      <c r="HK66" s="362"/>
      <c r="HL66" s="362"/>
      <c r="HM66" s="362"/>
      <c r="HN66" s="362"/>
      <c r="HO66" s="362"/>
      <c r="HP66" s="362"/>
      <c r="HQ66" s="362"/>
      <c r="HR66" s="362"/>
      <c r="HS66" s="362"/>
      <c r="HT66" s="362"/>
      <c r="HU66" s="362"/>
      <c r="HV66" s="362"/>
      <c r="HW66" s="362"/>
      <c r="HX66" s="362"/>
      <c r="HY66" s="362"/>
      <c r="HZ66" s="362"/>
      <c r="IA66" s="362"/>
      <c r="IB66" s="362"/>
      <c r="IC66" s="362"/>
      <c r="ID66" s="362"/>
      <c r="IE66" s="362"/>
      <c r="IF66" s="362"/>
      <c r="IG66" s="362"/>
      <c r="IH66" s="362"/>
      <c r="II66" s="362"/>
      <c r="IJ66" s="362"/>
      <c r="IK66" s="362"/>
      <c r="IL66" s="362"/>
      <c r="IM66" s="362"/>
      <c r="IN66" s="362"/>
      <c r="IO66" s="362"/>
      <c r="IP66" s="362"/>
      <c r="IQ66" s="362"/>
      <c r="IR66" s="362"/>
      <c r="IS66" s="362"/>
      <c r="IT66" s="362"/>
    </row>
    <row r="67" spans="1:254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IF($O$10&lt;$D$127,VLOOKUP($E$6,$B$128:$Q$225,3,FALSE),IF($O$10&lt;$E$127,VLOOKUP($E$6,$B$128:$Q$225,4,FALSE),VLOOKUP($E$6,$B$128:$Q$225,5,FALSE)))</f>
        <v>0</v>
      </c>
      <c r="P67" s="1093" t="s">
        <v>351</v>
      </c>
      <c r="Q67" s="1094">
        <v>0.05</v>
      </c>
      <c r="R67" s="1094">
        <v>0.1</v>
      </c>
      <c r="S67" s="1094">
        <v>0.15</v>
      </c>
      <c r="T67" s="1094">
        <v>0.25</v>
      </c>
      <c r="U67" s="1094">
        <v>0.35</v>
      </c>
      <c r="V67" s="1094">
        <v>0.45</v>
      </c>
      <c r="W67" s="1094">
        <v>0.55000000000000004</v>
      </c>
      <c r="X67" s="1095">
        <v>0.65</v>
      </c>
      <c r="Y67" s="1096"/>
      <c r="Z67" s="1096"/>
      <c r="AA67" s="1096"/>
      <c r="AB67" s="1096"/>
      <c r="AC67" s="1096"/>
      <c r="AD67" s="1075"/>
      <c r="AE67" s="1075"/>
      <c r="AF67" s="1075"/>
      <c r="AG67" s="1074"/>
      <c r="AH67" s="362"/>
      <c r="AI67" s="362"/>
      <c r="AJ67" s="362"/>
      <c r="AK67" s="362"/>
      <c r="AL67" s="362"/>
      <c r="AM67" s="362"/>
      <c r="AN67" s="362"/>
      <c r="AO67" s="362"/>
      <c r="AP67" s="362"/>
      <c r="AQ67" s="362"/>
      <c r="AR67" s="362"/>
      <c r="AS67" s="362"/>
      <c r="AT67" s="362"/>
      <c r="AU67" s="362"/>
      <c r="AV67" s="362"/>
      <c r="AW67" s="362"/>
      <c r="AX67" s="2"/>
      <c r="AY67" s="2"/>
      <c r="AZ67" s="2"/>
      <c r="BA67" s="1076"/>
      <c r="BB67" s="362"/>
      <c r="BC67" s="362"/>
      <c r="BD67" s="362"/>
      <c r="BE67" s="362"/>
      <c r="BF67" s="362"/>
      <c r="BG67" s="362"/>
      <c r="BH67" s="362"/>
      <c r="BI67" s="362"/>
      <c r="BJ67" s="362"/>
      <c r="BK67" s="362"/>
      <c r="BL67" s="362"/>
      <c r="BM67" s="362"/>
      <c r="BN67" s="362"/>
      <c r="BO67" s="362"/>
      <c r="BP67" s="362"/>
      <c r="BQ67" s="362"/>
      <c r="BR67" s="362"/>
      <c r="BS67" s="362"/>
      <c r="BT67" s="362"/>
      <c r="BU67" s="362"/>
      <c r="BV67" s="362"/>
      <c r="BW67" s="362"/>
      <c r="BX67" s="362"/>
      <c r="BY67" s="362"/>
      <c r="BZ67" s="362"/>
      <c r="CA67" s="362"/>
      <c r="CB67" s="362"/>
      <c r="CC67" s="362"/>
      <c r="CD67" s="362"/>
      <c r="CE67" s="362"/>
      <c r="CF67" s="362"/>
      <c r="CG67" s="362"/>
      <c r="CH67" s="362"/>
      <c r="CI67" s="362"/>
      <c r="CJ67" s="362"/>
      <c r="CK67" s="362"/>
      <c r="CL67" s="362"/>
      <c r="CM67" s="362"/>
      <c r="CN67" s="362"/>
      <c r="CO67" s="362"/>
      <c r="CP67" s="362"/>
      <c r="CQ67" s="362"/>
      <c r="CR67" s="362"/>
      <c r="CS67" s="362"/>
      <c r="CT67" s="362"/>
      <c r="CU67" s="362"/>
      <c r="CV67" s="362"/>
      <c r="CW67" s="362"/>
      <c r="CX67" s="362"/>
      <c r="CY67" s="362"/>
      <c r="CZ67" s="362"/>
      <c r="DA67" s="362"/>
      <c r="DB67" s="362"/>
      <c r="DC67" s="362"/>
      <c r="DD67" s="362"/>
      <c r="DE67" s="362"/>
      <c r="DF67" s="362"/>
      <c r="DG67" s="362"/>
      <c r="DH67" s="362"/>
      <c r="DI67" s="362"/>
      <c r="DJ67" s="362"/>
      <c r="DK67" s="362"/>
      <c r="DL67" s="362"/>
      <c r="DM67" s="362"/>
      <c r="DN67" s="362"/>
      <c r="DO67" s="362"/>
      <c r="DP67" s="362"/>
      <c r="DQ67" s="362"/>
      <c r="DR67" s="362"/>
      <c r="DS67" s="362"/>
      <c r="DT67" s="362"/>
      <c r="DU67" s="362"/>
      <c r="DV67" s="362"/>
      <c r="DW67" s="362"/>
      <c r="DX67" s="362"/>
      <c r="DY67" s="362"/>
      <c r="DZ67" s="362"/>
      <c r="EA67" s="362"/>
      <c r="EB67" s="362"/>
      <c r="EC67" s="362"/>
      <c r="ED67" s="362"/>
      <c r="EE67" s="362"/>
      <c r="EF67" s="362"/>
      <c r="EG67" s="362"/>
      <c r="EH67" s="362"/>
      <c r="EI67" s="362"/>
      <c r="EJ67" s="362"/>
      <c r="EK67" s="362"/>
      <c r="EL67" s="362"/>
      <c r="EM67" s="362"/>
      <c r="EN67" s="362"/>
      <c r="EO67" s="362"/>
      <c r="EP67" s="362"/>
      <c r="EQ67" s="362"/>
      <c r="ER67" s="362"/>
      <c r="ES67" s="362"/>
      <c r="ET67" s="362"/>
      <c r="EU67" s="362"/>
      <c r="EV67" s="362"/>
      <c r="EW67" s="362"/>
      <c r="EX67" s="362"/>
      <c r="EY67" s="362"/>
      <c r="EZ67" s="362"/>
      <c r="FA67" s="362"/>
      <c r="FB67" s="362"/>
      <c r="FC67" s="362"/>
      <c r="FD67" s="362"/>
      <c r="FE67" s="362"/>
      <c r="FF67" s="362"/>
      <c r="FG67" s="362"/>
      <c r="FH67" s="362"/>
      <c r="FI67" s="362"/>
      <c r="FJ67" s="362"/>
      <c r="FK67" s="362"/>
      <c r="FL67" s="362"/>
      <c r="FM67" s="362"/>
      <c r="FN67" s="362"/>
      <c r="FO67" s="362"/>
      <c r="FP67" s="362"/>
      <c r="FQ67" s="362"/>
      <c r="FR67" s="362"/>
      <c r="FS67" s="362"/>
      <c r="FT67" s="362"/>
      <c r="FU67" s="362"/>
      <c r="FV67" s="362"/>
      <c r="FW67" s="362"/>
      <c r="FX67" s="362"/>
      <c r="FY67" s="362"/>
      <c r="FZ67" s="362"/>
      <c r="GA67" s="362"/>
      <c r="GB67" s="362"/>
      <c r="GC67" s="362"/>
      <c r="GD67" s="362"/>
      <c r="GE67" s="362"/>
      <c r="GF67" s="362"/>
      <c r="GG67" s="362"/>
      <c r="GH67" s="362"/>
      <c r="GI67" s="362"/>
      <c r="GJ67" s="362"/>
      <c r="GK67" s="362"/>
      <c r="GL67" s="362"/>
      <c r="GM67" s="362"/>
      <c r="GN67" s="362"/>
      <c r="GO67" s="362"/>
      <c r="GP67" s="362"/>
      <c r="GQ67" s="362"/>
      <c r="GR67" s="362"/>
      <c r="GS67" s="362"/>
      <c r="GT67" s="362"/>
      <c r="GU67" s="362"/>
      <c r="GV67" s="362"/>
      <c r="GW67" s="362"/>
      <c r="GX67" s="362"/>
      <c r="GY67" s="362"/>
      <c r="GZ67" s="362"/>
      <c r="HA67" s="362"/>
      <c r="HB67" s="362"/>
      <c r="HC67" s="362"/>
      <c r="HD67" s="362"/>
      <c r="HE67" s="362"/>
      <c r="HF67" s="362"/>
      <c r="HG67" s="362"/>
      <c r="HH67" s="362"/>
      <c r="HI67" s="362"/>
      <c r="HJ67" s="362"/>
      <c r="HK67" s="362"/>
      <c r="HL67" s="362"/>
      <c r="HM67" s="362"/>
      <c r="HN67" s="362"/>
      <c r="HO67" s="362"/>
      <c r="HP67" s="362"/>
      <c r="HQ67" s="362"/>
      <c r="HR67" s="362"/>
      <c r="HS67" s="362"/>
      <c r="HT67" s="362"/>
      <c r="HU67" s="362"/>
      <c r="HV67" s="362"/>
      <c r="HW67" s="362"/>
      <c r="HX67" s="362"/>
      <c r="HY67" s="362"/>
      <c r="HZ67" s="362"/>
      <c r="IA67" s="362"/>
      <c r="IB67" s="362"/>
      <c r="IC67" s="362"/>
      <c r="ID67" s="362"/>
      <c r="IE67" s="362"/>
      <c r="IF67" s="362"/>
      <c r="IG67" s="362"/>
      <c r="IH67" s="362"/>
      <c r="II67" s="362"/>
      <c r="IJ67" s="362"/>
      <c r="IK67" s="362"/>
      <c r="IL67" s="362"/>
      <c r="IM67" s="362"/>
      <c r="IN67" s="362"/>
      <c r="IO67" s="362"/>
      <c r="IP67" s="362"/>
      <c r="IQ67" s="362"/>
      <c r="IR67" s="362"/>
      <c r="IS67" s="362"/>
      <c r="IT67" s="362"/>
    </row>
    <row r="68" spans="1:254" x14ac:dyDescent="0.15">
      <c r="B68" s="219" t="s">
        <v>360</v>
      </c>
      <c r="C68" s="45"/>
      <c r="D68" s="45"/>
      <c r="E68" s="220" t="e">
        <f>IF($BC$86&lt;=$BC$84,VLOOKUP($C$8,$BB$87:$BH$126,2,FALSE),IF($BC$86&lt;=$BD$84,VLOOKUP($C$8,$BB$87:$BH$126,3,FALSE),IF($BC$86&lt;=$BE$84,VLOOKUP($C$8,$BB$87:$BH$126,4,FALSE),IF($BC$86&lt;=$BF$84,VLOOKUP($C$8,$BB$87:$BH$126,5,FALSE),IF($BC$86&lt;=$BG$84,VLOOKUP($C$8,$BB$87:$BH$126,6,FALSE),VLOOKUP($C$8,$BB$87:$BH$126,7,FALSE))))))</f>
        <v>#N/A</v>
      </c>
      <c r="F68" s="150"/>
      <c r="G68" s="150"/>
      <c r="H68" s="150"/>
      <c r="I68" s="221"/>
      <c r="J68" s="222" t="e">
        <f>IF($BC$83&lt;=$BC$84,VLOOKUP($C$8,$BB$87:$BH$126,2,FALSE),IF($BC$83&lt;=$BD$84,VLOOKUP($C$8,$BB$87:$BH$126,3,FALSE),IF($BC$83&lt;=$BE$84,VLOOKUP($C$8,$BB$87:$BH$126,4,FALSE),IF($BC$83&lt;=$BF$84,VLOOKUP($C$8,$BB$87:$BH$126,5,FALSE),IF($BC$83&lt;=$BG$84,VLOOKUP($C$8,$BB$87:$BH$126,6,FALSE),VLOOKUP($C$8,$BB$87:$BH$126,7,FALSE))))))</f>
        <v>#N/A</v>
      </c>
      <c r="K68" s="150" t="s">
        <v>448</v>
      </c>
      <c r="L68" s="153"/>
      <c r="M68" s="150"/>
      <c r="N68" s="223" t="str">
        <f>IF($K$2=$O$2,J98,IF($K$2=$O$3,J99,IF($K$2=$O$4,J100,IF($K$2=$O$5,J101,"NÃO CABE"))))</f>
        <v>NÃO CABE</v>
      </c>
      <c r="O68" s="254" t="str">
        <f>VLOOKUP($E$6,$B$128:$C$225,2,FALSE)</f>
        <v>TRIÊNIO</v>
      </c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1090"/>
      <c r="AD68" s="1075"/>
      <c r="AE68" s="1075"/>
      <c r="AF68" s="1075"/>
      <c r="AG68" s="1074"/>
      <c r="AH68" s="362"/>
      <c r="AI68" s="362"/>
      <c r="AJ68" s="362"/>
      <c r="AK68" s="362"/>
      <c r="AL68" s="362"/>
      <c r="AM68" s="362"/>
      <c r="AN68" s="362"/>
      <c r="AO68" s="362"/>
      <c r="AP68" s="362"/>
      <c r="AQ68" s="362"/>
      <c r="AR68" s="362"/>
      <c r="AS68" s="362"/>
      <c r="AT68" s="362"/>
      <c r="AU68" s="362"/>
      <c r="AV68" s="362"/>
      <c r="AW68" s="362"/>
      <c r="AX68" s="2"/>
      <c r="AY68" s="2"/>
      <c r="AZ68" s="2"/>
      <c r="BA68" s="1076"/>
      <c r="BB68" s="362"/>
      <c r="BC68" s="362"/>
      <c r="BD68" s="362"/>
      <c r="BE68" s="362"/>
      <c r="BF68" s="362"/>
      <c r="BG68" s="362"/>
      <c r="BH68" s="362"/>
      <c r="BI68" s="362"/>
      <c r="BJ68" s="362"/>
      <c r="BK68" s="362"/>
      <c r="BL68" s="362"/>
      <c r="BM68" s="362"/>
      <c r="BN68" s="362"/>
      <c r="BO68" s="362"/>
      <c r="BP68" s="362"/>
      <c r="BQ68" s="362"/>
      <c r="BR68" s="362"/>
      <c r="BS68" s="362"/>
      <c r="BT68" s="362"/>
      <c r="BU68" s="362"/>
      <c r="BV68" s="362"/>
      <c r="BW68" s="362"/>
      <c r="BX68" s="362"/>
      <c r="BY68" s="362"/>
      <c r="BZ68" s="362"/>
      <c r="CA68" s="362"/>
      <c r="CB68" s="362"/>
      <c r="CC68" s="362"/>
      <c r="CD68" s="362"/>
      <c r="CE68" s="362"/>
      <c r="CF68" s="362"/>
      <c r="CG68" s="362"/>
      <c r="CH68" s="362"/>
      <c r="CI68" s="362"/>
      <c r="CJ68" s="362"/>
      <c r="CK68" s="362"/>
      <c r="CL68" s="362"/>
      <c r="CM68" s="362"/>
      <c r="CN68" s="362"/>
      <c r="CO68" s="362"/>
      <c r="CP68" s="362"/>
      <c r="CQ68" s="362"/>
      <c r="CR68" s="362"/>
      <c r="CS68" s="362"/>
      <c r="CT68" s="362"/>
      <c r="CU68" s="362"/>
      <c r="CV68" s="362"/>
      <c r="CW68" s="362"/>
      <c r="CX68" s="362"/>
      <c r="CY68" s="362"/>
      <c r="CZ68" s="362"/>
      <c r="DA68" s="362"/>
      <c r="DB68" s="362"/>
      <c r="DC68" s="362"/>
      <c r="DD68" s="362"/>
      <c r="DE68" s="362"/>
      <c r="DF68" s="362"/>
      <c r="DG68" s="362"/>
      <c r="DH68" s="362"/>
      <c r="DI68" s="362"/>
      <c r="DJ68" s="362"/>
      <c r="DK68" s="362"/>
      <c r="DL68" s="362"/>
      <c r="DM68" s="362"/>
      <c r="DN68" s="362"/>
      <c r="DO68" s="362"/>
      <c r="DP68" s="362"/>
      <c r="DQ68" s="362"/>
      <c r="DR68" s="362"/>
      <c r="DS68" s="362"/>
      <c r="DT68" s="362"/>
      <c r="DU68" s="362"/>
      <c r="DV68" s="362"/>
      <c r="DW68" s="362"/>
      <c r="DX68" s="362"/>
      <c r="DY68" s="362"/>
      <c r="DZ68" s="362"/>
      <c r="EA68" s="362"/>
      <c r="EB68" s="362"/>
      <c r="EC68" s="362"/>
      <c r="ED68" s="362"/>
      <c r="EE68" s="362"/>
      <c r="EF68" s="362"/>
      <c r="EG68" s="362"/>
      <c r="EH68" s="362"/>
      <c r="EI68" s="362"/>
      <c r="EJ68" s="362"/>
      <c r="EK68" s="362"/>
      <c r="EL68" s="362"/>
      <c r="EM68" s="362"/>
      <c r="EN68" s="362"/>
      <c r="EO68" s="362"/>
      <c r="EP68" s="362"/>
      <c r="EQ68" s="362"/>
      <c r="ER68" s="362"/>
      <c r="ES68" s="362"/>
      <c r="ET68" s="362"/>
      <c r="EU68" s="362"/>
      <c r="EV68" s="362"/>
      <c r="EW68" s="362"/>
      <c r="EX68" s="362"/>
      <c r="EY68" s="362"/>
      <c r="EZ68" s="362"/>
      <c r="FA68" s="362"/>
      <c r="FB68" s="362"/>
      <c r="FC68" s="362"/>
      <c r="FD68" s="362"/>
      <c r="FE68" s="362"/>
      <c r="FF68" s="362"/>
      <c r="FG68" s="362"/>
      <c r="FH68" s="362"/>
      <c r="FI68" s="362"/>
      <c r="FJ68" s="362"/>
      <c r="FK68" s="362"/>
      <c r="FL68" s="362"/>
      <c r="FM68" s="362"/>
      <c r="FN68" s="362"/>
      <c r="FO68" s="362"/>
      <c r="FP68" s="362"/>
      <c r="FQ68" s="362"/>
      <c r="FR68" s="362"/>
      <c r="FS68" s="362"/>
      <c r="FT68" s="362"/>
      <c r="FU68" s="362"/>
      <c r="FV68" s="362"/>
      <c r="FW68" s="362"/>
      <c r="FX68" s="362"/>
      <c r="FY68" s="362"/>
      <c r="FZ68" s="362"/>
      <c r="GA68" s="362"/>
      <c r="GB68" s="362"/>
      <c r="GC68" s="362"/>
      <c r="GD68" s="362"/>
      <c r="GE68" s="362"/>
      <c r="GF68" s="362"/>
      <c r="GG68" s="362"/>
      <c r="GH68" s="362"/>
      <c r="GI68" s="362"/>
      <c r="GJ68" s="362"/>
      <c r="GK68" s="362"/>
      <c r="GL68" s="362"/>
      <c r="GM68" s="362"/>
      <c r="GN68" s="362"/>
      <c r="GO68" s="362"/>
      <c r="GP68" s="362"/>
      <c r="GQ68" s="362"/>
      <c r="GR68" s="362"/>
      <c r="GS68" s="362"/>
      <c r="GT68" s="362"/>
      <c r="GU68" s="362"/>
      <c r="GV68" s="362"/>
      <c r="GW68" s="362"/>
      <c r="GX68" s="362"/>
      <c r="GY68" s="362"/>
      <c r="GZ68" s="362"/>
      <c r="HA68" s="362"/>
      <c r="HB68" s="362"/>
      <c r="HC68" s="362"/>
      <c r="HD68" s="362"/>
      <c r="HE68" s="362"/>
      <c r="HF68" s="362"/>
      <c r="HG68" s="362"/>
      <c r="HH68" s="362"/>
      <c r="HI68" s="362"/>
      <c r="HJ68" s="362"/>
      <c r="HK68" s="362"/>
      <c r="HL68" s="362"/>
      <c r="HM68" s="362"/>
      <c r="HN68" s="362"/>
      <c r="HO68" s="362"/>
      <c r="HP68" s="362"/>
      <c r="HQ68" s="362"/>
      <c r="HR68" s="362"/>
      <c r="HS68" s="362"/>
      <c r="HT68" s="362"/>
      <c r="HU68" s="362"/>
      <c r="HV68" s="362"/>
      <c r="HW68" s="362"/>
      <c r="HX68" s="362"/>
      <c r="HY68" s="362"/>
      <c r="HZ68" s="362"/>
      <c r="IA68" s="362"/>
      <c r="IB68" s="362"/>
      <c r="IC68" s="362"/>
      <c r="ID68" s="362"/>
      <c r="IE68" s="362"/>
      <c r="IF68" s="362"/>
      <c r="IG68" s="362"/>
      <c r="IH68" s="362"/>
      <c r="II68" s="362"/>
      <c r="IJ68" s="362"/>
      <c r="IK68" s="362"/>
      <c r="IL68" s="362"/>
      <c r="IM68" s="362"/>
      <c r="IN68" s="362"/>
      <c r="IO68" s="362"/>
      <c r="IP68" s="362"/>
      <c r="IQ68" s="362"/>
      <c r="IR68" s="362"/>
      <c r="IS68" s="362"/>
      <c r="IT68" s="362"/>
    </row>
    <row r="69" spans="1:254" x14ac:dyDescent="0.15">
      <c r="A69" s="295"/>
      <c r="B69" s="219" t="s">
        <v>505</v>
      </c>
      <c r="C69" s="150"/>
      <c r="D69" s="224"/>
      <c r="E69" s="31" t="str">
        <f>K2</f>
        <v>REGRA PERMANENTE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083" t="s">
        <v>700</v>
      </c>
      <c r="Q69" s="1084">
        <v>3</v>
      </c>
      <c r="R69" s="1084">
        <v>6</v>
      </c>
      <c r="S69" s="1084">
        <v>9</v>
      </c>
      <c r="T69" s="1084">
        <v>12</v>
      </c>
      <c r="U69" s="1084">
        <v>15</v>
      </c>
      <c r="V69" s="1084">
        <v>18</v>
      </c>
      <c r="W69" s="1084">
        <v>21</v>
      </c>
      <c r="X69" s="1084">
        <v>24</v>
      </c>
      <c r="Y69" s="1084">
        <v>27</v>
      </c>
      <c r="Z69" s="1084">
        <v>30</v>
      </c>
      <c r="AA69" s="1084">
        <v>33</v>
      </c>
      <c r="AB69" s="1084">
        <v>36</v>
      </c>
      <c r="AC69" s="1097">
        <v>39</v>
      </c>
      <c r="AD69" s="1075"/>
      <c r="AE69" s="1075"/>
      <c r="AF69" s="1075"/>
      <c r="AG69" s="1074"/>
      <c r="AH69" s="362"/>
      <c r="AI69" s="362"/>
      <c r="AJ69" s="362"/>
      <c r="AK69" s="362"/>
      <c r="AL69" s="362"/>
      <c r="AM69" s="362"/>
      <c r="AN69" s="362"/>
      <c r="AO69" s="362"/>
      <c r="AP69" s="362"/>
      <c r="AQ69" s="362"/>
      <c r="AR69" s="362"/>
      <c r="AS69" s="362"/>
      <c r="AT69" s="362"/>
      <c r="AU69" s="362"/>
      <c r="AV69" s="362"/>
      <c r="AW69" s="362"/>
      <c r="AX69" s="2"/>
      <c r="AY69" s="2"/>
      <c r="AZ69" s="2"/>
      <c r="BA69" s="1076"/>
      <c r="BB69" s="362"/>
      <c r="BC69" s="362"/>
      <c r="BD69" s="362"/>
      <c r="BE69" s="362"/>
      <c r="BF69" s="362"/>
      <c r="BG69" s="362"/>
      <c r="BH69" s="362"/>
      <c r="BI69" s="362"/>
      <c r="BJ69" s="362"/>
      <c r="BK69" s="362"/>
      <c r="BL69" s="362"/>
      <c r="BM69" s="362"/>
      <c r="BN69" s="362"/>
      <c r="BO69" s="362"/>
      <c r="BP69" s="362"/>
      <c r="BQ69" s="362"/>
      <c r="BR69" s="362"/>
      <c r="BS69" s="362"/>
      <c r="BT69" s="362"/>
      <c r="BU69" s="362"/>
      <c r="BV69" s="362"/>
      <c r="BW69" s="362"/>
      <c r="BX69" s="362"/>
      <c r="BY69" s="362"/>
      <c r="BZ69" s="362"/>
      <c r="CA69" s="362"/>
      <c r="CB69" s="362"/>
      <c r="CC69" s="362"/>
      <c r="CD69" s="362"/>
      <c r="CE69" s="362"/>
      <c r="CF69" s="362"/>
      <c r="CG69" s="362"/>
      <c r="CH69" s="362"/>
      <c r="CI69" s="362"/>
      <c r="CJ69" s="362"/>
      <c r="CK69" s="362"/>
      <c r="CL69" s="362"/>
      <c r="CM69" s="362"/>
      <c r="CN69" s="362"/>
      <c r="CO69" s="362"/>
      <c r="CP69" s="362"/>
      <c r="CQ69" s="362"/>
      <c r="CR69" s="362"/>
      <c r="CS69" s="362"/>
      <c r="CT69" s="362"/>
      <c r="CU69" s="362"/>
      <c r="CV69" s="362"/>
      <c r="CW69" s="362"/>
      <c r="CX69" s="362"/>
      <c r="CY69" s="362"/>
      <c r="CZ69" s="362"/>
      <c r="DA69" s="362"/>
      <c r="DB69" s="362"/>
      <c r="DC69" s="362"/>
      <c r="DD69" s="362"/>
      <c r="DE69" s="362"/>
      <c r="DF69" s="362"/>
      <c r="DG69" s="362"/>
      <c r="DH69" s="362"/>
      <c r="DI69" s="362"/>
      <c r="DJ69" s="362"/>
      <c r="DK69" s="362"/>
      <c r="DL69" s="362"/>
      <c r="DM69" s="362"/>
      <c r="DN69" s="362"/>
      <c r="DO69" s="362"/>
      <c r="DP69" s="362"/>
      <c r="DQ69" s="362"/>
      <c r="DR69" s="362"/>
      <c r="DS69" s="362"/>
      <c r="DT69" s="362"/>
      <c r="DU69" s="362"/>
      <c r="DV69" s="362"/>
      <c r="DW69" s="362"/>
      <c r="DX69" s="362"/>
      <c r="DY69" s="362"/>
      <c r="DZ69" s="362"/>
      <c r="EA69" s="362"/>
      <c r="EB69" s="362"/>
      <c r="EC69" s="362"/>
      <c r="ED69" s="362"/>
      <c r="EE69" s="362"/>
      <c r="EF69" s="362"/>
      <c r="EG69" s="362"/>
      <c r="EH69" s="362"/>
      <c r="EI69" s="362"/>
      <c r="EJ69" s="362"/>
      <c r="EK69" s="362"/>
      <c r="EL69" s="362"/>
      <c r="EM69" s="362"/>
      <c r="EN69" s="362"/>
      <c r="EO69" s="362"/>
      <c r="EP69" s="362"/>
      <c r="EQ69" s="362"/>
      <c r="ER69" s="362"/>
      <c r="ES69" s="362"/>
      <c r="ET69" s="362"/>
      <c r="EU69" s="362"/>
      <c r="EV69" s="362"/>
      <c r="EW69" s="362"/>
      <c r="EX69" s="362"/>
      <c r="EY69" s="362"/>
      <c r="EZ69" s="362"/>
      <c r="FA69" s="362"/>
      <c r="FB69" s="362"/>
      <c r="FC69" s="362"/>
      <c r="FD69" s="362"/>
      <c r="FE69" s="362"/>
      <c r="FF69" s="362"/>
      <c r="FG69" s="362"/>
      <c r="FH69" s="362"/>
      <c r="FI69" s="362"/>
      <c r="FJ69" s="362"/>
      <c r="FK69" s="362"/>
      <c r="FL69" s="362"/>
      <c r="FM69" s="362"/>
      <c r="FN69" s="362"/>
      <c r="FO69" s="362"/>
      <c r="FP69" s="362"/>
      <c r="FQ69" s="362"/>
      <c r="FR69" s="362"/>
      <c r="FS69" s="362"/>
      <c r="FT69" s="362"/>
      <c r="FU69" s="362"/>
      <c r="FV69" s="362"/>
      <c r="FW69" s="362"/>
      <c r="FX69" s="362"/>
      <c r="FY69" s="362"/>
      <c r="FZ69" s="362"/>
      <c r="GA69" s="362"/>
      <c r="GB69" s="362"/>
      <c r="GC69" s="362"/>
      <c r="GD69" s="362"/>
      <c r="GE69" s="362"/>
      <c r="GF69" s="362"/>
      <c r="GG69" s="362"/>
      <c r="GH69" s="362"/>
      <c r="GI69" s="362"/>
      <c r="GJ69" s="362"/>
      <c r="GK69" s="362"/>
      <c r="GL69" s="362"/>
      <c r="GM69" s="362"/>
      <c r="GN69" s="362"/>
      <c r="GO69" s="362"/>
      <c r="GP69" s="362"/>
      <c r="GQ69" s="362"/>
      <c r="GR69" s="362"/>
      <c r="GS69" s="362"/>
      <c r="GT69" s="362"/>
      <c r="GU69" s="362"/>
      <c r="GV69" s="362"/>
      <c r="GW69" s="362"/>
      <c r="GX69" s="362"/>
      <c r="GY69" s="362"/>
      <c r="GZ69" s="362"/>
      <c r="HA69" s="362"/>
      <c r="HB69" s="362"/>
      <c r="HC69" s="362"/>
      <c r="HD69" s="362"/>
      <c r="HE69" s="362"/>
      <c r="HF69" s="362"/>
      <c r="HG69" s="362"/>
      <c r="HH69" s="362"/>
      <c r="HI69" s="362"/>
      <c r="HJ69" s="362"/>
      <c r="HK69" s="362"/>
      <c r="HL69" s="362"/>
      <c r="HM69" s="362"/>
      <c r="HN69" s="362"/>
      <c r="HO69" s="362"/>
      <c r="HP69" s="362"/>
      <c r="HQ69" s="362"/>
      <c r="HR69" s="362"/>
      <c r="HS69" s="362"/>
      <c r="HT69" s="362"/>
      <c r="HU69" s="362"/>
      <c r="HV69" s="362"/>
      <c r="HW69" s="362"/>
      <c r="HX69" s="362"/>
      <c r="HY69" s="362"/>
      <c r="HZ69" s="362"/>
      <c r="IA69" s="362"/>
      <c r="IB69" s="362"/>
      <c r="IC69" s="362"/>
      <c r="ID69" s="362"/>
      <c r="IE69" s="362"/>
      <c r="IF69" s="362"/>
      <c r="IG69" s="362"/>
      <c r="IH69" s="362"/>
      <c r="II69" s="362"/>
      <c r="IJ69" s="362"/>
      <c r="IK69" s="362"/>
      <c r="IL69" s="362"/>
      <c r="IM69" s="362"/>
      <c r="IN69" s="362"/>
      <c r="IO69" s="362"/>
      <c r="IP69" s="362"/>
      <c r="IQ69" s="362"/>
      <c r="IR69" s="362"/>
      <c r="IS69" s="362"/>
      <c r="IT69" s="362"/>
    </row>
    <row r="70" spans="1:254" x14ac:dyDescent="0.15">
      <c r="A70" s="295"/>
      <c r="B70" s="219" t="s">
        <v>506</v>
      </c>
      <c r="C70" s="150"/>
      <c r="D70" s="45"/>
      <c r="E70" s="31" t="str">
        <f>E2</f>
        <v>VOLUNTÁRIA INTEGRAL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IF(K2=O3,IF(M100&gt;=N100,N99,"NÃO CABE"),"NÃO CABE")</f>
        <v>NÃO CABE</v>
      </c>
      <c r="O70" s="1064"/>
      <c r="P70" s="1093" t="s">
        <v>351</v>
      </c>
      <c r="Q70" s="1098">
        <v>6.5000000000000002E-2</v>
      </c>
      <c r="R70" s="1098">
        <v>0.13</v>
      </c>
      <c r="S70" s="1098">
        <v>0.19500000000000001</v>
      </c>
      <c r="T70" s="1098">
        <v>0.26</v>
      </c>
      <c r="U70" s="1098">
        <v>0.32500000000000001</v>
      </c>
      <c r="V70" s="1098">
        <v>0.39</v>
      </c>
      <c r="W70" s="1098">
        <v>0.45500000000000002</v>
      </c>
      <c r="X70" s="1098">
        <v>0.52</v>
      </c>
      <c r="Y70" s="1098">
        <v>0.58499999999999996</v>
      </c>
      <c r="Z70" s="1098">
        <v>0.65</v>
      </c>
      <c r="AA70" s="1098">
        <v>0.71499999999999997</v>
      </c>
      <c r="AB70" s="1098">
        <v>0.78</v>
      </c>
      <c r="AC70" s="1106">
        <v>0.84499999999999997</v>
      </c>
      <c r="AD70" s="1075"/>
      <c r="AE70" s="1075"/>
      <c r="AF70" s="1075"/>
      <c r="AG70" s="1074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2"/>
      <c r="AY70" s="2"/>
      <c r="AZ70" s="3"/>
      <c r="BA70" s="1107"/>
      <c r="BB70" s="362"/>
      <c r="BC70" s="362"/>
      <c r="BD70" s="362"/>
      <c r="BE70" s="362"/>
      <c r="BF70" s="362"/>
      <c r="BG70" s="362"/>
      <c r="BH70" s="362"/>
      <c r="BI70" s="362"/>
      <c r="BJ70" s="362"/>
      <c r="BK70" s="362"/>
      <c r="BL70" s="362"/>
      <c r="BM70" s="362"/>
      <c r="BN70" s="362"/>
      <c r="BO70" s="362"/>
      <c r="BP70" s="362"/>
      <c r="BQ70" s="362"/>
      <c r="BR70" s="362"/>
      <c r="BS70" s="362"/>
      <c r="BT70" s="362"/>
      <c r="BU70" s="362"/>
      <c r="BV70" s="362"/>
      <c r="BW70" s="362"/>
      <c r="BX70" s="362"/>
      <c r="BY70" s="362"/>
      <c r="BZ70" s="362"/>
      <c r="CA70" s="362"/>
      <c r="CB70" s="362"/>
      <c r="CC70" s="362"/>
      <c r="CD70" s="362"/>
      <c r="CE70" s="362"/>
      <c r="CF70" s="362"/>
      <c r="CG70" s="362"/>
      <c r="CH70" s="362"/>
      <c r="CI70" s="362"/>
      <c r="CJ70" s="362"/>
      <c r="CK70" s="362"/>
      <c r="CL70" s="362"/>
      <c r="CM70" s="362"/>
      <c r="CN70" s="362"/>
      <c r="CO70" s="362"/>
      <c r="CP70" s="362"/>
      <c r="CQ70" s="362"/>
      <c r="CR70" s="362"/>
      <c r="CS70" s="362"/>
      <c r="CT70" s="362"/>
      <c r="CU70" s="362"/>
      <c r="CV70" s="362"/>
      <c r="CW70" s="362"/>
      <c r="CX70" s="362"/>
      <c r="CY70" s="362"/>
      <c r="CZ70" s="362"/>
      <c r="DA70" s="362"/>
      <c r="DB70" s="362"/>
      <c r="DC70" s="362"/>
      <c r="DD70" s="362"/>
      <c r="DE70" s="362"/>
      <c r="DF70" s="362"/>
      <c r="DG70" s="362"/>
      <c r="DH70" s="362"/>
      <c r="DI70" s="362"/>
      <c r="DJ70" s="362"/>
      <c r="DK70" s="362"/>
      <c r="DL70" s="362"/>
      <c r="DM70" s="362"/>
      <c r="DN70" s="362"/>
      <c r="DO70" s="362"/>
      <c r="DP70" s="362"/>
      <c r="DQ70" s="362"/>
      <c r="DR70" s="362"/>
      <c r="DS70" s="362"/>
      <c r="DT70" s="362"/>
      <c r="DU70" s="362"/>
      <c r="DV70" s="362"/>
      <c r="DW70" s="362"/>
      <c r="DX70" s="362"/>
      <c r="DY70" s="362"/>
      <c r="DZ70" s="362"/>
      <c r="EA70" s="362"/>
      <c r="EB70" s="362"/>
      <c r="EC70" s="362"/>
      <c r="ED70" s="362"/>
      <c r="EE70" s="362"/>
      <c r="EF70" s="362"/>
      <c r="EG70" s="362"/>
      <c r="EH70" s="362"/>
      <c r="EI70" s="362"/>
      <c r="EJ70" s="362"/>
      <c r="EK70" s="362"/>
      <c r="EL70" s="362"/>
      <c r="EM70" s="362"/>
      <c r="EN70" s="362"/>
      <c r="EO70" s="362"/>
      <c r="EP70" s="362"/>
      <c r="EQ70" s="362"/>
      <c r="ER70" s="362"/>
      <c r="ES70" s="362"/>
      <c r="ET70" s="362"/>
      <c r="EU70" s="362"/>
      <c r="EV70" s="362"/>
      <c r="EW70" s="362"/>
      <c r="EX70" s="362"/>
      <c r="EY70" s="362"/>
      <c r="EZ70" s="362"/>
      <c r="FA70" s="362"/>
      <c r="FB70" s="362"/>
      <c r="FC70" s="362"/>
      <c r="FD70" s="362"/>
      <c r="FE70" s="362"/>
      <c r="FF70" s="362"/>
      <c r="FG70" s="362"/>
      <c r="FH70" s="362"/>
      <c r="FI70" s="362"/>
      <c r="FJ70" s="362"/>
      <c r="FK70" s="362"/>
      <c r="FL70" s="362"/>
      <c r="FM70" s="362"/>
      <c r="FN70" s="362"/>
      <c r="FO70" s="362"/>
      <c r="FP70" s="362"/>
      <c r="FQ70" s="362"/>
      <c r="FR70" s="362"/>
      <c r="FS70" s="362"/>
      <c r="FT70" s="362"/>
      <c r="FU70" s="362"/>
      <c r="FV70" s="362"/>
      <c r="FW70" s="362"/>
      <c r="FX70" s="362"/>
      <c r="FY70" s="362"/>
      <c r="FZ70" s="362"/>
      <c r="GA70" s="362"/>
      <c r="GB70" s="362"/>
      <c r="GC70" s="362"/>
      <c r="GD70" s="362"/>
      <c r="GE70" s="362"/>
      <c r="GF70" s="362"/>
      <c r="GG70" s="362"/>
      <c r="GH70" s="362"/>
      <c r="GI70" s="362"/>
      <c r="GJ70" s="362"/>
      <c r="GK70" s="362"/>
      <c r="GL70" s="362"/>
      <c r="GM70" s="362"/>
      <c r="GN70" s="362"/>
      <c r="GO70" s="362"/>
      <c r="GP70" s="362"/>
      <c r="GQ70" s="362"/>
      <c r="GR70" s="362"/>
      <c r="GS70" s="362"/>
      <c r="GT70" s="362"/>
      <c r="GU70" s="362"/>
      <c r="GV70" s="362"/>
      <c r="GW70" s="362"/>
      <c r="GX70" s="362"/>
      <c r="GY70" s="362"/>
      <c r="GZ70" s="362"/>
      <c r="HA70" s="362"/>
      <c r="HB70" s="362"/>
      <c r="HC70" s="362"/>
      <c r="HD70" s="362"/>
      <c r="HE70" s="362"/>
      <c r="HF70" s="362"/>
      <c r="HG70" s="362"/>
      <c r="HH70" s="362"/>
      <c r="HI70" s="362"/>
      <c r="HJ70" s="362"/>
      <c r="HK70" s="362"/>
      <c r="HL70" s="362"/>
      <c r="HM70" s="362"/>
      <c r="HN70" s="362"/>
      <c r="HO70" s="362"/>
      <c r="HP70" s="362"/>
      <c r="HQ70" s="362"/>
      <c r="HR70" s="362"/>
      <c r="HS70" s="362"/>
      <c r="HT70" s="362"/>
      <c r="HU70" s="362"/>
      <c r="HV70" s="362"/>
      <c r="HW70" s="362"/>
      <c r="HX70" s="362"/>
      <c r="HY70" s="362"/>
      <c r="HZ70" s="362"/>
      <c r="IA70" s="362"/>
      <c r="IB70" s="362"/>
      <c r="IC70" s="362"/>
      <c r="ID70" s="362"/>
      <c r="IE70" s="362"/>
      <c r="IF70" s="362"/>
      <c r="IG70" s="362"/>
      <c r="IH70" s="362"/>
      <c r="II70" s="362"/>
      <c r="IJ70" s="362"/>
      <c r="IK70" s="362"/>
      <c r="IL70" s="362"/>
      <c r="IM70" s="362"/>
      <c r="IN70" s="362"/>
      <c r="IO70" s="362"/>
      <c r="IP70" s="362"/>
      <c r="IQ70" s="362"/>
      <c r="IR70" s="362"/>
      <c r="IS70" s="362"/>
      <c r="IT70" s="362"/>
    </row>
    <row r="71" spans="1:254" x14ac:dyDescent="0.15">
      <c r="A71" s="295"/>
      <c r="B71" s="219" t="s">
        <v>501</v>
      </c>
      <c r="C71" s="150"/>
      <c r="D71" s="227"/>
      <c r="E71" s="29" t="str">
        <f>IF($E$2=$L$107,$O$107,IF($E$2=$L$108,$O$108,IF($E$2=$L$109,$O$109,IF($E$2=$L$110,$O$110,IF($E$2=$L$111,$O$111,$O$112)))))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  <c r="AC71" s="1090"/>
      <c r="AD71" s="1075"/>
      <c r="AE71" s="1075"/>
      <c r="AF71" s="1075"/>
      <c r="AG71" s="1074"/>
      <c r="AH71" s="362"/>
      <c r="AI71" s="362"/>
      <c r="AJ71" s="362"/>
      <c r="AK71" s="362"/>
      <c r="AL71" s="362"/>
      <c r="AM71" s="362"/>
      <c r="AN71" s="362"/>
      <c r="AO71" s="362"/>
      <c r="AP71" s="362"/>
      <c r="AQ71" s="362"/>
      <c r="AR71" s="362"/>
      <c r="AS71" s="362"/>
      <c r="AT71" s="362"/>
      <c r="AU71" s="362"/>
      <c r="AV71" s="362"/>
      <c r="AW71" s="362"/>
      <c r="AX71" s="2"/>
      <c r="AY71" s="2"/>
      <c r="AZ71" s="3"/>
      <c r="BA71" s="1107"/>
      <c r="BB71" s="362"/>
      <c r="BC71" s="362"/>
      <c r="BD71" s="362"/>
      <c r="BE71" s="362"/>
      <c r="BF71" s="362"/>
      <c r="BG71" s="362"/>
      <c r="BH71" s="362"/>
      <c r="BI71" s="362"/>
      <c r="BJ71" s="362"/>
      <c r="BK71" s="362"/>
      <c r="BL71" s="362"/>
      <c r="BM71" s="362"/>
      <c r="BN71" s="362"/>
      <c r="BO71" s="362"/>
      <c r="BP71" s="362"/>
      <c r="BQ71" s="362"/>
      <c r="BR71" s="362"/>
      <c r="BS71" s="362"/>
      <c r="BT71" s="362"/>
      <c r="BU71" s="362"/>
      <c r="BV71" s="362"/>
      <c r="BW71" s="362"/>
      <c r="BX71" s="362"/>
      <c r="BY71" s="362"/>
      <c r="BZ71" s="362"/>
      <c r="CA71" s="362"/>
      <c r="CB71" s="362"/>
      <c r="CC71" s="362"/>
      <c r="CD71" s="362"/>
      <c r="CE71" s="362"/>
      <c r="CF71" s="362"/>
      <c r="CG71" s="362"/>
      <c r="CH71" s="362"/>
      <c r="CI71" s="362"/>
      <c r="CJ71" s="362"/>
      <c r="CK71" s="362"/>
      <c r="CL71" s="362"/>
      <c r="CM71" s="362"/>
      <c r="CN71" s="362"/>
      <c r="CO71" s="362"/>
      <c r="CP71" s="362"/>
      <c r="CQ71" s="362"/>
      <c r="CR71" s="362"/>
      <c r="CS71" s="362"/>
      <c r="CT71" s="362"/>
      <c r="CU71" s="362"/>
      <c r="CV71" s="362"/>
      <c r="CW71" s="362"/>
      <c r="CX71" s="362"/>
      <c r="CY71" s="362"/>
      <c r="CZ71" s="362"/>
      <c r="DA71" s="362"/>
      <c r="DB71" s="362"/>
      <c r="DC71" s="362"/>
      <c r="DD71" s="362"/>
      <c r="DE71" s="362"/>
      <c r="DF71" s="362"/>
      <c r="DG71" s="362"/>
      <c r="DH71" s="362"/>
      <c r="DI71" s="362"/>
      <c r="DJ71" s="362"/>
      <c r="DK71" s="362"/>
      <c r="DL71" s="362"/>
      <c r="DM71" s="362"/>
      <c r="DN71" s="362"/>
      <c r="DO71" s="362"/>
      <c r="DP71" s="362"/>
      <c r="DQ71" s="362"/>
      <c r="DR71" s="362"/>
      <c r="DS71" s="362"/>
      <c r="DT71" s="362"/>
      <c r="DU71" s="362"/>
      <c r="DV71" s="362"/>
      <c r="DW71" s="362"/>
      <c r="DX71" s="362"/>
      <c r="DY71" s="362"/>
      <c r="DZ71" s="362"/>
      <c r="EA71" s="362"/>
      <c r="EB71" s="362"/>
      <c r="EC71" s="362"/>
      <c r="ED71" s="362"/>
      <c r="EE71" s="362"/>
      <c r="EF71" s="362"/>
      <c r="EG71" s="362"/>
      <c r="EH71" s="362"/>
      <c r="EI71" s="362"/>
      <c r="EJ71" s="362"/>
      <c r="EK71" s="362"/>
      <c r="EL71" s="362"/>
      <c r="EM71" s="362"/>
      <c r="EN71" s="362"/>
      <c r="EO71" s="362"/>
      <c r="EP71" s="362"/>
      <c r="EQ71" s="362"/>
      <c r="ER71" s="362"/>
      <c r="ES71" s="362"/>
      <c r="ET71" s="362"/>
      <c r="EU71" s="362"/>
      <c r="EV71" s="362"/>
      <c r="EW71" s="362"/>
      <c r="EX71" s="362"/>
      <c r="EY71" s="362"/>
      <c r="EZ71" s="362"/>
      <c r="FA71" s="362"/>
      <c r="FB71" s="362"/>
      <c r="FC71" s="362"/>
      <c r="FD71" s="362"/>
      <c r="FE71" s="362"/>
      <c r="FF71" s="362"/>
      <c r="FG71" s="362"/>
      <c r="FH71" s="362"/>
      <c r="FI71" s="362"/>
      <c r="FJ71" s="362"/>
      <c r="FK71" s="362"/>
      <c r="FL71" s="362"/>
      <c r="FM71" s="362"/>
      <c r="FN71" s="362"/>
      <c r="FO71" s="362"/>
      <c r="FP71" s="362"/>
      <c r="FQ71" s="362"/>
      <c r="FR71" s="362"/>
      <c r="FS71" s="362"/>
      <c r="FT71" s="362"/>
      <c r="FU71" s="362"/>
      <c r="FV71" s="362"/>
      <c r="FW71" s="362"/>
      <c r="FX71" s="362"/>
      <c r="FY71" s="362"/>
      <c r="FZ71" s="362"/>
      <c r="GA71" s="362"/>
      <c r="GB71" s="362"/>
      <c r="GC71" s="362"/>
      <c r="GD71" s="362"/>
      <c r="GE71" s="362"/>
      <c r="GF71" s="362"/>
      <c r="GG71" s="362"/>
      <c r="GH71" s="362"/>
      <c r="GI71" s="362"/>
      <c r="GJ71" s="362"/>
      <c r="GK71" s="362"/>
      <c r="GL71" s="362"/>
      <c r="GM71" s="362"/>
      <c r="GN71" s="362"/>
      <c r="GO71" s="362"/>
      <c r="GP71" s="362"/>
      <c r="GQ71" s="362"/>
      <c r="GR71" s="362"/>
      <c r="GS71" s="362"/>
      <c r="GT71" s="362"/>
      <c r="GU71" s="362"/>
      <c r="GV71" s="362"/>
      <c r="GW71" s="362"/>
      <c r="GX71" s="362"/>
      <c r="GY71" s="362"/>
      <c r="GZ71" s="362"/>
      <c r="HA71" s="362"/>
      <c r="HB71" s="362"/>
      <c r="HC71" s="362"/>
      <c r="HD71" s="362"/>
      <c r="HE71" s="362"/>
      <c r="HF71" s="362"/>
      <c r="HG71" s="362"/>
      <c r="HH71" s="362"/>
      <c r="HI71" s="362"/>
      <c r="HJ71" s="362"/>
      <c r="HK71" s="362"/>
      <c r="HL71" s="362"/>
      <c r="HM71" s="362"/>
      <c r="HN71" s="362"/>
      <c r="HO71" s="362"/>
      <c r="HP71" s="362"/>
      <c r="HQ71" s="362"/>
      <c r="HR71" s="362"/>
      <c r="HS71" s="362"/>
      <c r="HT71" s="362"/>
      <c r="HU71" s="362"/>
      <c r="HV71" s="362"/>
      <c r="HW71" s="362"/>
      <c r="HX71" s="362"/>
      <c r="HY71" s="362"/>
      <c r="HZ71" s="362"/>
      <c r="IA71" s="362"/>
      <c r="IB71" s="362"/>
      <c r="IC71" s="362"/>
      <c r="ID71" s="362"/>
      <c r="IE71" s="362"/>
      <c r="IF71" s="362"/>
      <c r="IG71" s="362"/>
      <c r="IH71" s="362"/>
      <c r="II71" s="362"/>
      <c r="IJ71" s="362"/>
      <c r="IK71" s="362"/>
      <c r="IL71" s="362"/>
      <c r="IM71" s="362"/>
      <c r="IN71" s="362"/>
      <c r="IO71" s="362"/>
      <c r="IP71" s="362"/>
      <c r="IQ71" s="362"/>
      <c r="IR71" s="362"/>
      <c r="IS71" s="362"/>
      <c r="IT71" s="362"/>
    </row>
    <row r="72" spans="1:254" x14ac:dyDescent="0.15">
      <c r="A72" s="295"/>
      <c r="B72" s="219" t="s">
        <v>502</v>
      </c>
      <c r="C72" s="29"/>
      <c r="D72" s="227"/>
      <c r="E72" s="232"/>
      <c r="F72" s="72">
        <f>C64</f>
        <v>12775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083" t="s">
        <v>604</v>
      </c>
      <c r="Q72" s="1084"/>
      <c r="R72" s="1084"/>
      <c r="S72" s="1084"/>
      <c r="T72" s="1084"/>
      <c r="U72" s="1084"/>
      <c r="V72" s="1084"/>
      <c r="W72" s="1084"/>
      <c r="X72" s="1084"/>
      <c r="Y72" s="1084"/>
      <c r="Z72" s="1084"/>
      <c r="AA72" s="1108"/>
      <c r="AB72" s="1097"/>
      <c r="AC72" s="1074"/>
      <c r="AD72" s="362"/>
      <c r="AE72" s="362"/>
      <c r="AF72" s="362"/>
      <c r="AG72" s="362"/>
      <c r="AH72" s="362"/>
      <c r="AI72" s="362"/>
      <c r="AJ72" s="362"/>
      <c r="AK72" s="362"/>
      <c r="AL72" s="362"/>
      <c r="AM72" s="362"/>
      <c r="AN72" s="362"/>
      <c r="AO72" s="362"/>
      <c r="AP72" s="362"/>
      <c r="AQ72" s="362"/>
      <c r="AR72" s="362"/>
      <c r="AS72" s="362"/>
      <c r="AT72" s="362"/>
      <c r="AU72" s="362"/>
      <c r="AV72" s="362"/>
      <c r="AW72" s="362"/>
      <c r="AX72" s="3"/>
      <c r="AY72" s="3"/>
      <c r="AZ72" s="3"/>
      <c r="BA72" s="1107"/>
      <c r="BB72" s="362"/>
      <c r="BC72" s="362"/>
      <c r="BD72" s="362"/>
      <c r="BE72" s="362"/>
      <c r="BF72" s="362"/>
      <c r="BG72" s="362"/>
      <c r="BH72" s="362"/>
      <c r="BI72" s="362"/>
      <c r="BJ72" s="362"/>
      <c r="BK72" s="362"/>
      <c r="BL72" s="362"/>
      <c r="BM72" s="362"/>
      <c r="BN72" s="362"/>
      <c r="BO72" s="362"/>
      <c r="BP72" s="362"/>
      <c r="BQ72" s="362"/>
      <c r="BR72" s="362"/>
      <c r="BS72" s="362"/>
      <c r="BT72" s="362"/>
      <c r="BU72" s="362"/>
      <c r="BV72" s="362"/>
      <c r="BW72" s="362"/>
      <c r="BX72" s="362"/>
      <c r="BY72" s="362"/>
      <c r="BZ72" s="362"/>
      <c r="CA72" s="362"/>
      <c r="CB72" s="362"/>
      <c r="CC72" s="362"/>
      <c r="CD72" s="362"/>
      <c r="CE72" s="362"/>
      <c r="CF72" s="362"/>
      <c r="CG72" s="362"/>
      <c r="CH72" s="362"/>
      <c r="CI72" s="362"/>
      <c r="CJ72" s="362"/>
      <c r="CK72" s="362"/>
      <c r="CL72" s="362"/>
      <c r="CM72" s="362"/>
      <c r="CN72" s="362"/>
      <c r="CO72" s="362"/>
      <c r="CP72" s="362"/>
      <c r="CQ72" s="362"/>
      <c r="CR72" s="362"/>
      <c r="CS72" s="362"/>
      <c r="CT72" s="362"/>
      <c r="CU72" s="362"/>
      <c r="CV72" s="362"/>
      <c r="CW72" s="362"/>
      <c r="CX72" s="362"/>
      <c r="CY72" s="362"/>
      <c r="CZ72" s="362"/>
      <c r="DA72" s="362"/>
      <c r="DB72" s="362"/>
      <c r="DC72" s="362"/>
      <c r="DD72" s="362"/>
      <c r="DE72" s="362"/>
      <c r="DF72" s="362"/>
      <c r="DG72" s="362"/>
      <c r="DH72" s="362"/>
      <c r="DI72" s="362"/>
      <c r="DJ72" s="362"/>
      <c r="DK72" s="362"/>
      <c r="DL72" s="362"/>
      <c r="DM72" s="362"/>
      <c r="DN72" s="362"/>
      <c r="DO72" s="362"/>
      <c r="DP72" s="362"/>
      <c r="DQ72" s="362"/>
      <c r="DR72" s="362"/>
      <c r="DS72" s="362"/>
      <c r="DT72" s="362"/>
      <c r="DU72" s="362"/>
      <c r="DV72" s="362"/>
      <c r="DW72" s="362"/>
      <c r="DX72" s="362"/>
      <c r="DY72" s="362"/>
      <c r="DZ72" s="362"/>
      <c r="EA72" s="362"/>
      <c r="EB72" s="362"/>
      <c r="EC72" s="362"/>
      <c r="ED72" s="362"/>
      <c r="EE72" s="362"/>
      <c r="EF72" s="362"/>
      <c r="EG72" s="362"/>
      <c r="EH72" s="362"/>
      <c r="EI72" s="362"/>
      <c r="EJ72" s="362"/>
      <c r="EK72" s="362"/>
      <c r="EL72" s="362"/>
      <c r="EM72" s="362"/>
      <c r="EN72" s="362"/>
      <c r="EO72" s="362"/>
      <c r="EP72" s="362"/>
      <c r="EQ72" s="362"/>
      <c r="ER72" s="362"/>
      <c r="ES72" s="362"/>
      <c r="ET72" s="362"/>
      <c r="EU72" s="362"/>
      <c r="EV72" s="362"/>
      <c r="EW72" s="362"/>
      <c r="EX72" s="362"/>
      <c r="EY72" s="362"/>
      <c r="EZ72" s="362"/>
      <c r="FA72" s="362"/>
      <c r="FB72" s="362"/>
      <c r="FC72" s="362"/>
      <c r="FD72" s="362"/>
      <c r="FE72" s="362"/>
      <c r="FF72" s="362"/>
      <c r="FG72" s="362"/>
      <c r="FH72" s="362"/>
      <c r="FI72" s="362"/>
      <c r="FJ72" s="362"/>
      <c r="FK72" s="362"/>
      <c r="FL72" s="362"/>
      <c r="FM72" s="362"/>
      <c r="FN72" s="362"/>
      <c r="FO72" s="362"/>
      <c r="FP72" s="362"/>
      <c r="FQ72" s="362"/>
      <c r="FR72" s="362"/>
      <c r="FS72" s="362"/>
      <c r="FT72" s="362"/>
      <c r="FU72" s="362"/>
      <c r="FV72" s="362"/>
      <c r="FW72" s="362"/>
      <c r="FX72" s="362"/>
      <c r="FY72" s="362"/>
      <c r="FZ72" s="362"/>
      <c r="GA72" s="362"/>
      <c r="GB72" s="362"/>
      <c r="GC72" s="362"/>
      <c r="GD72" s="362"/>
      <c r="GE72" s="362"/>
      <c r="GF72" s="362"/>
      <c r="GG72" s="362"/>
      <c r="GH72" s="362"/>
      <c r="GI72" s="362"/>
      <c r="GJ72" s="362"/>
      <c r="GK72" s="362"/>
      <c r="GL72" s="362"/>
      <c r="GM72" s="362"/>
      <c r="GN72" s="362"/>
      <c r="GO72" s="362"/>
      <c r="GP72" s="362"/>
      <c r="GQ72" s="362"/>
      <c r="GR72" s="362"/>
      <c r="GS72" s="362"/>
      <c r="GT72" s="362"/>
      <c r="GU72" s="362"/>
      <c r="GV72" s="362"/>
      <c r="GW72" s="362"/>
      <c r="GX72" s="362"/>
      <c r="GY72" s="362"/>
      <c r="GZ72" s="362"/>
      <c r="HA72" s="362"/>
      <c r="HB72" s="362"/>
      <c r="HC72" s="362"/>
      <c r="HD72" s="362"/>
      <c r="HE72" s="362"/>
      <c r="HF72" s="362"/>
      <c r="HG72" s="362"/>
      <c r="HH72" s="362"/>
      <c r="HI72" s="362"/>
      <c r="HJ72" s="362"/>
      <c r="HK72" s="362"/>
      <c r="HL72" s="362"/>
      <c r="HM72" s="362"/>
      <c r="HN72" s="362"/>
      <c r="HO72" s="362"/>
      <c r="HP72" s="362"/>
      <c r="HQ72" s="362"/>
      <c r="HR72" s="362"/>
      <c r="HS72" s="362"/>
      <c r="HT72" s="362"/>
      <c r="HU72" s="362"/>
      <c r="HV72" s="362"/>
      <c r="HW72" s="362"/>
      <c r="HX72" s="362"/>
      <c r="HY72" s="362"/>
      <c r="HZ72" s="362"/>
      <c r="IA72" s="362"/>
      <c r="IB72" s="362"/>
      <c r="IC72" s="362"/>
      <c r="ID72" s="362"/>
      <c r="IE72" s="362"/>
      <c r="IF72" s="362"/>
      <c r="IG72" s="362"/>
      <c r="IH72" s="362"/>
      <c r="II72" s="362"/>
      <c r="IJ72" s="362"/>
      <c r="IK72" s="362"/>
      <c r="IL72" s="362"/>
      <c r="IM72" s="362"/>
      <c r="IN72" s="362"/>
      <c r="IO72" s="362"/>
      <c r="IP72" s="362"/>
      <c r="IQ72" s="362"/>
      <c r="IR72" s="362"/>
      <c r="IS72" s="362"/>
      <c r="IT72" s="362"/>
    </row>
    <row r="73" spans="1:254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089" t="s">
        <v>349</v>
      </c>
      <c r="Q73" s="2">
        <v>5</v>
      </c>
      <c r="R73" s="2">
        <v>10</v>
      </c>
      <c r="S73" s="2">
        <v>15</v>
      </c>
      <c r="T73" s="2">
        <v>20</v>
      </c>
      <c r="U73" s="2">
        <v>25</v>
      </c>
      <c r="V73" s="2">
        <v>30</v>
      </c>
      <c r="W73" s="2">
        <v>35</v>
      </c>
      <c r="X73" s="2">
        <v>40</v>
      </c>
      <c r="Y73" s="2">
        <v>45</v>
      </c>
      <c r="Z73" s="2">
        <v>50</v>
      </c>
      <c r="AA73" s="2">
        <v>55</v>
      </c>
      <c r="AB73" s="243">
        <v>60</v>
      </c>
      <c r="AC73" s="1074"/>
      <c r="AD73" s="362"/>
      <c r="AE73" s="362"/>
      <c r="AF73" s="362"/>
      <c r="AG73" s="362"/>
      <c r="AH73" s="362"/>
      <c r="AI73" s="362"/>
      <c r="AJ73" s="362"/>
      <c r="AK73" s="362"/>
      <c r="AL73" s="362"/>
      <c r="AM73" s="362"/>
      <c r="AN73" s="362"/>
      <c r="AO73" s="362"/>
      <c r="AP73" s="362"/>
      <c r="AQ73" s="362"/>
      <c r="AR73" s="362"/>
      <c r="AS73" s="2"/>
      <c r="AT73" s="2"/>
      <c r="AU73" s="2"/>
      <c r="AV73" s="2"/>
      <c r="AW73" s="2"/>
      <c r="AX73" s="2"/>
      <c r="AY73" s="2"/>
      <c r="AZ73" s="3"/>
      <c r="BA73" s="1107"/>
      <c r="BB73" s="362"/>
      <c r="BC73" s="362"/>
      <c r="BD73" s="362"/>
      <c r="BE73" s="362"/>
      <c r="BF73" s="362"/>
      <c r="BG73" s="362"/>
      <c r="BH73" s="362"/>
      <c r="BI73" s="362"/>
      <c r="BJ73" s="362"/>
      <c r="BK73" s="362"/>
      <c r="BL73" s="362"/>
      <c r="BM73" s="362"/>
      <c r="BN73" s="362"/>
      <c r="BO73" s="362"/>
      <c r="BP73" s="362"/>
      <c r="BQ73" s="362"/>
      <c r="BR73" s="362"/>
      <c r="BS73" s="362"/>
      <c r="BT73" s="362"/>
      <c r="BU73" s="362"/>
      <c r="BV73" s="362"/>
      <c r="BW73" s="362"/>
      <c r="BX73" s="362"/>
      <c r="BY73" s="362"/>
      <c r="BZ73" s="362"/>
      <c r="CA73" s="362"/>
      <c r="CB73" s="362"/>
      <c r="CC73" s="362"/>
      <c r="CD73" s="362"/>
      <c r="CE73" s="362"/>
      <c r="CF73" s="362"/>
      <c r="CG73" s="362"/>
      <c r="CH73" s="362"/>
      <c r="CI73" s="362"/>
      <c r="CJ73" s="362"/>
      <c r="CK73" s="362"/>
      <c r="CL73" s="362"/>
      <c r="CM73" s="362"/>
      <c r="CN73" s="362"/>
      <c r="CO73" s="362"/>
      <c r="CP73" s="362"/>
      <c r="CQ73" s="362"/>
      <c r="CR73" s="362"/>
      <c r="CS73" s="362"/>
      <c r="CT73" s="362"/>
      <c r="CU73" s="362"/>
      <c r="CV73" s="362"/>
      <c r="CW73" s="362"/>
      <c r="CX73" s="362"/>
      <c r="CY73" s="362"/>
      <c r="CZ73" s="362"/>
      <c r="DA73" s="362"/>
      <c r="DB73" s="362"/>
      <c r="DC73" s="362"/>
      <c r="DD73" s="362"/>
      <c r="DE73" s="362"/>
      <c r="DF73" s="362"/>
      <c r="DG73" s="362"/>
      <c r="DH73" s="362"/>
      <c r="DI73" s="362"/>
      <c r="DJ73" s="362"/>
      <c r="DK73" s="362"/>
      <c r="DL73" s="362"/>
      <c r="DM73" s="362"/>
      <c r="DN73" s="362"/>
      <c r="DO73" s="362"/>
      <c r="DP73" s="362"/>
      <c r="DQ73" s="362"/>
      <c r="DR73" s="362"/>
      <c r="DS73" s="362"/>
      <c r="DT73" s="362"/>
      <c r="DU73" s="362"/>
      <c r="DV73" s="362"/>
      <c r="DW73" s="362"/>
      <c r="DX73" s="362"/>
      <c r="DY73" s="362"/>
      <c r="DZ73" s="362"/>
      <c r="EA73" s="362"/>
      <c r="EB73" s="362"/>
      <c r="EC73" s="362"/>
      <c r="ED73" s="362"/>
      <c r="EE73" s="362"/>
      <c r="EF73" s="362"/>
      <c r="EG73" s="362"/>
      <c r="EH73" s="362"/>
      <c r="EI73" s="362"/>
      <c r="EJ73" s="362"/>
      <c r="EK73" s="362"/>
      <c r="EL73" s="362"/>
      <c r="EM73" s="362"/>
      <c r="EN73" s="362"/>
      <c r="EO73" s="362"/>
      <c r="EP73" s="362"/>
      <c r="EQ73" s="362"/>
      <c r="ER73" s="362"/>
      <c r="ES73" s="362"/>
      <c r="ET73" s="362"/>
      <c r="EU73" s="362"/>
      <c r="EV73" s="362"/>
      <c r="EW73" s="362"/>
      <c r="EX73" s="362"/>
      <c r="EY73" s="362"/>
      <c r="EZ73" s="362"/>
      <c r="FA73" s="362"/>
      <c r="FB73" s="362"/>
      <c r="FC73" s="362"/>
      <c r="FD73" s="362"/>
      <c r="FE73" s="362"/>
      <c r="FF73" s="362"/>
      <c r="FG73" s="362"/>
      <c r="FH73" s="362"/>
      <c r="FI73" s="362"/>
      <c r="FJ73" s="362"/>
      <c r="FK73" s="362"/>
      <c r="FL73" s="362"/>
      <c r="FM73" s="362"/>
      <c r="FN73" s="362"/>
      <c r="FO73" s="362"/>
      <c r="FP73" s="362"/>
      <c r="FQ73" s="362"/>
      <c r="FR73" s="362"/>
      <c r="FS73" s="362"/>
      <c r="FT73" s="362"/>
      <c r="FU73" s="362"/>
      <c r="FV73" s="362"/>
      <c r="FW73" s="362"/>
      <c r="FX73" s="362"/>
      <c r="FY73" s="362"/>
      <c r="FZ73" s="362"/>
      <c r="GA73" s="362"/>
      <c r="GB73" s="362"/>
      <c r="GC73" s="362"/>
      <c r="GD73" s="362"/>
      <c r="GE73" s="362"/>
      <c r="GF73" s="362"/>
      <c r="GG73" s="362"/>
      <c r="GH73" s="362"/>
      <c r="GI73" s="362"/>
      <c r="GJ73" s="362"/>
      <c r="GK73" s="362"/>
      <c r="GL73" s="362"/>
      <c r="GM73" s="362"/>
      <c r="GN73" s="362"/>
      <c r="GO73" s="362"/>
      <c r="GP73" s="362"/>
      <c r="GQ73" s="362"/>
      <c r="GR73" s="362"/>
      <c r="GS73" s="362"/>
      <c r="GT73" s="362"/>
      <c r="GU73" s="362"/>
      <c r="GV73" s="362"/>
      <c r="GW73" s="362"/>
      <c r="GX73" s="362"/>
      <c r="GY73" s="362"/>
      <c r="GZ73" s="362"/>
      <c r="HA73" s="362"/>
      <c r="HB73" s="362"/>
      <c r="HC73" s="362"/>
      <c r="HD73" s="362"/>
      <c r="HE73" s="362"/>
      <c r="HF73" s="362"/>
      <c r="HG73" s="362"/>
      <c r="HH73" s="362"/>
      <c r="HI73" s="362"/>
      <c r="HJ73" s="362"/>
      <c r="HK73" s="362"/>
      <c r="HL73" s="362"/>
      <c r="HM73" s="362"/>
      <c r="HN73" s="362"/>
      <c r="HO73" s="362"/>
      <c r="HP73" s="362"/>
      <c r="HQ73" s="362"/>
      <c r="HR73" s="362"/>
      <c r="HS73" s="362"/>
      <c r="HT73" s="362"/>
      <c r="HU73" s="362"/>
      <c r="HV73" s="362"/>
      <c r="HW73" s="362"/>
      <c r="HX73" s="362"/>
      <c r="HY73" s="362"/>
      <c r="HZ73" s="362"/>
      <c r="IA73" s="362"/>
      <c r="IB73" s="362"/>
      <c r="IC73" s="362"/>
      <c r="ID73" s="362"/>
      <c r="IE73" s="362"/>
      <c r="IF73" s="362"/>
      <c r="IG73" s="362"/>
      <c r="IH73" s="362"/>
      <c r="II73" s="362"/>
      <c r="IJ73" s="362"/>
      <c r="IK73" s="362"/>
      <c r="IL73" s="362"/>
      <c r="IM73" s="362"/>
      <c r="IN73" s="362"/>
      <c r="IO73" s="362"/>
      <c r="IP73" s="362"/>
      <c r="IQ73" s="362"/>
      <c r="IR73" s="362"/>
      <c r="IS73" s="362"/>
      <c r="IT73" s="362"/>
    </row>
    <row r="74" spans="1:254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093" t="s">
        <v>351</v>
      </c>
      <c r="Q74" s="1094">
        <v>0.05</v>
      </c>
      <c r="R74" s="1094">
        <v>0.1</v>
      </c>
      <c r="S74" s="1094">
        <v>0.15</v>
      </c>
      <c r="T74" s="1094">
        <v>0.2</v>
      </c>
      <c r="U74" s="1094">
        <v>0.25</v>
      </c>
      <c r="V74" s="1094">
        <v>0.3</v>
      </c>
      <c r="W74" s="1094">
        <v>0.35</v>
      </c>
      <c r="X74" s="1094">
        <v>0.4</v>
      </c>
      <c r="Y74" s="1094">
        <v>0.45</v>
      </c>
      <c r="Z74" s="1094">
        <v>0.5</v>
      </c>
      <c r="AA74" s="1094">
        <v>0.55000000000000004</v>
      </c>
      <c r="AB74" s="1095">
        <v>0.6</v>
      </c>
      <c r="AC74" s="1074"/>
      <c r="AD74" s="362"/>
      <c r="AE74" s="362"/>
      <c r="AF74" s="362"/>
      <c r="AG74" s="362"/>
      <c r="AH74" s="362"/>
      <c r="AI74" s="362"/>
      <c r="AJ74" s="362"/>
      <c r="AK74" s="362"/>
      <c r="AL74" s="362"/>
      <c r="AM74" s="362"/>
      <c r="AN74" s="362"/>
      <c r="AO74" s="362"/>
      <c r="AP74" s="362"/>
      <c r="AQ74" s="362"/>
      <c r="AR74" s="362"/>
      <c r="AS74" s="1096"/>
      <c r="AT74" s="1096"/>
      <c r="AU74" s="1096"/>
      <c r="AV74" s="1096"/>
      <c r="AW74" s="1096"/>
      <c r="AX74" s="1096"/>
      <c r="AY74" s="1096"/>
      <c r="AZ74" s="3"/>
      <c r="BA74" s="1107"/>
      <c r="BB74" s="362"/>
      <c r="BC74" s="362"/>
      <c r="BD74" s="362"/>
      <c r="BE74" s="362"/>
      <c r="BF74" s="362"/>
      <c r="BG74" s="362"/>
      <c r="BH74" s="362"/>
      <c r="BI74" s="362"/>
      <c r="BJ74" s="362"/>
      <c r="BK74" s="362"/>
      <c r="BL74" s="362"/>
      <c r="BM74" s="362"/>
      <c r="BN74" s="362"/>
      <c r="BO74" s="362"/>
      <c r="BP74" s="362"/>
      <c r="BQ74" s="362"/>
      <c r="BR74" s="362"/>
      <c r="BS74" s="362"/>
      <c r="BT74" s="362"/>
      <c r="BU74" s="362"/>
      <c r="BV74" s="362"/>
      <c r="BW74" s="362"/>
      <c r="BX74" s="362"/>
      <c r="BY74" s="362"/>
      <c r="BZ74" s="362"/>
      <c r="CA74" s="362"/>
      <c r="CB74" s="362"/>
      <c r="CC74" s="362"/>
      <c r="CD74" s="362"/>
      <c r="CE74" s="362"/>
      <c r="CF74" s="362"/>
      <c r="CG74" s="362"/>
      <c r="CH74" s="362"/>
      <c r="CI74" s="362"/>
      <c r="CJ74" s="362"/>
      <c r="CK74" s="362"/>
      <c r="CL74" s="362"/>
      <c r="CM74" s="362"/>
      <c r="CN74" s="362"/>
      <c r="CO74" s="362"/>
      <c r="CP74" s="362"/>
      <c r="CQ74" s="362"/>
      <c r="CR74" s="362"/>
      <c r="CS74" s="362"/>
      <c r="CT74" s="362"/>
      <c r="CU74" s="362"/>
      <c r="CV74" s="362"/>
      <c r="CW74" s="362"/>
      <c r="CX74" s="362"/>
      <c r="CY74" s="362"/>
      <c r="CZ74" s="362"/>
      <c r="DA74" s="362"/>
      <c r="DB74" s="362"/>
      <c r="DC74" s="362"/>
      <c r="DD74" s="362"/>
      <c r="DE74" s="362"/>
      <c r="DF74" s="362"/>
      <c r="DG74" s="362"/>
      <c r="DH74" s="362"/>
      <c r="DI74" s="362"/>
      <c r="DJ74" s="362"/>
      <c r="DK74" s="362"/>
      <c r="DL74" s="362"/>
      <c r="DM74" s="362"/>
      <c r="DN74" s="362"/>
      <c r="DO74" s="362"/>
      <c r="DP74" s="362"/>
      <c r="DQ74" s="362"/>
      <c r="DR74" s="362"/>
      <c r="DS74" s="362"/>
      <c r="DT74" s="362"/>
      <c r="DU74" s="362"/>
      <c r="DV74" s="362"/>
      <c r="DW74" s="362"/>
      <c r="DX74" s="362"/>
      <c r="DY74" s="362"/>
      <c r="DZ74" s="362"/>
      <c r="EA74" s="362"/>
      <c r="EB74" s="362"/>
      <c r="EC74" s="362"/>
      <c r="ED74" s="362"/>
      <c r="EE74" s="362"/>
      <c r="EF74" s="362"/>
      <c r="EG74" s="362"/>
      <c r="EH74" s="362"/>
      <c r="EI74" s="362"/>
      <c r="EJ74" s="362"/>
      <c r="EK74" s="362"/>
      <c r="EL74" s="362"/>
      <c r="EM74" s="362"/>
      <c r="EN74" s="362"/>
      <c r="EO74" s="362"/>
      <c r="EP74" s="362"/>
      <c r="EQ74" s="362"/>
      <c r="ER74" s="362"/>
      <c r="ES74" s="362"/>
      <c r="ET74" s="362"/>
      <c r="EU74" s="362"/>
      <c r="EV74" s="362"/>
      <c r="EW74" s="362"/>
      <c r="EX74" s="362"/>
      <c r="EY74" s="362"/>
      <c r="EZ74" s="362"/>
      <c r="FA74" s="362"/>
      <c r="FB74" s="362"/>
      <c r="FC74" s="362"/>
      <c r="FD74" s="362"/>
      <c r="FE74" s="362"/>
      <c r="FF74" s="362"/>
      <c r="FG74" s="362"/>
      <c r="FH74" s="362"/>
      <c r="FI74" s="362"/>
      <c r="FJ74" s="362"/>
      <c r="FK74" s="362"/>
      <c r="FL74" s="362"/>
      <c r="FM74" s="362"/>
      <c r="FN74" s="362"/>
      <c r="FO74" s="362"/>
      <c r="FP74" s="362"/>
      <c r="FQ74" s="362"/>
      <c r="FR74" s="362"/>
      <c r="FS74" s="362"/>
      <c r="FT74" s="362"/>
      <c r="FU74" s="362"/>
      <c r="FV74" s="362"/>
      <c r="FW74" s="362"/>
      <c r="FX74" s="362"/>
      <c r="FY74" s="362"/>
      <c r="FZ74" s="362"/>
      <c r="GA74" s="362"/>
      <c r="GB74" s="362"/>
      <c r="GC74" s="362"/>
      <c r="GD74" s="362"/>
      <c r="GE74" s="362"/>
      <c r="GF74" s="362"/>
      <c r="GG74" s="362"/>
      <c r="GH74" s="362"/>
      <c r="GI74" s="362"/>
      <c r="GJ74" s="362"/>
      <c r="GK74" s="362"/>
      <c r="GL74" s="362"/>
      <c r="GM74" s="362"/>
      <c r="GN74" s="362"/>
      <c r="GO74" s="362"/>
      <c r="GP74" s="362"/>
      <c r="GQ74" s="362"/>
      <c r="GR74" s="362"/>
      <c r="GS74" s="362"/>
      <c r="GT74" s="362"/>
      <c r="GU74" s="362"/>
      <c r="GV74" s="362"/>
      <c r="GW74" s="362"/>
      <c r="GX74" s="362"/>
      <c r="GY74" s="362"/>
      <c r="GZ74" s="362"/>
      <c r="HA74" s="362"/>
      <c r="HB74" s="362"/>
      <c r="HC74" s="362"/>
      <c r="HD74" s="362"/>
      <c r="HE74" s="362"/>
      <c r="HF74" s="362"/>
      <c r="HG74" s="362"/>
      <c r="HH74" s="362"/>
      <c r="HI74" s="362"/>
      <c r="HJ74" s="362"/>
      <c r="HK74" s="362"/>
      <c r="HL74" s="362"/>
      <c r="HM74" s="362"/>
      <c r="HN74" s="362"/>
      <c r="HO74" s="362"/>
      <c r="HP74" s="362"/>
      <c r="HQ74" s="362"/>
      <c r="HR74" s="362"/>
      <c r="HS74" s="362"/>
      <c r="HT74" s="362"/>
      <c r="HU74" s="362"/>
      <c r="HV74" s="362"/>
      <c r="HW74" s="362"/>
      <c r="HX74" s="362"/>
      <c r="HY74" s="362"/>
      <c r="HZ74" s="362"/>
      <c r="IA74" s="362"/>
      <c r="IB74" s="362"/>
      <c r="IC74" s="362"/>
      <c r="ID74" s="362"/>
      <c r="IE74" s="362"/>
      <c r="IF74" s="362"/>
      <c r="IG74" s="362"/>
      <c r="IH74" s="362"/>
      <c r="II74" s="362"/>
      <c r="IJ74" s="362"/>
      <c r="IK74" s="362"/>
      <c r="IL74" s="362"/>
      <c r="IM74" s="362"/>
      <c r="IN74" s="362"/>
      <c r="IO74" s="362"/>
      <c r="IP74" s="362"/>
      <c r="IQ74" s="362"/>
      <c r="IR74" s="362"/>
      <c r="IS74" s="362"/>
      <c r="IT74" s="362"/>
    </row>
    <row r="75" spans="1:254" ht="15" thickBot="1" x14ac:dyDescent="0.2">
      <c r="A75" s="295"/>
      <c r="B75" s="237" t="s">
        <v>452</v>
      </c>
      <c r="C75" s="238"/>
      <c r="D75" s="239">
        <f>IF(OR(E6=B196,E6=B208,E6=B219),IF(L208&gt;=25,"FAZ JUS A 1/6 DA REMUNERAÇÃO",IF(L219&gt;=25,"FAZ JUS A 1/6 DA REMUNERAÇÃO",IF(L196&gt;=25,"FAZ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CABE",$O$82),$O$82),$O$82)</f>
        <v>NÃO CUMPRE</v>
      </c>
      <c r="P75" s="1109" t="s">
        <v>359</v>
      </c>
      <c r="Q75" s="1110"/>
      <c r="R75" s="1111"/>
      <c r="S75" s="1112">
        <f>IF(ISERROR(HLOOKUP($J$173,$Q$73:$W$74,2)),0,HLOOKUP($J$173,$Q$73:$W$74,2))</f>
        <v>0</v>
      </c>
      <c r="T75" s="1113" t="s">
        <v>451</v>
      </c>
      <c r="U75" s="1112"/>
      <c r="V75" s="1113"/>
      <c r="W75" s="1112">
        <f>IF(ISERROR(HLOOKUP($K$173,$Q$73:$W$74,2)),0,HLOOKUP($K$173,$Q$73:$W$74,2))</f>
        <v>0</v>
      </c>
      <c r="X75" s="1112" t="s">
        <v>507</v>
      </c>
      <c r="Y75" s="1114"/>
      <c r="Z75" s="1111"/>
      <c r="AA75" s="1112"/>
      <c r="AB75" s="1115">
        <f>IF(ISERROR(HLOOKUP($L$173,$Q$73:$W$74,2)),0,HLOOKUP($L$173,$Q$73:$W$74,2))</f>
        <v>0</v>
      </c>
      <c r="AC75" s="1090"/>
      <c r="AD75" s="1075"/>
      <c r="AE75" s="1075"/>
      <c r="AF75" s="1075"/>
      <c r="AG75" s="1074"/>
      <c r="AH75" s="362"/>
      <c r="AI75" s="362"/>
      <c r="AJ75" s="362"/>
      <c r="AK75" s="362"/>
      <c r="AL75" s="362"/>
      <c r="AM75" s="362"/>
      <c r="AN75" s="362"/>
      <c r="AO75" s="362"/>
      <c r="AP75" s="362"/>
      <c r="AQ75" s="362"/>
      <c r="AR75" s="362"/>
      <c r="AS75" s="362"/>
      <c r="AT75" s="362"/>
      <c r="AU75" s="362"/>
      <c r="AV75" s="362"/>
      <c r="AW75" s="362"/>
      <c r="AX75" s="3"/>
      <c r="AY75" s="3"/>
      <c r="AZ75" s="3"/>
      <c r="BA75" s="1107"/>
      <c r="BB75" s="362"/>
      <c r="BC75" s="362"/>
      <c r="BD75" s="362"/>
      <c r="BE75" s="362"/>
      <c r="BF75" s="362"/>
      <c r="BG75" s="362"/>
      <c r="BH75" s="362"/>
      <c r="BI75" s="362"/>
      <c r="BJ75" s="362"/>
      <c r="BK75" s="362"/>
      <c r="BL75" s="362"/>
      <c r="BM75" s="362"/>
      <c r="BN75" s="362"/>
      <c r="BO75" s="362"/>
      <c r="BP75" s="362"/>
      <c r="BQ75" s="362"/>
      <c r="BR75" s="362"/>
      <c r="BS75" s="362"/>
      <c r="BT75" s="362"/>
      <c r="BU75" s="362"/>
      <c r="BV75" s="362"/>
      <c r="BW75" s="362"/>
      <c r="BX75" s="362"/>
      <c r="BY75" s="362"/>
      <c r="BZ75" s="362"/>
      <c r="CA75" s="362"/>
      <c r="CB75" s="362"/>
      <c r="CC75" s="362"/>
      <c r="CD75" s="362"/>
      <c r="CE75" s="362"/>
      <c r="CF75" s="362"/>
      <c r="CG75" s="362"/>
      <c r="CH75" s="362"/>
      <c r="CI75" s="362"/>
      <c r="CJ75" s="362"/>
      <c r="CK75" s="362"/>
      <c r="CL75" s="362"/>
      <c r="CM75" s="362"/>
      <c r="CN75" s="362"/>
      <c r="CO75" s="362"/>
      <c r="CP75" s="362"/>
      <c r="CQ75" s="362"/>
      <c r="CR75" s="362"/>
      <c r="CS75" s="362"/>
      <c r="CT75" s="362"/>
      <c r="CU75" s="362"/>
      <c r="CV75" s="362"/>
      <c r="CW75" s="362"/>
      <c r="CX75" s="362"/>
      <c r="CY75" s="362"/>
      <c r="CZ75" s="362"/>
      <c r="DA75" s="362"/>
      <c r="DB75" s="362"/>
      <c r="DC75" s="362"/>
      <c r="DD75" s="362"/>
      <c r="DE75" s="362"/>
      <c r="DF75" s="362"/>
      <c r="DG75" s="362"/>
      <c r="DH75" s="362"/>
      <c r="DI75" s="362"/>
      <c r="DJ75" s="362"/>
      <c r="DK75" s="362"/>
      <c r="DL75" s="362"/>
      <c r="DM75" s="362"/>
      <c r="DN75" s="362"/>
      <c r="DO75" s="362"/>
      <c r="DP75" s="362"/>
      <c r="DQ75" s="362"/>
      <c r="DR75" s="362"/>
      <c r="DS75" s="362"/>
      <c r="DT75" s="362"/>
      <c r="DU75" s="362"/>
      <c r="DV75" s="362"/>
      <c r="DW75" s="362"/>
      <c r="DX75" s="362"/>
      <c r="DY75" s="362"/>
      <c r="DZ75" s="362"/>
      <c r="EA75" s="362"/>
      <c r="EB75" s="362"/>
      <c r="EC75" s="362"/>
      <c r="ED75" s="362"/>
      <c r="EE75" s="362"/>
      <c r="EF75" s="362"/>
      <c r="EG75" s="362"/>
      <c r="EH75" s="362"/>
      <c r="EI75" s="362"/>
      <c r="EJ75" s="362"/>
      <c r="EK75" s="362"/>
      <c r="EL75" s="362"/>
      <c r="EM75" s="362"/>
      <c r="EN75" s="362"/>
      <c r="EO75" s="362"/>
      <c r="EP75" s="362"/>
      <c r="EQ75" s="362"/>
      <c r="ER75" s="362"/>
      <c r="ES75" s="362"/>
      <c r="ET75" s="362"/>
      <c r="EU75" s="362"/>
      <c r="EV75" s="362"/>
      <c r="EW75" s="362"/>
      <c r="EX75" s="362"/>
      <c r="EY75" s="362"/>
      <c r="EZ75" s="362"/>
      <c r="FA75" s="362"/>
      <c r="FB75" s="362"/>
      <c r="FC75" s="362"/>
      <c r="FD75" s="362"/>
      <c r="FE75" s="362"/>
      <c r="FF75" s="362"/>
      <c r="FG75" s="362"/>
      <c r="FH75" s="362"/>
      <c r="FI75" s="362"/>
      <c r="FJ75" s="362"/>
      <c r="FK75" s="362"/>
      <c r="FL75" s="362"/>
      <c r="FM75" s="362"/>
      <c r="FN75" s="362"/>
      <c r="FO75" s="362"/>
      <c r="FP75" s="362"/>
      <c r="FQ75" s="362"/>
      <c r="FR75" s="362"/>
      <c r="FS75" s="362"/>
      <c r="FT75" s="362"/>
      <c r="FU75" s="362"/>
      <c r="FV75" s="362"/>
      <c r="FW75" s="362"/>
      <c r="FX75" s="362"/>
      <c r="FY75" s="362"/>
      <c r="FZ75" s="362"/>
      <c r="GA75" s="362"/>
      <c r="GB75" s="362"/>
      <c r="GC75" s="362"/>
      <c r="GD75" s="362"/>
      <c r="GE75" s="362"/>
      <c r="GF75" s="362"/>
      <c r="GG75" s="362"/>
      <c r="GH75" s="362"/>
      <c r="GI75" s="362"/>
      <c r="GJ75" s="362"/>
      <c r="GK75" s="362"/>
      <c r="GL75" s="362"/>
      <c r="GM75" s="362"/>
      <c r="GN75" s="362"/>
      <c r="GO75" s="362"/>
      <c r="GP75" s="362"/>
      <c r="GQ75" s="362"/>
      <c r="GR75" s="362"/>
      <c r="GS75" s="362"/>
      <c r="GT75" s="362"/>
      <c r="GU75" s="362"/>
      <c r="GV75" s="362"/>
      <c r="GW75" s="362"/>
      <c r="GX75" s="362"/>
      <c r="GY75" s="362"/>
      <c r="GZ75" s="362"/>
      <c r="HA75" s="362"/>
      <c r="HB75" s="362"/>
      <c r="HC75" s="362"/>
      <c r="HD75" s="362"/>
      <c r="HE75" s="362"/>
      <c r="HF75" s="362"/>
      <c r="HG75" s="362"/>
      <c r="HH75" s="362"/>
      <c r="HI75" s="362"/>
      <c r="HJ75" s="362"/>
      <c r="HK75" s="362"/>
      <c r="HL75" s="362"/>
      <c r="HM75" s="362"/>
      <c r="HN75" s="362"/>
      <c r="HO75" s="362"/>
      <c r="HP75" s="362"/>
      <c r="HQ75" s="362"/>
      <c r="HR75" s="362"/>
      <c r="HS75" s="362"/>
      <c r="HT75" s="362"/>
      <c r="HU75" s="362"/>
      <c r="HV75" s="362"/>
      <c r="HW75" s="362"/>
      <c r="HX75" s="362"/>
      <c r="HY75" s="362"/>
      <c r="HZ75" s="362"/>
      <c r="IA75" s="362"/>
      <c r="IB75" s="362"/>
      <c r="IC75" s="362"/>
      <c r="ID75" s="362"/>
      <c r="IE75" s="362"/>
      <c r="IF75" s="362"/>
      <c r="IG75" s="362"/>
      <c r="IH75" s="362"/>
      <c r="II75" s="362"/>
      <c r="IJ75" s="362"/>
      <c r="IK75" s="362"/>
      <c r="IL75" s="362"/>
      <c r="IM75" s="362"/>
      <c r="IN75" s="362"/>
      <c r="IO75" s="362"/>
      <c r="IP75" s="362"/>
      <c r="IQ75" s="362"/>
      <c r="IR75" s="362"/>
      <c r="IS75" s="362"/>
      <c r="IT75" s="362"/>
    </row>
    <row r="76" spans="1:254" x14ac:dyDescent="0.15">
      <c r="A76" s="295"/>
      <c r="B76" s="394"/>
      <c r="C76" s="150"/>
      <c r="D76" s="395"/>
      <c r="E76" s="150"/>
      <c r="F76" s="150"/>
      <c r="G76" s="150"/>
      <c r="H76" s="150"/>
      <c r="I76" s="150"/>
      <c r="J76" s="153"/>
      <c r="K76" s="150"/>
      <c r="L76" s="150"/>
      <c r="M76" s="234"/>
      <c r="N76" s="260"/>
      <c r="O76" s="255"/>
      <c r="P76" s="28"/>
      <c r="Q76" s="8"/>
      <c r="R76" s="5"/>
      <c r="S76" s="27"/>
      <c r="T76" s="28"/>
      <c r="U76" s="27"/>
      <c r="V76" s="28"/>
      <c r="W76" s="27"/>
      <c r="X76" s="114"/>
      <c r="Y76" s="100"/>
      <c r="Z76" s="115"/>
      <c r="AA76" s="114"/>
      <c r="AB76" s="114"/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254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254" ht="13.5" hidden="1" x14ac:dyDescent="0.15">
      <c r="A78" s="295"/>
      <c r="B78" s="35" t="s">
        <v>450</v>
      </c>
      <c r="C78" s="414" t="str">
        <f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>IF(OR($F$72="NADA A CUMPRIR",$F$72="NÃO CABE"),"SIM","NÃO")</f>
        <v>NÃO</v>
      </c>
      <c r="I78" s="413" t="str">
        <f>IF(N78="SIM","SIM","NÃO")</f>
        <v>NÃO</v>
      </c>
      <c r="J78" s="414" t="str">
        <f>IF(OR($M$73="NÃO CABE",$M$73="ATENDE"),"SIM","NÃO")</f>
        <v>NÃO</v>
      </c>
      <c r="K78" s="414" t="str">
        <f>IF(OR($M$74="NÃO CABE",$M$74="ATENDE"),"SIM","NÃO")</f>
        <v>SIM</v>
      </c>
      <c r="L78" s="412"/>
      <c r="M78" s="414" t="str">
        <f>IF(OR($M$75="ATENDE",$M$75="OK"),"SIM","NÃO")</f>
        <v>NÃO</v>
      </c>
      <c r="N78" s="414" t="str">
        <f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254" ht="13.5" hidden="1" x14ac:dyDescent="0.15">
      <c r="A79" s="295"/>
      <c r="B79" s="610" t="s">
        <v>450</v>
      </c>
      <c r="C79" s="588" t="str">
        <f>IF(OR($E$71="NADA A CRITICAR",$E$71="ATENDE LIMITE MÍNIMO DE IDADE"),"SIM","NÃO")</f>
        <v>NÃO</v>
      </c>
      <c r="D79" s="587"/>
      <c r="E79" s="611" t="s">
        <v>485</v>
      </c>
      <c r="F79" s="612">
        <f>I67</f>
        <v>0</v>
      </c>
      <c r="G79" s="611"/>
      <c r="H79" s="588" t="str">
        <f>IF(OR($F$72="NADA A CUMPRIR",$F$72="NÃO CABE"),"SIM","NÃO")</f>
        <v>NÃO</v>
      </c>
      <c r="I79" s="613" t="str">
        <f>IF($D$14="X",IF($N$79="SIM","SIM","NÃO"),"NÃO")</f>
        <v>NÃO</v>
      </c>
      <c r="J79" s="588" t="str">
        <f>IF(OR($M$73="NÃO CABE",$M$73="ATENDE"),"SIM","NÃO")</f>
        <v>NÃO</v>
      </c>
      <c r="K79" s="588" t="str">
        <f>IF(OR($M$74="NÃO CABE",$M$74="ATENDE"),"SIM","NÃO")</f>
        <v>SIM</v>
      </c>
      <c r="L79" s="614"/>
      <c r="M79" s="588" t="str">
        <f>IF(OR($M$75="ATENDE",$M$75="OK"),"SIM","NÃO")</f>
        <v>NÃO</v>
      </c>
      <c r="N79" s="588" t="str">
        <f>IF(AND(C79="SIM",H79="SIM",J79="SIM",K79="SIM",M79="SIM"),"SIM","NÃO")</f>
        <v>NÃO</v>
      </c>
      <c r="O79" s="255"/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254" ht="13.5" hidden="1" x14ac:dyDescent="0.15">
      <c r="A80" s="295"/>
      <c r="B80" s="35" t="s">
        <v>450</v>
      </c>
      <c r="C80" s="414" t="str">
        <f>IF(OR($E$71="NADA A CRITICAR",$E$71="ATENDE LIMITE MÍNIMO DE IDADE"),"SIM","NÃO")</f>
        <v>NÃO</v>
      </c>
      <c r="D80" s="415"/>
      <c r="E80" s="18" t="s">
        <v>752</v>
      </c>
      <c r="F80" s="18"/>
      <c r="G80" s="18"/>
      <c r="H80" s="414" t="str">
        <f>IF(OR($F$72="NADA A CUMPRIR",$F$72="NÃO CABE"),"SIM","NÃO")</f>
        <v>NÃO</v>
      </c>
      <c r="I80" s="413" t="str">
        <f>IF(N80="SIM","SIM","NÃO")</f>
        <v>NÃO</v>
      </c>
      <c r="J80" s="414" t="str">
        <f>IF(OR($M$73="NÃO CABE",$M$73="ATENDE"),"SIM","NÃO")</f>
        <v>NÃO</v>
      </c>
      <c r="K80" s="414" t="str">
        <f>IF(OR($M$74="NÃO CABE",$M$74="ATENDE"),"SIM","NÃO")</f>
        <v>SIM</v>
      </c>
      <c r="L80" s="412"/>
      <c r="M80" s="414" t="str">
        <f>IF(OR($M$75="ATENDE",$M$75="OK"),"SIM","NÃO")</f>
        <v>NÃO</v>
      </c>
      <c r="N80" s="414" t="str">
        <f>IF(AND(C80="SIM",H80="SIM",J80="SIM",K80="SIM",M80="SIM"),"SIM","NÃO")</f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>IF(OR($E$71="NADA A CRITICAR",$E$71="ATENDE LIMITE MÍNIMO DE IDADE"),"SIM","NÃO")</f>
        <v>NÃO</v>
      </c>
      <c r="D81" s="415"/>
      <c r="E81" s="18" t="s">
        <v>753</v>
      </c>
      <c r="F81" s="18"/>
      <c r="G81" s="18"/>
      <c r="H81" s="414" t="str">
        <f>IF(OR($F$72="NADA A CUMPRIR",$F$72="NÃO CABE"),"SIM","NÃO")</f>
        <v>NÃO</v>
      </c>
      <c r="I81" s="413" t="str">
        <f>IF(N81="SIM","SIM","NÃO")</f>
        <v>NÃO</v>
      </c>
      <c r="J81" s="414" t="str">
        <f>IF(OR($M$73="NÃO CABE",$M$73="ATENDE"),"SIM","NÃO")</f>
        <v>NÃO</v>
      </c>
      <c r="K81" s="414" t="str">
        <f>IF(OR($M$74="NÃO CABE",$M$74="ATENDE"),"SIM","NÃO")</f>
        <v>SIM</v>
      </c>
      <c r="L81" s="412"/>
      <c r="M81" s="414" t="str">
        <f>IF(OR($M$75="ATENDE",$M$75="OK"),"SIM","NÃO")</f>
        <v>NÃO</v>
      </c>
      <c r="N81" s="414" t="str">
        <f>IF(AND(C81="SIM",H81="SIM",J81="SIM",K81="SIM",M81="SIM"),"SIM","NÃO")</f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7"/>
      <c r="AD81" s="70"/>
      <c r="AE81" s="70"/>
      <c r="AF81" s="70"/>
      <c r="AG81" s="69"/>
      <c r="AX81" s="11"/>
      <c r="AY81" s="11"/>
      <c r="AZ81" s="11"/>
      <c r="BA81" s="85"/>
    </row>
    <row r="82" spans="1:64" hidden="1" thickBot="1" x14ac:dyDescent="0.2">
      <c r="A82" s="295"/>
      <c r="B82" s="35" t="s">
        <v>450</v>
      </c>
      <c r="C82" s="414" t="str">
        <f>IF(OR($E$71="NADA A CRITICAR",$E$71="ATENDE LIMITE MÍNIMO DE IDADE"),"SIM","NÃO")</f>
        <v>NÃO</v>
      </c>
      <c r="D82" s="415"/>
      <c r="E82" s="18" t="s">
        <v>754</v>
      </c>
      <c r="F82" s="18"/>
      <c r="G82" s="18"/>
      <c r="H82" s="414" t="str">
        <f>IF(OR($F$72="NADA A CUMPRIR",$F$72="NÃO CABE"),"SIM","NÃO")</f>
        <v>NÃO</v>
      </c>
      <c r="I82" s="413" t="str">
        <f>IF(N82="SIM","SIM","NÃO")</f>
        <v>NÃO</v>
      </c>
      <c r="J82" s="414" t="str">
        <f>IF(OR($M$73="NÃO CABE",$M$73="ATENDE"),"SIM","NÃO")</f>
        <v>NÃO</v>
      </c>
      <c r="K82" s="414" t="str">
        <f>IF(OR($M$74="NÃO CABE",$M$74="ATENDE"),"SIM","NÃO")</f>
        <v>SIM</v>
      </c>
      <c r="L82" s="412"/>
      <c r="M82" s="414" t="str">
        <f>IF(OR($M$75="ATENDE",$M$75="OK"),"SIM","NÃO")</f>
        <v>NÃO</v>
      </c>
      <c r="N82" s="414" t="str">
        <f>IF(AND(C82="SIM",H82="SIM",J82="SIM",K82="SIM",M82="SIM"),"SIM","NÃO")</f>
        <v>NÃO</v>
      </c>
      <c r="O82" s="391" t="str">
        <f>IF($F$72="NADA A CUMPRIR","OK",IF($F$72="NÃO CABE","NÃO CABE","NÃO CUMPRE"))</f>
        <v>NÃO CUMPRE</v>
      </c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5.95" hidden="1" customHeight="1" thickTop="1" x14ac:dyDescent="0.15">
      <c r="C83" s="21"/>
      <c r="D83" s="21"/>
      <c r="F83" s="5"/>
      <c r="G83" s="5"/>
      <c r="H83" s="5"/>
      <c r="I83" s="5"/>
      <c r="J83" s="5"/>
      <c r="K83" s="5"/>
      <c r="L83" s="5"/>
      <c r="M83" s="2"/>
      <c r="N83" s="5"/>
      <c r="O83" s="255"/>
      <c r="AC83" s="69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Z83" s="11"/>
      <c r="BA83" s="85"/>
      <c r="BB83" s="686"/>
      <c r="BC83" s="687">
        <f>SUM(F30:F32)</f>
        <v>0</v>
      </c>
      <c r="BD83" s="687"/>
      <c r="BE83" s="687"/>
      <c r="BF83" s="688"/>
      <c r="BG83" s="688"/>
      <c r="BH83" s="688"/>
      <c r="BI83" s="688" t="s">
        <v>361</v>
      </c>
      <c r="BJ83" s="689" t="s">
        <v>362</v>
      </c>
      <c r="BK83" s="690" t="s">
        <v>362</v>
      </c>
      <c r="BL83" s="691" t="s">
        <v>363</v>
      </c>
    </row>
    <row r="84" spans="1:64" ht="15.95" hidden="1" customHeight="1" thickBot="1" x14ac:dyDescent="0.2">
      <c r="C84" s="21"/>
      <c r="D84" s="21"/>
      <c r="G84" s="5"/>
      <c r="H84" s="5"/>
      <c r="I84" s="5"/>
      <c r="J84" s="5"/>
      <c r="K84" s="5"/>
      <c r="L84" s="5"/>
      <c r="M84" s="2"/>
      <c r="N84" s="5"/>
      <c r="O84" s="255"/>
      <c r="AC84" s="69"/>
      <c r="AD84" s="70"/>
      <c r="AE84" s="70"/>
      <c r="AF84" s="70"/>
      <c r="AG84" s="69"/>
      <c r="AZ84" s="11"/>
      <c r="BA84" s="85"/>
      <c r="BB84" s="692" t="s">
        <v>364</v>
      </c>
      <c r="BC84" s="693">
        <v>5</v>
      </c>
      <c r="BD84" s="693">
        <v>10</v>
      </c>
      <c r="BE84" s="693">
        <v>15</v>
      </c>
      <c r="BF84" s="693">
        <v>20</v>
      </c>
      <c r="BG84" s="694">
        <v>25</v>
      </c>
      <c r="BH84" s="694" t="s">
        <v>365</v>
      </c>
      <c r="BI84" s="695" t="s">
        <v>366</v>
      </c>
      <c r="BJ84" s="696" t="s">
        <v>367</v>
      </c>
      <c r="BK84" s="697">
        <v>34820</v>
      </c>
      <c r="BL84" s="698">
        <v>34851</v>
      </c>
    </row>
    <row r="85" spans="1:64" ht="15.95" hidden="1" customHeight="1" thickBot="1" x14ac:dyDescent="0.2">
      <c r="B85" s="88" t="s">
        <v>449</v>
      </c>
      <c r="C85" s="89"/>
      <c r="D85" s="97" t="s">
        <v>546</v>
      </c>
      <c r="E85" s="98"/>
      <c r="F85" s="99"/>
      <c r="G85" s="5"/>
      <c r="H85" s="5"/>
      <c r="I85" s="5"/>
      <c r="J85" s="5"/>
      <c r="K85" s="5"/>
      <c r="L85" s="5"/>
      <c r="M85" s="2"/>
      <c r="N85" s="5"/>
      <c r="O85" s="255"/>
      <c r="AC85" s="69"/>
      <c r="AD85" s="70"/>
      <c r="AE85" s="70"/>
      <c r="AF85" s="70"/>
      <c r="AG85" s="69"/>
      <c r="AZ85" s="11"/>
      <c r="BA85" s="85"/>
      <c r="BB85" s="692"/>
      <c r="BC85" s="693"/>
      <c r="BD85" s="693"/>
      <c r="BE85" s="693"/>
      <c r="BF85" s="693"/>
      <c r="BG85" s="694"/>
      <c r="BH85" s="694"/>
      <c r="BI85" s="695"/>
      <c r="BJ85" s="696"/>
      <c r="BK85" s="697"/>
      <c r="BL85" s="698"/>
    </row>
    <row r="86" spans="1:64" ht="15.95" hidden="1" customHeight="1" thickBot="1" x14ac:dyDescent="0.2">
      <c r="B86" s="91" t="s">
        <v>450</v>
      </c>
      <c r="C86" s="90"/>
      <c r="D86" s="90"/>
      <c r="E86" s="90"/>
      <c r="F86" s="92"/>
      <c r="G86" s="5"/>
      <c r="H86" s="5"/>
      <c r="I86" s="5"/>
      <c r="J86" s="5"/>
      <c r="K86" s="5"/>
      <c r="L86" s="5"/>
      <c r="M86" s="2"/>
      <c r="N86" s="5"/>
      <c r="O86" s="255"/>
      <c r="AC86" s="69"/>
      <c r="AD86" s="21"/>
      <c r="AE86" s="21"/>
      <c r="AF86" s="21"/>
      <c r="AZ86" s="11"/>
      <c r="BA86" s="85"/>
      <c r="BB86" s="699"/>
      <c r="BC86" s="700">
        <f>(BC83+F45+F59)/365</f>
        <v>0</v>
      </c>
      <c r="BD86" s="701"/>
      <c r="BE86" s="701"/>
      <c r="BF86" s="701"/>
      <c r="BG86" s="701"/>
      <c r="BH86" s="701"/>
      <c r="BI86" s="702">
        <v>0.45</v>
      </c>
      <c r="BJ86" s="703"/>
      <c r="BK86" s="704"/>
      <c r="BL86" s="705" t="s">
        <v>368</v>
      </c>
    </row>
    <row r="87" spans="1:64" ht="15.95" hidden="1" customHeight="1" x14ac:dyDescent="0.15">
      <c r="B87" s="91" t="s">
        <v>455</v>
      </c>
      <c r="C87" s="90"/>
      <c r="D87" s="90"/>
      <c r="E87" s="90"/>
      <c r="F87" s="92"/>
      <c r="G87" s="5"/>
      <c r="H87" s="5"/>
      <c r="I87" s="5"/>
      <c r="J87" s="5"/>
      <c r="K87" s="5"/>
      <c r="L87" s="5"/>
      <c r="M87" s="2"/>
      <c r="N87" s="5"/>
      <c r="O87" s="255"/>
      <c r="AD87" s="70"/>
      <c r="AE87" s="70"/>
      <c r="AF87" s="70"/>
      <c r="AG87" s="69"/>
      <c r="AZ87" s="11"/>
      <c r="BA87" s="85"/>
      <c r="BB87" s="706" t="s">
        <v>369</v>
      </c>
      <c r="BC87" s="707" t="s">
        <v>370</v>
      </c>
      <c r="BD87" s="708" t="s">
        <v>371</v>
      </c>
      <c r="BE87" s="708" t="s">
        <v>372</v>
      </c>
      <c r="BF87" s="708" t="s">
        <v>373</v>
      </c>
      <c r="BG87" s="708" t="s">
        <v>374</v>
      </c>
      <c r="BH87" s="709" t="s">
        <v>375</v>
      </c>
      <c r="BI87" s="710" t="e">
        <f>#REF!*1.45</f>
        <v>#REF!</v>
      </c>
      <c r="BJ87" s="711">
        <v>80.64</v>
      </c>
      <c r="BK87" s="712">
        <v>100</v>
      </c>
      <c r="BL87" s="713">
        <v>112</v>
      </c>
    </row>
    <row r="88" spans="1:64" ht="15.95" hidden="1" customHeight="1" x14ac:dyDescent="0.15">
      <c r="B88" s="91" t="s">
        <v>467</v>
      </c>
      <c r="C88" s="90"/>
      <c r="D88" s="90"/>
      <c r="E88" s="90"/>
      <c r="F88" s="92"/>
      <c r="G88" s="5"/>
      <c r="H88" s="5"/>
      <c r="I88" s="5"/>
      <c r="J88" s="5"/>
      <c r="K88" s="5"/>
      <c r="L88" s="5"/>
      <c r="M88" s="2"/>
      <c r="N88" s="5"/>
      <c r="O88" s="255"/>
      <c r="AD88" s="70"/>
      <c r="AE88" s="70"/>
      <c r="AF88" s="70"/>
      <c r="AG88" s="69"/>
      <c r="AZ88" s="11"/>
      <c r="BA88" s="85"/>
      <c r="BB88" s="714" t="s">
        <v>376</v>
      </c>
      <c r="BC88" s="715" t="s">
        <v>370</v>
      </c>
      <c r="BD88" s="716" t="s">
        <v>371</v>
      </c>
      <c r="BE88" s="716" t="s">
        <v>372</v>
      </c>
      <c r="BF88" s="716" t="s">
        <v>373</v>
      </c>
      <c r="BG88" s="716" t="s">
        <v>374</v>
      </c>
      <c r="BH88" s="717" t="s">
        <v>375</v>
      </c>
      <c r="BI88" s="718" t="e">
        <f>#REF!*1.45</f>
        <v>#REF!</v>
      </c>
      <c r="BJ88" s="719">
        <v>90.32</v>
      </c>
      <c r="BK88" s="720">
        <v>100</v>
      </c>
      <c r="BL88" s="721">
        <v>125.44</v>
      </c>
    </row>
    <row r="89" spans="1:64" ht="15.95" hidden="1" customHeight="1" x14ac:dyDescent="0.15">
      <c r="B89" s="91" t="s">
        <v>468</v>
      </c>
      <c r="C89" s="90"/>
      <c r="D89" s="90"/>
      <c r="E89" s="90"/>
      <c r="F89" s="92"/>
      <c r="G89" s="5"/>
      <c r="H89" s="5"/>
      <c r="I89" s="5"/>
      <c r="J89" s="5"/>
      <c r="K89" s="5"/>
      <c r="L89" s="5"/>
      <c r="M89" s="2"/>
      <c r="N89" s="5"/>
      <c r="O89" s="255"/>
      <c r="AD89" s="70"/>
      <c r="AE89" s="70"/>
      <c r="AF89" s="70"/>
      <c r="AG89" s="69"/>
      <c r="AZ89" s="11"/>
      <c r="BA89" s="85"/>
      <c r="BB89" s="714" t="s">
        <v>377</v>
      </c>
      <c r="BC89" s="715" t="s">
        <v>371</v>
      </c>
      <c r="BD89" s="716" t="s">
        <v>372</v>
      </c>
      <c r="BE89" s="716" t="s">
        <v>373</v>
      </c>
      <c r="BF89" s="716" t="s">
        <v>374</v>
      </c>
      <c r="BG89" s="716" t="s">
        <v>375</v>
      </c>
      <c r="BH89" s="717" t="s">
        <v>378</v>
      </c>
      <c r="BI89" s="718" t="e">
        <f>#REF!*1.45</f>
        <v>#REF!</v>
      </c>
      <c r="BJ89" s="719">
        <v>101.15</v>
      </c>
      <c r="BK89" s="720">
        <v>101.15</v>
      </c>
      <c r="BL89" s="721">
        <v>140.4</v>
      </c>
    </row>
    <row r="90" spans="1:64" ht="15.95" hidden="1" customHeight="1" x14ac:dyDescent="0.15">
      <c r="B90" s="91" t="s">
        <v>470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D90" s="70"/>
      <c r="AE90" s="70"/>
      <c r="AF90" s="70"/>
      <c r="AG90" s="69"/>
      <c r="AZ90" s="11"/>
      <c r="BA90" s="85"/>
      <c r="BB90" s="714" t="s">
        <v>379</v>
      </c>
      <c r="BC90" s="715" t="s">
        <v>371</v>
      </c>
      <c r="BD90" s="716" t="s">
        <v>372</v>
      </c>
      <c r="BE90" s="716" t="s">
        <v>373</v>
      </c>
      <c r="BF90" s="716" t="s">
        <v>374</v>
      </c>
      <c r="BG90" s="716" t="s">
        <v>375</v>
      </c>
      <c r="BH90" s="717" t="s">
        <v>378</v>
      </c>
      <c r="BI90" s="718" t="e">
        <f>#REF!*1.45</f>
        <v>#REF!</v>
      </c>
      <c r="BJ90" s="719">
        <v>113.29</v>
      </c>
      <c r="BK90" s="720">
        <v>113.29</v>
      </c>
      <c r="BL90" s="721">
        <v>157.35</v>
      </c>
    </row>
    <row r="91" spans="1:64" ht="15.95" hidden="1" customHeight="1" x14ac:dyDescent="0.15">
      <c r="B91" s="91" t="s">
        <v>471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14" t="s">
        <v>380</v>
      </c>
      <c r="BC91" s="715" t="s">
        <v>372</v>
      </c>
      <c r="BD91" s="716" t="s">
        <v>373</v>
      </c>
      <c r="BE91" s="716" t="s">
        <v>374</v>
      </c>
      <c r="BF91" s="716" t="s">
        <v>375</v>
      </c>
      <c r="BG91" s="716" t="s">
        <v>378</v>
      </c>
      <c r="BH91" s="717" t="s">
        <v>381</v>
      </c>
      <c r="BI91" s="718" t="e">
        <f>#REF!*1.45</f>
        <v>#REF!</v>
      </c>
      <c r="BJ91" s="719">
        <v>126.89</v>
      </c>
      <c r="BK91" s="720">
        <v>129.88999999999999</v>
      </c>
      <c r="BL91" s="721">
        <v>176.23</v>
      </c>
    </row>
    <row r="92" spans="1:64" ht="15.95" hidden="1" customHeight="1" x14ac:dyDescent="0.15">
      <c r="B92" s="93" t="s">
        <v>472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328</v>
      </c>
      <c r="BC92" s="715" t="s">
        <v>372</v>
      </c>
      <c r="BD92" s="716" t="s">
        <v>373</v>
      </c>
      <c r="BE92" s="716" t="s">
        <v>374</v>
      </c>
      <c r="BF92" s="716" t="s">
        <v>375</v>
      </c>
      <c r="BG92" s="716" t="s">
        <v>378</v>
      </c>
      <c r="BH92" s="717" t="s">
        <v>381</v>
      </c>
      <c r="BI92" s="718">
        <f>A125*1.45</f>
        <v>0</v>
      </c>
      <c r="BJ92" s="719">
        <v>80.64</v>
      </c>
      <c r="BK92" s="720">
        <v>100</v>
      </c>
      <c r="BL92" s="721">
        <v>112</v>
      </c>
    </row>
    <row r="93" spans="1:64" ht="15.95" hidden="1" customHeight="1" x14ac:dyDescent="0.15">
      <c r="B93" s="93" t="s">
        <v>487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382</v>
      </c>
      <c r="BC93" s="715" t="s">
        <v>372</v>
      </c>
      <c r="BD93" s="716" t="s">
        <v>373</v>
      </c>
      <c r="BE93" s="716" t="s">
        <v>374</v>
      </c>
      <c r="BF93" s="716" t="s">
        <v>375</v>
      </c>
      <c r="BG93" s="716" t="s">
        <v>378</v>
      </c>
      <c r="BH93" s="717" t="s">
        <v>381</v>
      </c>
      <c r="BI93" s="718">
        <f>A126*1.45</f>
        <v>0</v>
      </c>
      <c r="BJ93" s="719">
        <v>90.32</v>
      </c>
      <c r="BK93" s="720">
        <v>100</v>
      </c>
      <c r="BL93" s="721">
        <v>125.44</v>
      </c>
    </row>
    <row r="94" spans="1:64" ht="15.95" hidden="1" customHeight="1" thickBot="1" x14ac:dyDescent="0.2">
      <c r="B94" s="94" t="s">
        <v>484</v>
      </c>
      <c r="C94" s="95"/>
      <c r="D94" s="95"/>
      <c r="E94" s="95"/>
      <c r="F94" s="96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383</v>
      </c>
      <c r="BC94" s="715" t="s">
        <v>372</v>
      </c>
      <c r="BD94" s="716" t="s">
        <v>373</v>
      </c>
      <c r="BE94" s="716" t="s">
        <v>374</v>
      </c>
      <c r="BF94" s="716" t="s">
        <v>375</v>
      </c>
      <c r="BG94" s="716" t="s">
        <v>378</v>
      </c>
      <c r="BH94" s="717" t="s">
        <v>381</v>
      </c>
      <c r="BI94" s="718">
        <f>A127*1.45</f>
        <v>0</v>
      </c>
      <c r="BJ94" s="719">
        <v>101.15</v>
      </c>
      <c r="BK94" s="720">
        <v>101.15</v>
      </c>
      <c r="BL94" s="721">
        <v>140.4</v>
      </c>
    </row>
    <row r="95" spans="1:64" ht="15.95" hidden="1" customHeight="1" x14ac:dyDescent="0.15">
      <c r="B95" s="30"/>
      <c r="C95" s="5"/>
      <c r="D95" s="5"/>
      <c r="E95" s="5"/>
      <c r="F95" s="5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384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>
        <f>A128*1.45</f>
        <v>1.45</v>
      </c>
      <c r="BJ95" s="719">
        <v>113.29</v>
      </c>
      <c r="BK95" s="720">
        <v>113.29</v>
      </c>
      <c r="BL95" s="721">
        <v>157.35</v>
      </c>
    </row>
    <row r="96" spans="1:64" ht="13.5" hidden="1" x14ac:dyDescent="0.15">
      <c r="B96" s="30"/>
      <c r="C96" s="5"/>
      <c r="D96" s="5"/>
      <c r="E96" s="5"/>
      <c r="F96" s="5"/>
      <c r="G96" s="5"/>
      <c r="H96" s="5"/>
      <c r="I96" s="5"/>
      <c r="J96" s="74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385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A128*1.45</f>
        <v>1.45</v>
      </c>
      <c r="BJ96" s="719">
        <v>126.89</v>
      </c>
      <c r="BK96" s="720">
        <v>126.89</v>
      </c>
      <c r="BL96" s="721">
        <v>176.23</v>
      </c>
    </row>
    <row r="97" spans="2:64" ht="13.5" hidden="1" x14ac:dyDescent="0.15">
      <c r="B97" s="1849" t="s">
        <v>508</v>
      </c>
      <c r="C97" s="1849"/>
      <c r="D97" s="1849"/>
      <c r="E97" s="1849"/>
      <c r="H97" s="5"/>
      <c r="I97" s="37"/>
      <c r="J97" s="5"/>
      <c r="K97" s="27"/>
      <c r="L97" s="6"/>
      <c r="M97" s="27"/>
      <c r="N97" s="60"/>
      <c r="O97" s="255"/>
      <c r="AD97" s="70"/>
      <c r="AE97" s="70"/>
      <c r="AF97" s="70"/>
      <c r="AG97" s="69"/>
      <c r="AZ97" s="11"/>
      <c r="BA97" s="85"/>
      <c r="BB97" s="714" t="s">
        <v>386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A129*1.45</f>
        <v>2.9</v>
      </c>
      <c r="BJ97" s="719">
        <v>126.89</v>
      </c>
      <c r="BK97" s="720">
        <v>126.89</v>
      </c>
      <c r="BL97" s="721">
        <v>176.23</v>
      </c>
    </row>
    <row r="98" spans="2:64" hidden="1" thickBot="1" x14ac:dyDescent="0.2">
      <c r="B98" s="34" t="s">
        <v>463</v>
      </c>
      <c r="C98" s="17"/>
      <c r="D98" s="21"/>
      <c r="E98" s="36"/>
      <c r="F98" s="5"/>
      <c r="G98" s="28"/>
      <c r="H98" s="5"/>
      <c r="I98" s="17" t="s">
        <v>463</v>
      </c>
      <c r="J98" s="5" t="str">
        <f>IF(E2=B88,H99,IF(E2=B90,H99,IF(E2=B92,H99,IF(E2=B93,H99,"NÃO CABE"))))</f>
        <v>NÃO CABE</v>
      </c>
      <c r="K98" s="27"/>
      <c r="L98" s="6" t="s">
        <v>510</v>
      </c>
      <c r="M98" s="27"/>
      <c r="N98" s="60"/>
      <c r="O98" s="255"/>
      <c r="X98" s="11"/>
      <c r="Y98" s="11"/>
      <c r="Z98" s="11"/>
      <c r="AA98" s="11"/>
      <c r="AB98" s="11"/>
      <c r="AC98" s="69"/>
      <c r="AD98" s="70"/>
      <c r="AE98" s="70"/>
      <c r="AF98" s="70"/>
      <c r="AG98" s="69"/>
      <c r="AZ98" s="11"/>
      <c r="BA98" s="85"/>
      <c r="BB98" s="714" t="s">
        <v>387</v>
      </c>
      <c r="BC98" s="715" t="s">
        <v>373</v>
      </c>
      <c r="BD98" s="716" t="s">
        <v>374</v>
      </c>
      <c r="BE98" s="716" t="s">
        <v>375</v>
      </c>
      <c r="BF98" s="716" t="s">
        <v>378</v>
      </c>
      <c r="BG98" s="716" t="s">
        <v>381</v>
      </c>
      <c r="BH98" s="717" t="s">
        <v>388</v>
      </c>
      <c r="BI98" s="718" t="e">
        <f>A130*1.45</f>
        <v>#VALUE!</v>
      </c>
      <c r="BJ98" s="719">
        <v>142.12</v>
      </c>
      <c r="BK98" s="720">
        <v>142.12</v>
      </c>
      <c r="BL98" s="721">
        <v>197.38</v>
      </c>
    </row>
    <row r="99" spans="2:64" hidden="1" thickBot="1" x14ac:dyDescent="0.2">
      <c r="B99" s="34" t="s">
        <v>485</v>
      </c>
      <c r="C99" s="17"/>
      <c r="D99" s="16"/>
      <c r="E99" s="57" t="str">
        <f>IF($F$99="NÃO CABE","NÃO CABE",IF($G$10="X",$F$99/30,$F$99/35))</f>
        <v>NÃO CABE</v>
      </c>
      <c r="F99" s="10" t="str">
        <f>IF(E2="VOLUNTÁRIA ESPECIAL","NÃO CABE",IF(E2="VOLUNTÁRIA INTEGRAL","NÃO CABE",IF(E2="COMPULSÓRIA INTEGRAL","NÃO CABE",IF(E2="INVALIDEZ INTEGRAL","NÃO CABE",ROUNDDOWN(F61/365,0)))))</f>
        <v>NÃO CABE</v>
      </c>
      <c r="G99" s="28"/>
      <c r="H99" s="14">
        <f>IF(E99&gt;1,1,E99)</f>
        <v>1</v>
      </c>
      <c r="I99" s="17" t="s">
        <v>485</v>
      </c>
      <c r="J99" s="5" t="str">
        <f>IF($E$2=$B$88,H99,IF($E$2=$B$90,H99,IF($E$2=$B$92,H99,"NÃO CABE")))</f>
        <v>NÃO CABE</v>
      </c>
      <c r="K99" s="27"/>
      <c r="L99" s="57" t="str">
        <f>IF($F$99="NÃO CABE","NÃO CABE",IF($G$10="X",$F$61/10950,$F$61/12775))</f>
        <v>NÃO CABE</v>
      </c>
      <c r="M99" s="14">
        <f>IF(L99&gt;1,1,L99)</f>
        <v>1</v>
      </c>
      <c r="N99" s="5" t="str">
        <f>IF($E$2=$B$88,M99,IF($E$2=$B$90,M99,IF($E$2=$B$92,M99,"NÃO CABE")))</f>
        <v>NÃO CABE</v>
      </c>
      <c r="O99" s="255"/>
      <c r="X99" s="11"/>
      <c r="Y99" s="11"/>
      <c r="Z99" s="11"/>
      <c r="AA99" s="11"/>
      <c r="AB99" s="11"/>
      <c r="AC99" s="69"/>
      <c r="AD99" s="70"/>
      <c r="AE99" s="70"/>
      <c r="AF99" s="70"/>
      <c r="AG99" s="69"/>
      <c r="AZ99" s="11"/>
      <c r="BA99" s="85"/>
      <c r="BB99" s="714" t="s">
        <v>389</v>
      </c>
      <c r="BC99" s="715" t="s">
        <v>373</v>
      </c>
      <c r="BD99" s="716" t="s">
        <v>374</v>
      </c>
      <c r="BE99" s="716" t="s">
        <v>375</v>
      </c>
      <c r="BF99" s="716" t="s">
        <v>378</v>
      </c>
      <c r="BG99" s="716" t="s">
        <v>381</v>
      </c>
      <c r="BH99" s="717" t="s">
        <v>388</v>
      </c>
      <c r="BI99" s="718">
        <f>A132*1.45</f>
        <v>5.8</v>
      </c>
      <c r="BJ99" s="719">
        <v>90.32</v>
      </c>
      <c r="BK99" s="720">
        <v>100</v>
      </c>
      <c r="BL99" s="721">
        <v>125.44</v>
      </c>
    </row>
    <row r="100" spans="2:64" hidden="1" thickBot="1" x14ac:dyDescent="0.2">
      <c r="B100" s="34" t="s">
        <v>476</v>
      </c>
      <c r="C100" s="17"/>
      <c r="D100" s="16"/>
      <c r="E100" s="58" t="str">
        <f>IF(E2=B93,IF(C65&gt;0,"TEMPO A CUMPRIR",IF(F100=1,75%,IF(F100=2,80%,IF(F100=3,85%,IF(F100=4,90%,IF(F100=5,95%,IF(F100&gt;=6,100%,70%))))))),"NÃO CABE")</f>
        <v>NÃO CABE</v>
      </c>
      <c r="F100" s="10">
        <f>IF(G10="X",ROUNDDOWN((F61-(25*365+E43))/365,0),ROUNDDOWN((F61-(30*365+E43))/365,0))</f>
        <v>-30</v>
      </c>
      <c r="G100" s="28"/>
      <c r="I100" s="17" t="s">
        <v>476</v>
      </c>
      <c r="J100" s="5" t="str">
        <f>IF(E2=B93,E100,"NÃO CABE")</f>
        <v>NÃO CABE</v>
      </c>
      <c r="K100" s="27"/>
      <c r="L100" s="65"/>
      <c r="M100" s="66">
        <f>O10</f>
        <v>0</v>
      </c>
      <c r="N100" s="60">
        <v>38037</v>
      </c>
      <c r="O100" s="255"/>
      <c r="X100" s="11"/>
      <c r="Y100" s="11"/>
      <c r="Z100" s="11"/>
      <c r="AA100" s="11"/>
      <c r="AB100" s="11"/>
      <c r="AC100" s="69"/>
      <c r="AD100" s="70"/>
      <c r="AE100" s="70"/>
      <c r="AF100" s="70"/>
      <c r="AG100" s="69"/>
      <c r="AZ100" s="11"/>
      <c r="BA100" s="85"/>
      <c r="BB100" s="714" t="s">
        <v>390</v>
      </c>
      <c r="BC100" s="715" t="s">
        <v>373</v>
      </c>
      <c r="BD100" s="716" t="s">
        <v>374</v>
      </c>
      <c r="BE100" s="716" t="s">
        <v>375</v>
      </c>
      <c r="BF100" s="716" t="s">
        <v>378</v>
      </c>
      <c r="BG100" s="716" t="s">
        <v>381</v>
      </c>
      <c r="BH100" s="717" t="s">
        <v>388</v>
      </c>
      <c r="BI100" s="718"/>
      <c r="BJ100" s="719"/>
      <c r="BK100" s="720"/>
      <c r="BL100" s="721"/>
    </row>
    <row r="101" spans="2:64" hidden="1" thickBot="1" x14ac:dyDescent="0.2">
      <c r="B101" s="35" t="s">
        <v>464</v>
      </c>
      <c r="C101" s="33"/>
      <c r="D101" s="16"/>
      <c r="E101" s="36" t="s">
        <v>457</v>
      </c>
      <c r="F101" s="5">
        <f>IF($D$12="X",50-$N$11,55-$N$11)</f>
        <v>55</v>
      </c>
      <c r="G101" s="28"/>
      <c r="H101" s="59" t="str">
        <f>IF($G$10="X",IF($O$9&gt;=17532,IF($O$10&gt;=38718,1-($F$101*0.05),1-($F$101*0.035)),"NÃO CABE"),IF($O$9&gt;=19359,IF($O$10&gt;=38718,1-($F$102*0.05),1-($F$102*0.035)),"NÃO CABE"))</f>
        <v>NÃO CABE</v>
      </c>
      <c r="I101" s="33" t="s">
        <v>464</v>
      </c>
      <c r="J101" s="61" t="str">
        <f>IF(E2=B94,H102,"NÃO CABE")</f>
        <v>NÃO CABE</v>
      </c>
      <c r="K101" s="27"/>
      <c r="L101" s="6"/>
      <c r="M101" s="27"/>
      <c r="N101" s="60"/>
      <c r="O101" s="255"/>
      <c r="X101" s="11"/>
      <c r="Y101" s="11"/>
      <c r="Z101" s="11"/>
      <c r="AA101" s="11"/>
      <c r="AB101" s="11"/>
      <c r="AC101" s="69"/>
      <c r="AD101" s="70"/>
      <c r="AE101" s="70"/>
      <c r="AF101" s="70"/>
      <c r="AG101" s="69"/>
      <c r="AX101" s="11"/>
      <c r="AY101" s="11"/>
      <c r="AZ101" s="11"/>
      <c r="BA101" s="85"/>
      <c r="BB101" s="714" t="s">
        <v>391</v>
      </c>
      <c r="BC101" s="715" t="s">
        <v>373</v>
      </c>
      <c r="BD101" s="716" t="s">
        <v>374</v>
      </c>
      <c r="BE101" s="716" t="s">
        <v>375</v>
      </c>
      <c r="BF101" s="716" t="s">
        <v>378</v>
      </c>
      <c r="BG101" s="716" t="s">
        <v>381</v>
      </c>
      <c r="BH101" s="717" t="s">
        <v>388</v>
      </c>
      <c r="BI101" s="718" t="e">
        <f>A134*1.45</f>
        <v>#VALUE!</v>
      </c>
      <c r="BJ101" s="719">
        <v>101.15</v>
      </c>
      <c r="BK101" s="720">
        <v>101.15</v>
      </c>
      <c r="BL101" s="721">
        <v>140.4</v>
      </c>
    </row>
    <row r="102" spans="2:64" ht="13.5" hidden="1" x14ac:dyDescent="0.15">
      <c r="B102" s="39">
        <v>38717</v>
      </c>
      <c r="C102" s="11">
        <v>38717</v>
      </c>
      <c r="D102" s="16"/>
      <c r="E102" s="36" t="s">
        <v>456</v>
      </c>
      <c r="F102" s="5">
        <f>IF($D$12="X",55-$N$11,60-$N$11)</f>
        <v>60</v>
      </c>
      <c r="G102" s="28"/>
      <c r="H102" s="14">
        <f>IF(H101="NÃO CABE",0,IF(H101&gt;1,1,H101))</f>
        <v>0</v>
      </c>
      <c r="I102" s="18"/>
      <c r="J102" s="5"/>
      <c r="K102" s="27"/>
      <c r="L102" s="6"/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S102" s="69"/>
      <c r="AX102" s="11"/>
      <c r="AY102" s="11"/>
      <c r="AZ102" s="11"/>
      <c r="BA102" s="85"/>
      <c r="BB102" s="714" t="s">
        <v>392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/>
      <c r="BJ102" s="719"/>
      <c r="BK102" s="720"/>
      <c r="BL102" s="721"/>
    </row>
    <row r="103" spans="2:64" ht="13.5" hidden="1" x14ac:dyDescent="0.15">
      <c r="B103" s="39">
        <v>38718</v>
      </c>
      <c r="C103" s="11">
        <v>38718</v>
      </c>
      <c r="D103" s="8"/>
      <c r="E103" s="63"/>
      <c r="F103" s="6"/>
      <c r="G103" s="6"/>
      <c r="H103" s="6"/>
      <c r="I103" s="18"/>
      <c r="J103" s="9"/>
      <c r="K103" s="5"/>
      <c r="L103" s="6"/>
      <c r="M103" s="10"/>
      <c r="N103" s="11"/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X103" s="11"/>
      <c r="AY103" s="11"/>
      <c r="AZ103" s="11"/>
      <c r="BA103" s="85"/>
      <c r="BB103" s="714" t="s">
        <v>393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A135*1.45</f>
        <v>8.6999999999999993</v>
      </c>
      <c r="BJ103" s="719">
        <v>113.29</v>
      </c>
      <c r="BK103" s="720">
        <v>113.29</v>
      </c>
      <c r="BL103" s="721">
        <v>157.35</v>
      </c>
    </row>
    <row r="104" spans="2:64" ht="13.5" hidden="1" x14ac:dyDescent="0.15">
      <c r="B104" s="62"/>
      <c r="C104" s="38">
        <v>38097</v>
      </c>
      <c r="D104" s="8"/>
      <c r="E104" s="5"/>
      <c r="F104" s="6"/>
      <c r="G104" s="6"/>
      <c r="H104" s="6"/>
      <c r="I104" s="6"/>
      <c r="J104" s="9"/>
      <c r="K104" s="5"/>
      <c r="L104" s="6"/>
      <c r="M104" s="10"/>
      <c r="N104" s="11"/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X104" s="11"/>
      <c r="AY104" s="11"/>
      <c r="AZ104" s="11"/>
      <c r="BA104" s="85"/>
      <c r="BB104" s="714" t="s">
        <v>394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>
        <f>A136*1.45</f>
        <v>10.15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6"/>
      <c r="C105" s="38"/>
      <c r="D105" s="8"/>
      <c r="E105" s="5"/>
      <c r="F105" s="6"/>
      <c r="G105" s="6"/>
      <c r="H105" s="6"/>
      <c r="I105" s="6"/>
      <c r="J105" s="9"/>
      <c r="K105" s="5"/>
      <c r="L105" s="6"/>
      <c r="M105" s="10"/>
      <c r="N105" s="11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395</v>
      </c>
      <c r="BC105" s="715" t="s">
        <v>396</v>
      </c>
      <c r="BD105" s="716" t="s">
        <v>397</v>
      </c>
      <c r="BE105" s="716" t="s">
        <v>397</v>
      </c>
      <c r="BF105" s="716" t="s">
        <v>398</v>
      </c>
      <c r="BG105" s="716" t="s">
        <v>398</v>
      </c>
      <c r="BH105" s="716" t="s">
        <v>398</v>
      </c>
      <c r="BI105" s="718"/>
      <c r="BJ105" s="719"/>
      <c r="BK105" s="720"/>
      <c r="BL105" s="721"/>
    </row>
    <row r="106" spans="2:64" ht="13.5" hidden="1" x14ac:dyDescent="0.15">
      <c r="B106" s="1849" t="s">
        <v>477</v>
      </c>
      <c r="C106" s="1849"/>
      <c r="D106" s="1849"/>
      <c r="E106" s="1849"/>
      <c r="F106" s="1849"/>
      <c r="G106" s="1849"/>
      <c r="H106" s="1849"/>
      <c r="I106" s="1849"/>
      <c r="J106" s="1849"/>
      <c r="K106" s="1849" t="s">
        <v>477</v>
      </c>
      <c r="L106" s="1849"/>
      <c r="M106" s="1849"/>
      <c r="N106" s="1849"/>
      <c r="O106" s="1849"/>
      <c r="P106" s="1849"/>
      <c r="Q106" s="1849"/>
      <c r="R106" s="1849"/>
      <c r="S106" s="1849"/>
      <c r="T106" s="11"/>
      <c r="U106" s="11"/>
      <c r="V106" s="11"/>
      <c r="W106" s="11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X106" s="11"/>
      <c r="AY106" s="11"/>
      <c r="AZ106" s="11"/>
      <c r="BA106" s="85"/>
      <c r="BB106" s="714" t="s">
        <v>399</v>
      </c>
      <c r="BC106" s="715" t="s">
        <v>396</v>
      </c>
      <c r="BD106" s="716" t="s">
        <v>397</v>
      </c>
      <c r="BE106" s="716" t="s">
        <v>397</v>
      </c>
      <c r="BF106" s="716" t="s">
        <v>398</v>
      </c>
      <c r="BG106" s="716" t="s">
        <v>398</v>
      </c>
      <c r="BH106" s="716" t="s">
        <v>398</v>
      </c>
      <c r="BI106" s="718">
        <f>A139*1.45</f>
        <v>13.049999999999999</v>
      </c>
      <c r="BJ106" s="719">
        <v>126.89</v>
      </c>
      <c r="BK106" s="720">
        <v>126.89</v>
      </c>
      <c r="BL106" s="721">
        <v>176.23</v>
      </c>
    </row>
    <row r="107" spans="2:64" ht="13.5" hidden="1" x14ac:dyDescent="0.15">
      <c r="B107" s="19" t="s">
        <v>480</v>
      </c>
      <c r="C107" s="8"/>
      <c r="D107" s="8"/>
      <c r="E107" s="5"/>
      <c r="F107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07" s="6"/>
      <c r="H107" s="6"/>
      <c r="I107" s="6"/>
      <c r="J107" s="9"/>
      <c r="K107" s="5"/>
      <c r="L107" s="41" t="s">
        <v>450</v>
      </c>
      <c r="M107" s="10"/>
      <c r="N107" s="11"/>
      <c r="O107" s="255" t="str">
        <f>IF(E2=L107,IF(K2=O3,F107,IF(K2=O4,F109,IF(K2=O6,F107,IF(K2=O7,F108,IF(K2=O2,"NADA A CRITICAR","REANALISAR FUNDAMENTAÇÃO E/OU MODALIDADE"))))))</f>
        <v>NÃO ATENDE LIMITE MÍNIMO DE IDADE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400</v>
      </c>
      <c r="BC107" s="715" t="s">
        <v>396</v>
      </c>
      <c r="BD107" s="716" t="s">
        <v>397</v>
      </c>
      <c r="BE107" s="716" t="s">
        <v>397</v>
      </c>
      <c r="BF107" s="716" t="s">
        <v>398</v>
      </c>
      <c r="BG107" s="716" t="s">
        <v>398</v>
      </c>
      <c r="BH107" s="716" t="s">
        <v>398</v>
      </c>
      <c r="BI107" s="718"/>
      <c r="BJ107" s="719"/>
      <c r="BK107" s="720"/>
      <c r="BL107" s="721"/>
    </row>
    <row r="108" spans="2:64" ht="13.5" hidden="1" x14ac:dyDescent="0.15">
      <c r="B108" s="6" t="s">
        <v>481</v>
      </c>
      <c r="D108" s="10"/>
      <c r="E108" s="11"/>
      <c r="F108" s="6" t="str">
        <f>IF(G10="X",IF(O9&gt;=I121,"ATENDE LIMITE MÍNIMO DE IDADE","NÃO ATENDE LIMITE MÍNIMO DE IDADE"),IF(O9&gt;=J121,"ATENDE LIMITE MÍNIMO DE IDADE","NÃO ATENDE LIMITE MÍNIMO DE IDADE"))</f>
        <v>NÃO ATENDE LIMITE MÍNIMO DE IDADE</v>
      </c>
      <c r="G108" s="6"/>
      <c r="H108" s="6"/>
      <c r="I108" s="6"/>
      <c r="J108" s="9"/>
      <c r="L108" s="41" t="s">
        <v>455</v>
      </c>
      <c r="O108" s="255" t="str">
        <f>IF(E2=L108,IF(K2=O3,F110,IF(K2=O4,F113,IF(K2=O6,F110,IF(K2=O2,"NADA A CRITICAR","REANALISAR FUNDAMENTAÇÃO E/OU MODALIDADE")))),"REANALISAR FUNDAMENTAÇÃO E/OU MODALIDADE")</f>
        <v>REANALISAR FUNDAMENTAÇÃO E/OU MODALIDADE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401</v>
      </c>
      <c r="BC108" s="715" t="s">
        <v>396</v>
      </c>
      <c r="BD108" s="716" t="s">
        <v>397</v>
      </c>
      <c r="BE108" s="716" t="s">
        <v>397</v>
      </c>
      <c r="BF108" s="716" t="s">
        <v>398</v>
      </c>
      <c r="BG108" s="716" t="s">
        <v>398</v>
      </c>
      <c r="BH108" s="716" t="s">
        <v>398</v>
      </c>
      <c r="BI108" s="718">
        <f>A141*1.45</f>
        <v>15.95</v>
      </c>
      <c r="BJ108" s="719">
        <v>142.12</v>
      </c>
      <c r="BK108" s="720">
        <v>142.12</v>
      </c>
      <c r="BL108" s="721">
        <v>197.38</v>
      </c>
    </row>
    <row r="109" spans="2:64" ht="13.5" hidden="1" x14ac:dyDescent="0.15">
      <c r="B109" s="20" t="s">
        <v>482</v>
      </c>
      <c r="F109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09" s="5"/>
      <c r="L109" s="41" t="s">
        <v>467</v>
      </c>
      <c r="O109" s="254" t="str">
        <f>IF(E2=L109,IF(K2=O3,F111,IF(K2=O2,F111,"REANALISAR FUNDAMENTAÇÃO E/OU MODALIDADE")),"REANALISAR FUNDAMENTAÇÃO E/OU MODALIDADE")</f>
        <v>REANALISAR FUNDAMENTAÇÃO E/OU MODALIDADE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22" t="s">
        <v>402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6" t="s">
        <v>478</v>
      </c>
      <c r="C110" s="8"/>
      <c r="D110" s="8"/>
      <c r="E110" s="5"/>
      <c r="F110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0" s="6"/>
      <c r="H110" s="6"/>
      <c r="I110" s="6"/>
      <c r="J110" s="9"/>
      <c r="K110" s="5"/>
      <c r="L110" s="11" t="s">
        <v>487</v>
      </c>
      <c r="M110" s="10"/>
      <c r="N110" s="11"/>
      <c r="O110" s="255" t="str">
        <f>IF(E2=L110,IF(K2=O4,F112,IF(K2=O2,"NADA A CRITICAR","REANALISAR FUNDAMENTAÇÃO E/OU MODALIDADE")),"REANALISAR FUNDAMENTAÇÃO E/OU MODALIDADE")</f>
        <v>REANALISAR FUNDAMENTAÇÃO E/OU MODALIDADE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403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18.849999999999998</v>
      </c>
      <c r="BJ110" s="719">
        <v>159.16999999999999</v>
      </c>
      <c r="BK110" s="720">
        <v>159.16999999999999</v>
      </c>
      <c r="BL110" s="721">
        <v>221.06</v>
      </c>
    </row>
    <row r="111" spans="2:64" ht="13.5" hidden="1" x14ac:dyDescent="0.15">
      <c r="B111" s="6" t="s">
        <v>479</v>
      </c>
      <c r="C111" s="8"/>
      <c r="D111" s="8"/>
      <c r="E111" s="5"/>
      <c r="F111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2" t="s">
        <v>484</v>
      </c>
      <c r="M111" s="10"/>
      <c r="N111" s="11"/>
      <c r="O111" s="255" t="str">
        <f>IF(E2=L111,IF(K2=O5,F109,"REANALISAR FUNDAMENTAÇÃO E/OU MODALIDADE"),"REANALISAR FUNDAMENTAÇÃO E/OU MODALIDADE")</f>
        <v>REANALISAR FUNDAMENTAÇÃO E/OU MODALIDADE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404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>
        <f>A144*1.45</f>
        <v>20.3</v>
      </c>
      <c r="BJ111" s="719">
        <v>101.15</v>
      </c>
      <c r="BK111" s="720">
        <v>101.15</v>
      </c>
      <c r="BL111" s="721">
        <v>140.4</v>
      </c>
    </row>
    <row r="112" spans="2:64" hidden="1" x14ac:dyDescent="0.15">
      <c r="B112" s="20" t="s">
        <v>483</v>
      </c>
      <c r="C112" s="43"/>
      <c r="D112" s="43"/>
      <c r="E112" s="44"/>
      <c r="F112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2" s="44"/>
      <c r="H112" s="44"/>
      <c r="I112" s="44"/>
      <c r="J112" s="44"/>
      <c r="K112" s="45"/>
      <c r="L112" s="46" t="s">
        <v>488</v>
      </c>
      <c r="M112" s="46"/>
      <c r="N112" s="47"/>
      <c r="O112" s="255" t="str">
        <f>IF($K$2=$O$2,IF($E$2=$B$89,$F$114,IF(E2=$B$90,$F$114,IF($E$2=$B$91,"EX OFFICIO",IF($E$2=$B$92,"EX OFFICIO","REANALISAR FUNDAMENTAÇÃO E/OU MODALIDADE")))),IF($K$2=$O$3,IF($E$2=$B$89,$F$114,IF($E$2=$B$90,$F$114,IF($E$2=$B$91,"EX OFFICIO",IF($E$2=$B$92,"EX OFFICIO","REANALISAR FUNDAMENTAÇÃO E/OU MODADALIDADE"))))))</f>
        <v>REANALISAR FUNDAMENTAÇÃO E/OU MODADALIDADE</v>
      </c>
      <c r="P112" s="3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405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/>
      <c r="BJ112" s="719"/>
      <c r="BK112" s="720"/>
      <c r="BL112" s="721"/>
    </row>
    <row r="113" spans="1:64" ht="13.5" hidden="1" x14ac:dyDescent="0.15">
      <c r="B113" s="20" t="s">
        <v>486</v>
      </c>
      <c r="C113" s="43"/>
      <c r="D113" s="43"/>
      <c r="E113" s="44"/>
      <c r="F113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3" s="44"/>
      <c r="H113" s="44"/>
      <c r="I113" s="44"/>
      <c r="J113" s="44"/>
      <c r="K113" s="46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3" t="s">
        <v>406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1:64" ht="13.5" hidden="1" x14ac:dyDescent="0.15">
      <c r="B114" s="44" t="s">
        <v>503</v>
      </c>
      <c r="C114" s="43"/>
      <c r="D114" s="43"/>
      <c r="E114" s="44"/>
      <c r="F114" s="44" t="str">
        <f>IF($N$11&gt;=70,"ATENDE LIMITE MÍNIMO DE IDADE","NÃO ATENDE LIMITE MÍNIMO DE IDADE")</f>
        <v>NÃO ATENDE LIMITE MÍNIMO DE IDADE</v>
      </c>
      <c r="G114" s="44"/>
      <c r="H114" s="44"/>
      <c r="I114" s="44"/>
      <c r="J114" s="44"/>
      <c r="K114" s="46"/>
      <c r="L114" s="48"/>
      <c r="M114" s="48"/>
      <c r="N114" s="47"/>
      <c r="O114" s="255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23" t="s">
        <v>407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1:64" ht="13.5" hidden="1" x14ac:dyDescent="0.15">
      <c r="B115" s="44"/>
      <c r="C115" s="43"/>
      <c r="D115" s="43"/>
      <c r="E115" s="44"/>
      <c r="F115" s="44"/>
      <c r="G115" s="44"/>
      <c r="H115" s="44"/>
      <c r="I115" s="44"/>
      <c r="J115" s="44"/>
      <c r="K115" s="46"/>
      <c r="L115" s="49" t="s">
        <v>498</v>
      </c>
      <c r="M115" s="11"/>
      <c r="N115" s="11"/>
      <c r="O115" s="255"/>
      <c r="P115" s="79"/>
      <c r="Q115" s="79"/>
      <c r="R115" s="79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23" t="s">
        <v>408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/>
      <c r="BJ115" s="719"/>
      <c r="BK115" s="720"/>
      <c r="BL115" s="721"/>
    </row>
    <row r="116" spans="1:64" ht="13.5" hidden="1" x14ac:dyDescent="0.15">
      <c r="B116" s="50"/>
      <c r="C116" s="50"/>
      <c r="D116" s="50"/>
      <c r="E116" s="50"/>
      <c r="F116" s="50"/>
      <c r="G116" s="50"/>
      <c r="H116" s="50"/>
      <c r="I116" s="50"/>
      <c r="J116" s="50"/>
      <c r="K116" s="51"/>
      <c r="L116" s="11" t="s">
        <v>499</v>
      </c>
      <c r="M116" s="11"/>
      <c r="N116" s="11"/>
      <c r="O116" s="255"/>
      <c r="P116" s="79"/>
      <c r="Q116" s="86" t="b">
        <f>IF(K2=O4,IF(E2=B86,R116,IF(E2=B87,R116,IF(E2=B93,R116,IF(G10="X",(30*365)-F61,(35*365)-F61)))),IF(K2=O5,IF(E2=B94,R116,IF(G10="X",(30*365)-F61,(35*365)-F61))))</f>
        <v>0</v>
      </c>
      <c r="R116" s="86" t="b">
        <f>IF($K$2=$O$4,IF($F$61&gt;=($F$37+$E$44),0,($F$37+$E$44)-$F$61),IF($K$2=$O$5,IF($F$61&gt;=($F$37+$E$44),0,($F$37+$E$44)-$F$61)))</f>
        <v>0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23" t="s">
        <v>409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1:64" ht="13.5" hidden="1" x14ac:dyDescent="0.15">
      <c r="B117" s="52"/>
      <c r="C117" s="52"/>
      <c r="D117" s="52"/>
      <c r="E117" s="52"/>
      <c r="F117" s="52"/>
      <c r="G117" s="52"/>
      <c r="H117" s="52"/>
      <c r="I117" s="52"/>
      <c r="J117" s="52"/>
      <c r="K117" s="53"/>
      <c r="L117" s="42" t="s">
        <v>500</v>
      </c>
      <c r="M117" s="11"/>
      <c r="N117" s="11"/>
      <c r="O117" s="255"/>
      <c r="P117" s="79"/>
      <c r="Q117" s="86">
        <f>IF(E2="VOLUNTÁRIA ESPECIAL",IF(D12="X",IF(G10="X",(25*365)-F61,(30*365)-F61)),IF(G10="X",(30*365)-F61,(35*365)-F61))</f>
        <v>12775</v>
      </c>
      <c r="R117" s="79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410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1:64" ht="13.5" hidden="1" x14ac:dyDescent="0.15"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17" t="s">
        <v>463</v>
      </c>
      <c r="M118" s="11"/>
      <c r="N118" s="11"/>
      <c r="O118" s="255" t="s">
        <v>504</v>
      </c>
      <c r="P118" s="79"/>
      <c r="Q118" s="87"/>
      <c r="R118" s="86">
        <f>IF(E2="VOLUNTÁRIA ESPECIAL",IF(D12="X",IF(G10="X",(25*365)-$F$37,(30*365)-$F$37)),IF(G10="X",(30*365)-$F$37,(35*365)-$F$37))</f>
        <v>12775</v>
      </c>
      <c r="S118" s="11"/>
      <c r="T118" s="5"/>
      <c r="U118" s="5"/>
      <c r="V118" s="5"/>
      <c r="W118" s="5"/>
      <c r="X118" s="5"/>
      <c r="Y118" s="5"/>
      <c r="Z118" s="5"/>
      <c r="AA118" s="5"/>
      <c r="AB118" s="5"/>
      <c r="AC118" s="69"/>
      <c r="AD118" s="70"/>
      <c r="AE118" s="70"/>
      <c r="AF118" s="70"/>
      <c r="AG118" s="69"/>
      <c r="AX118" s="11"/>
      <c r="AY118" s="11"/>
      <c r="AZ118" s="5"/>
      <c r="BA118" s="724"/>
      <c r="BB118" s="723" t="s">
        <v>411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1:64" ht="13.5" hidden="1" customHeight="1" x14ac:dyDescent="0.15">
      <c r="B119" s="6"/>
      <c r="C119" s="1943" t="s">
        <v>459</v>
      </c>
      <c r="D119" s="1943"/>
      <c r="E119" s="1943"/>
      <c r="F119" s="1943" t="s">
        <v>460</v>
      </c>
      <c r="G119" s="1943"/>
      <c r="H119" s="1943"/>
      <c r="I119" s="1943" t="s">
        <v>461</v>
      </c>
      <c r="J119" s="1943"/>
      <c r="K119" s="51"/>
      <c r="L119" s="51"/>
      <c r="M119" s="54"/>
      <c r="N119" s="54"/>
      <c r="O119" s="255" t="s">
        <v>487</v>
      </c>
      <c r="P119" s="78"/>
      <c r="Q119" s="78"/>
      <c r="R119" s="86">
        <f>IF(E2=B93,IF(G10="X",(25*365)-$F$37,(30*365)-$F$37),IF(G10="X",(30*365)-$F$37,(35*365)-$F$37))</f>
        <v>12775</v>
      </c>
      <c r="AX119" s="11"/>
      <c r="AY119" s="11"/>
      <c r="BB119" s="723" t="s">
        <v>412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1:64" ht="12.75" hidden="1" customHeight="1" x14ac:dyDescent="0.15">
      <c r="B120" s="40" t="s">
        <v>454</v>
      </c>
      <c r="C120" s="40" t="s">
        <v>457</v>
      </c>
      <c r="D120" s="8"/>
      <c r="E120" s="5" t="s">
        <v>456</v>
      </c>
      <c r="F120" s="6" t="s">
        <v>457</v>
      </c>
      <c r="G120" s="6"/>
      <c r="H120" s="6" t="s">
        <v>456</v>
      </c>
      <c r="I120" s="8" t="s">
        <v>457</v>
      </c>
      <c r="J120" s="8" t="s">
        <v>456</v>
      </c>
      <c r="K120" s="51"/>
      <c r="L120" s="18" t="s">
        <v>466</v>
      </c>
      <c r="M120" s="54"/>
      <c r="N120" s="54"/>
      <c r="O120" s="255" t="s">
        <v>509</v>
      </c>
      <c r="P120" s="78"/>
      <c r="Q120" s="86">
        <f>IF(K2=O7,IF($E$2=B86,IF($G$10="X",(30*365)-$F$61,(35*365)-$F$61)),IF($G$10="X",(30*365)-$F$61,(35*365)-$F$61))</f>
        <v>12775</v>
      </c>
      <c r="R120" s="78"/>
      <c r="AX120" s="11"/>
      <c r="AY120" s="11"/>
      <c r="BB120" s="723" t="s">
        <v>413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1:64" ht="13.5" hidden="1" customHeight="1" x14ac:dyDescent="0.15">
      <c r="B121" s="16" t="s">
        <v>450</v>
      </c>
      <c r="C121" s="55">
        <f>30*365</f>
        <v>10950</v>
      </c>
      <c r="D121" s="55"/>
      <c r="E121" s="55">
        <f>35*365</f>
        <v>12775</v>
      </c>
      <c r="F121" s="55">
        <v>20089</v>
      </c>
      <c r="G121" s="55"/>
      <c r="H121" s="55">
        <v>21914</v>
      </c>
      <c r="I121" s="55">
        <f>F121-C124</f>
        <v>31039</v>
      </c>
      <c r="J121" s="55">
        <f>H121-E124</f>
        <v>34689</v>
      </c>
      <c r="K121" s="51"/>
      <c r="L121" s="51"/>
      <c r="M121" s="54"/>
      <c r="N121" s="54"/>
      <c r="P121" s="78"/>
      <c r="Q121" s="78"/>
      <c r="R121" s="78"/>
      <c r="AX121" s="11"/>
      <c r="AY121" s="11"/>
      <c r="BB121" s="723" t="s">
        <v>414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1:64" ht="12.75" hidden="1" customHeight="1" x14ac:dyDescent="0.15">
      <c r="B122" s="16" t="s">
        <v>455</v>
      </c>
      <c r="C122" s="47">
        <f>25*365</f>
        <v>9125</v>
      </c>
      <c r="D122" s="47"/>
      <c r="E122" s="47">
        <f>30*365</f>
        <v>10950</v>
      </c>
      <c r="F122" s="55">
        <v>18264</v>
      </c>
      <c r="G122" s="55"/>
      <c r="H122" s="55">
        <v>20089</v>
      </c>
      <c r="I122" s="47">
        <f>ROUNDDOWN(I121/365,0)</f>
        <v>85</v>
      </c>
      <c r="J122" s="47">
        <f>ROUNDDOWN(J121/365,0)</f>
        <v>95</v>
      </c>
      <c r="K122" s="51"/>
      <c r="L122" s="51"/>
      <c r="M122" s="54"/>
      <c r="N122" s="54"/>
      <c r="P122" s="78"/>
      <c r="Q122" s="78"/>
      <c r="R122" s="78"/>
      <c r="AX122" s="11"/>
      <c r="AY122" s="11"/>
      <c r="BB122" s="723" t="s">
        <v>415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1:64" ht="12.75" hidden="1" customHeight="1" x14ac:dyDescent="0.15">
      <c r="B123" s="48"/>
      <c r="C123" s="48"/>
      <c r="D123" s="48"/>
      <c r="E123" s="46"/>
      <c r="F123" s="48"/>
      <c r="G123" s="48"/>
      <c r="H123" s="48"/>
      <c r="I123" s="48"/>
      <c r="J123" s="46"/>
      <c r="K123" s="51"/>
      <c r="L123" s="51"/>
      <c r="M123" s="54"/>
      <c r="N123" s="54"/>
      <c r="AX123" s="5"/>
      <c r="AY123" s="5"/>
      <c r="BB123" s="723" t="s">
        <v>416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1:64" ht="12.75" hidden="1" customHeight="1" x14ac:dyDescent="0.15">
      <c r="B124" s="48" t="s">
        <v>458</v>
      </c>
      <c r="C124" s="56">
        <f>ROUNDDOWN((F61-C121),0)</f>
        <v>-10950</v>
      </c>
      <c r="D124" s="48"/>
      <c r="E124" s="56">
        <f>ROUNDDOWN((F61-E121),0)</f>
        <v>-12775</v>
      </c>
      <c r="F124" s="48"/>
      <c r="G124" s="48"/>
      <c r="H124" s="48"/>
      <c r="I124" s="48"/>
      <c r="J124" s="46"/>
      <c r="K124" s="51"/>
      <c r="L124" s="51"/>
      <c r="M124" s="54"/>
      <c r="N124" s="54"/>
      <c r="BB124" s="723" t="s">
        <v>417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1:64" ht="12.75" hidden="1" customHeight="1" x14ac:dyDescent="0.15"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4"/>
      <c r="N125" s="54"/>
      <c r="BB125" s="723" t="s">
        <v>418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1:64" ht="12.75" hidden="1" customHeight="1" thickBot="1" x14ac:dyDescent="0.2">
      <c r="B126" s="1848" t="s">
        <v>548</v>
      </c>
      <c r="C126" s="1848"/>
      <c r="D126" s="1848"/>
      <c r="E126" s="1848"/>
      <c r="F126" s="1848"/>
      <c r="G126" s="1848"/>
      <c r="H126" s="1848"/>
      <c r="I126" s="1848"/>
      <c r="J126" s="1848"/>
      <c r="K126" s="1848"/>
      <c r="L126" s="1848"/>
      <c r="M126" s="1848"/>
      <c r="N126" s="1848"/>
      <c r="BB126" s="312"/>
      <c r="BC126" s="313"/>
      <c r="BD126" s="314"/>
      <c r="BE126" s="314"/>
      <c r="BF126" s="315"/>
      <c r="BG126" s="315"/>
      <c r="BH126" s="316"/>
      <c r="BI126" s="317">
        <f>A146*1.45</f>
        <v>23.2</v>
      </c>
      <c r="BJ126" s="318">
        <v>113.29</v>
      </c>
      <c r="BK126" s="319">
        <v>113.29</v>
      </c>
      <c r="BL126" s="320">
        <v>157.35</v>
      </c>
    </row>
    <row r="127" spans="1:64" ht="12.75" hidden="1" customHeight="1" x14ac:dyDescent="0.15">
      <c r="B127" s="51" t="s">
        <v>656</v>
      </c>
      <c r="C127" s="21" t="s">
        <v>657</v>
      </c>
      <c r="D127" s="101">
        <v>36145</v>
      </c>
      <c r="E127" s="101">
        <v>37986</v>
      </c>
      <c r="F127" s="102">
        <v>37986</v>
      </c>
      <c r="G127" s="246" t="s">
        <v>608</v>
      </c>
      <c r="H127" s="51" t="s">
        <v>609</v>
      </c>
      <c r="I127" s="51" t="s">
        <v>610</v>
      </c>
      <c r="J127" s="21" t="s">
        <v>612</v>
      </c>
      <c r="M127" s="40" t="s">
        <v>658</v>
      </c>
      <c r="P127" s="109"/>
      <c r="Q127" s="110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BB127" s="321"/>
      <c r="BC127" s="322"/>
      <c r="BD127" s="322"/>
      <c r="BE127" s="322"/>
      <c r="BF127" s="323"/>
      <c r="BG127" s="323"/>
      <c r="BH127" s="323"/>
      <c r="BI127" s="324"/>
      <c r="BJ127" s="325"/>
      <c r="BK127" s="326"/>
      <c r="BL127" s="327"/>
    </row>
    <row r="128" spans="1:64" ht="12.75" hidden="1" customHeight="1" x14ac:dyDescent="0.15">
      <c r="A128" s="259">
        <v>1</v>
      </c>
      <c r="B128" s="107" t="s">
        <v>549</v>
      </c>
      <c r="C128" s="21" t="s">
        <v>613</v>
      </c>
      <c r="D128" s="104">
        <f>IF(ISERROR(HLOOKUP($N$34,$Q$39:$AA$40,2)),0,HLOOKUP($N$34,$Q$39:$AA$40,2))</f>
        <v>0</v>
      </c>
      <c r="E128" s="105">
        <f>IF(ISERROR(HLOOKUP($O$34,$Q$39:$AA$40,2)),0,HLOOKUP($O$34,$Q$39:$AA$40,2))</f>
        <v>0</v>
      </c>
      <c r="F128" s="106">
        <f>IF(ISERROR(HLOOKUP($O$60,$Q$39:$AA$40,2)),0,HLOOKUP($O$60,$Q$39:$AA$40,2))</f>
        <v>0</v>
      </c>
      <c r="G128" s="21" t="s">
        <v>611</v>
      </c>
      <c r="J128" s="21" t="s">
        <v>611</v>
      </c>
      <c r="M128" s="21" t="s">
        <v>659</v>
      </c>
      <c r="P128" s="328"/>
      <c r="Q128" s="328"/>
      <c r="R128" s="5"/>
      <c r="S128" s="8"/>
      <c r="T128" s="5"/>
      <c r="U128" s="5"/>
      <c r="V128" s="5"/>
      <c r="W128" s="27"/>
      <c r="X128" s="5"/>
      <c r="Y128" s="5"/>
      <c r="Z128" s="100"/>
      <c r="AA128" s="5"/>
      <c r="AB128" s="5"/>
      <c r="BB128" s="321"/>
      <c r="BC128" s="322"/>
      <c r="BD128" s="322"/>
      <c r="BE128" s="322"/>
      <c r="BF128" s="323"/>
      <c r="BG128" s="323"/>
      <c r="BH128" s="323"/>
      <c r="BI128" s="324"/>
      <c r="BJ128" s="325"/>
      <c r="BK128" s="326"/>
      <c r="BL128" s="327"/>
    </row>
    <row r="129" spans="1:64" ht="12.75" hidden="1" customHeight="1" x14ac:dyDescent="0.15">
      <c r="A129" s="259">
        <v>2</v>
      </c>
      <c r="B129" s="51" t="s">
        <v>550</v>
      </c>
      <c r="C129" s="21" t="s">
        <v>527</v>
      </c>
      <c r="D129" s="104">
        <f>IF(ISERROR(HLOOKUP($J$129,$Q$26:$AT$27,2)),0,HLOOKUP($J$129,$Q$26:$AT$27,2))</f>
        <v>0</v>
      </c>
      <c r="E129" s="105">
        <f>IF(ISERROR(HLOOKUP($K$129,$Q$26:$AT$27,2)),0,HLOOKUP($K$129,$Q$26:$AT$27,2))</f>
        <v>0</v>
      </c>
      <c r="F129" s="106">
        <f>IF(ISERROR(HLOOKUP($L$129,$Q$26:$AT$27,2)),0,HLOOKUP($L$129,$Q$26:$AT$27,2))</f>
        <v>0</v>
      </c>
      <c r="G129" s="67">
        <f>SUM($F$27:$F$32)</f>
        <v>0</v>
      </c>
      <c r="H129" s="67">
        <f>SUM($F$27:$F$32)+$J$51</f>
        <v>0</v>
      </c>
      <c r="I129" s="67">
        <f>SUM($F$27:$F$32)+$J$51+$J$60</f>
        <v>0</v>
      </c>
      <c r="J129" s="21">
        <f t="shared" ref="J129:J151" si="0">ROUNDDOWN(G129/365,0)</f>
        <v>0</v>
      </c>
      <c r="K129" s="21">
        <f t="shared" ref="K129:K151" si="1">ROUNDDOWN(H129/365,0)</f>
        <v>0</v>
      </c>
      <c r="L129" s="21">
        <f t="shared" ref="L129:L151" si="2">ROUNDDOWN(I129/365,0)</f>
        <v>0</v>
      </c>
      <c r="M129" s="21" t="s">
        <v>660</v>
      </c>
      <c r="P129" s="328"/>
      <c r="Q129" s="328"/>
      <c r="BB129" s="321"/>
      <c r="BC129" s="322"/>
      <c r="BD129" s="322"/>
      <c r="BE129" s="322"/>
      <c r="BF129" s="323"/>
      <c r="BG129" s="323"/>
      <c r="BH129" s="323"/>
      <c r="BI129" s="324"/>
      <c r="BJ129" s="325"/>
      <c r="BK129" s="326"/>
      <c r="BL129" s="327"/>
    </row>
    <row r="130" spans="1:64" ht="12.75" hidden="1" customHeight="1" x14ac:dyDescent="0.15">
      <c r="A130" s="259" t="s">
        <v>554</v>
      </c>
      <c r="B130" s="51" t="s">
        <v>615</v>
      </c>
      <c r="C130" s="21" t="s">
        <v>613</v>
      </c>
      <c r="D130" s="104">
        <f>IF(ISERROR(HLOOKUP($J$130,$Q$45:$AB$46,2)),0,HLOOKUP($J$130,$Q$45:$AB$46,2))</f>
        <v>0</v>
      </c>
      <c r="E130" s="105">
        <f>IF(ISERROR(HLOOKUP($K$130,$Q$45:$AB$46,2)),0,HLOOKUP($K$130,$Q$45:$AB$46,2))</f>
        <v>0</v>
      </c>
      <c r="F130" s="106">
        <f>IF(ISERROR(HLOOKUP($L$130,$Q$45:$AB$46,2)),0,HLOOKUP($L$130,$Q$45:$AB$46,2))</f>
        <v>0</v>
      </c>
      <c r="G130" s="67">
        <f>SUM($F$27:$F$32)</f>
        <v>0</v>
      </c>
      <c r="H130" s="67">
        <f>SUM($F$27:$F$32)+$J$51</f>
        <v>0</v>
      </c>
      <c r="I130" s="67">
        <f>SUM($F$27:$F$32)+$J$51+$J$60</f>
        <v>0</v>
      </c>
      <c r="J130" s="21">
        <f t="shared" si="0"/>
        <v>0</v>
      </c>
      <c r="K130" s="21">
        <f t="shared" si="1"/>
        <v>0</v>
      </c>
      <c r="L130" s="21">
        <f t="shared" si="2"/>
        <v>0</v>
      </c>
      <c r="M130" s="21" t="s">
        <v>660</v>
      </c>
      <c r="P130" s="328"/>
      <c r="Q130" s="328"/>
      <c r="BB130" s="321"/>
      <c r="BC130" s="322"/>
      <c r="BD130" s="322"/>
      <c r="BE130" s="322"/>
      <c r="BF130" s="323"/>
      <c r="BG130" s="323"/>
      <c r="BH130" s="323"/>
      <c r="BI130" s="324"/>
      <c r="BJ130" s="325"/>
      <c r="BK130" s="326"/>
      <c r="BL130" s="327"/>
    </row>
    <row r="131" spans="1:64" ht="12.75" hidden="1" customHeight="1" x14ac:dyDescent="0.15">
      <c r="A131" s="259">
        <v>3</v>
      </c>
      <c r="B131" s="51" t="s">
        <v>551</v>
      </c>
      <c r="C131" s="21" t="s">
        <v>613</v>
      </c>
      <c r="D131" s="104">
        <f>IF(ISERROR(HLOOKUP($J$131,$Q$48:$AB$49,2)),0,HLOOKUP($J$131,$Q$48:$AB$49,2))</f>
        <v>0</v>
      </c>
      <c r="E131" s="105">
        <f>IF(ISERROR(HLOOKUP($K$131,$Q$48:$AB$49,2)),0,HLOOKUP($K$131,$Q$48:$AB$49,2))</f>
        <v>0</v>
      </c>
      <c r="F131" s="106">
        <f>IF(ISERROR(HLOOKUP($L$131,$Q$48:$AB$49,2)),0,HLOOKUP($L$131,$Q$48:$AB$49,2))</f>
        <v>0</v>
      </c>
      <c r="G131" s="67">
        <f>SUM($F$30:$F$32)</f>
        <v>0</v>
      </c>
      <c r="H131" s="67">
        <f>SUM($F$30:$F$32)+$J$51</f>
        <v>0</v>
      </c>
      <c r="I131" s="67">
        <f>SUM($F$30:$F$32)+$J$51+$J$60</f>
        <v>0</v>
      </c>
      <c r="J131" s="21">
        <f t="shared" si="0"/>
        <v>0</v>
      </c>
      <c r="K131" s="21">
        <f t="shared" si="1"/>
        <v>0</v>
      </c>
      <c r="L131" s="21">
        <f t="shared" si="2"/>
        <v>0</v>
      </c>
      <c r="M131" s="21" t="s">
        <v>660</v>
      </c>
      <c r="P131" s="328"/>
      <c r="Q131" s="328"/>
      <c r="BB131" s="69"/>
      <c r="BC131" s="69"/>
      <c r="BD131" s="69"/>
      <c r="BE131" s="69"/>
      <c r="BF131" s="69"/>
      <c r="BG131" s="69"/>
      <c r="BH131" s="69"/>
      <c r="BI131" s="69"/>
      <c r="BJ131" s="69"/>
      <c r="BK131" s="326"/>
      <c r="BL131" s="327"/>
    </row>
    <row r="132" spans="1:64" ht="12.75" hidden="1" customHeight="1" x14ac:dyDescent="0.15">
      <c r="A132" s="259">
        <v>4</v>
      </c>
      <c r="B132" s="51" t="s">
        <v>552</v>
      </c>
      <c r="C132" s="21" t="s">
        <v>613</v>
      </c>
      <c r="D132" s="104">
        <f>IF(ISERROR(HLOOKUP($J$132,$Q$48:$Z$49,2)),0,HLOOKUP($J$132,$Q$48:$Z$49,2))</f>
        <v>0</v>
      </c>
      <c r="E132" s="105">
        <f>IF(ISERROR(HLOOKUP($K$132,$Q$48:$Z$49,2)),0,HLOOKUP($K$132,$Q$48:$Z$49,2))</f>
        <v>0</v>
      </c>
      <c r="F132" s="106">
        <f>IF(ISERROR(HLOOKUP($L$132,$Q$48:$Z$49,2)),0,HLOOKUP($L$132,$Q$48:$Z$49,2))</f>
        <v>0</v>
      </c>
      <c r="G132" s="67">
        <f>SUM($F$27:$F$32)</f>
        <v>0</v>
      </c>
      <c r="H132" s="67">
        <f>SUM($F$27:$F$32)+$J$51</f>
        <v>0</v>
      </c>
      <c r="I132" s="67">
        <f>SUM($F$27:$F$32)+$J$51+$J$60</f>
        <v>0</v>
      </c>
      <c r="J132" s="21">
        <f t="shared" si="0"/>
        <v>0</v>
      </c>
      <c r="K132" s="21">
        <f t="shared" si="1"/>
        <v>0</v>
      </c>
      <c r="L132" s="21">
        <f t="shared" si="2"/>
        <v>0</v>
      </c>
      <c r="M132" s="21" t="s">
        <v>660</v>
      </c>
      <c r="P132" s="328"/>
      <c r="Q132" s="328"/>
      <c r="BB132" s="69"/>
      <c r="BC132" s="69"/>
      <c r="BD132" s="69" t="s">
        <v>349</v>
      </c>
      <c r="BE132" s="70">
        <v>5</v>
      </c>
      <c r="BF132" s="70">
        <v>10</v>
      </c>
      <c r="BG132" s="70">
        <v>15</v>
      </c>
      <c r="BH132" s="70">
        <v>20</v>
      </c>
      <c r="BI132" s="70">
        <v>25</v>
      </c>
      <c r="BJ132" s="329" t="s">
        <v>365</v>
      </c>
      <c r="BK132" s="326"/>
      <c r="BL132" s="327"/>
    </row>
    <row r="133" spans="1:64" ht="12.75" hidden="1" customHeight="1" x14ac:dyDescent="0.15">
      <c r="A133" s="259">
        <v>5</v>
      </c>
      <c r="B133" s="51" t="s">
        <v>553</v>
      </c>
      <c r="C133" s="21" t="s">
        <v>613</v>
      </c>
      <c r="D133" s="104">
        <f>IF(ISERROR(HLOOKUP($J$133,$Q$48:$AB$49,2)),0,HLOOKUP($J$133,$Q$48:$AB$49,2))</f>
        <v>0</v>
      </c>
      <c r="E133" s="105">
        <f>IF(ISERROR(HLOOKUP($K$133,$Q$48:$AB$49,2)),0,HLOOKUP($K$133,$Q$48:$AB$49,2))</f>
        <v>0</v>
      </c>
      <c r="F133" s="106">
        <f>IF(ISERROR(HLOOKUP($L$133,$Q$48:$AB$49,2)),0,HLOOKUP($L$133,$Q$48:$AB$49,2))</f>
        <v>0</v>
      </c>
      <c r="G133" s="67">
        <f>SUM($F$30:$F$32)</f>
        <v>0</v>
      </c>
      <c r="H133" s="67">
        <f>SUM($F$30:$F$32)+$J$51</f>
        <v>0</v>
      </c>
      <c r="I133" s="67">
        <f>SUM($F$30:$F$32)+$J$51+$J$60</f>
        <v>0</v>
      </c>
      <c r="J133" s="21">
        <f t="shared" si="0"/>
        <v>0</v>
      </c>
      <c r="K133" s="21">
        <f t="shared" si="1"/>
        <v>0</v>
      </c>
      <c r="L133" s="21">
        <f t="shared" si="2"/>
        <v>0</v>
      </c>
      <c r="M133" s="21" t="s">
        <v>660</v>
      </c>
      <c r="P133" s="328"/>
      <c r="Q133" s="328"/>
      <c r="BB133" s="69"/>
      <c r="BC133" s="330" t="s">
        <v>419</v>
      </c>
      <c r="BD133" s="330" t="s">
        <v>420</v>
      </c>
      <c r="BE133" s="69" t="s">
        <v>421</v>
      </c>
      <c r="BF133" s="69" t="s">
        <v>422</v>
      </c>
      <c r="BG133" s="69" t="s">
        <v>423</v>
      </c>
      <c r="BH133" s="69" t="s">
        <v>424</v>
      </c>
      <c r="BI133" s="69" t="s">
        <v>425</v>
      </c>
      <c r="BJ133" s="69" t="s">
        <v>426</v>
      </c>
      <c r="BK133" s="326"/>
      <c r="BL133" s="327"/>
    </row>
    <row r="134" spans="1:64" ht="12.75" hidden="1" customHeight="1" x14ac:dyDescent="0.15">
      <c r="A134" s="259" t="s">
        <v>555</v>
      </c>
      <c r="B134" s="51" t="s">
        <v>616</v>
      </c>
      <c r="C134" s="21" t="s">
        <v>613</v>
      </c>
      <c r="D134" s="104">
        <f>IF(ISERROR(HLOOKUP($J$134,$Q$48:$V$49,2)),0,HLOOKUP($J$134,$Q$48:$V$49,2))</f>
        <v>0</v>
      </c>
      <c r="E134" s="105">
        <f>IF(ISERROR(HLOOKUP($K$134,$Q$48:$V$49,2)),0,HLOOKUP($K$134,$Q$48:$V$49,2))</f>
        <v>0</v>
      </c>
      <c r="F134" s="106">
        <f>IF(ISERROR(HLOOKUP($L$134,$Q$48:$V$49,2)),0,HLOOKUP($L$134,$Q$48:$V$49,2))</f>
        <v>0</v>
      </c>
      <c r="G134" s="67">
        <f>SUM($F$30:$F$32)</f>
        <v>0</v>
      </c>
      <c r="H134" s="67">
        <f>SUM($F$30:$F$32)+$J$51</f>
        <v>0</v>
      </c>
      <c r="I134" s="67">
        <f>SUM($F$30:$F$32)+$J$51+$J$60</f>
        <v>0</v>
      </c>
      <c r="J134" s="21">
        <f t="shared" si="0"/>
        <v>0</v>
      </c>
      <c r="K134" s="21">
        <f t="shared" si="1"/>
        <v>0</v>
      </c>
      <c r="L134" s="21">
        <f t="shared" si="2"/>
        <v>0</v>
      </c>
      <c r="M134" s="21" t="s">
        <v>660</v>
      </c>
      <c r="P134" s="328"/>
      <c r="Q134" s="328"/>
      <c r="BB134" s="69"/>
      <c r="BC134" s="330" t="s">
        <v>427</v>
      </c>
      <c r="BD134" s="330" t="s">
        <v>428</v>
      </c>
      <c r="BE134" s="69" t="s">
        <v>421</v>
      </c>
      <c r="BF134" s="69" t="s">
        <v>422</v>
      </c>
      <c r="BG134" s="69" t="s">
        <v>423</v>
      </c>
      <c r="BH134" s="69" t="s">
        <v>424</v>
      </c>
      <c r="BI134" s="69" t="s">
        <v>425</v>
      </c>
      <c r="BJ134" s="69" t="s">
        <v>426</v>
      </c>
      <c r="BK134" s="326"/>
      <c r="BL134" s="327"/>
    </row>
    <row r="135" spans="1:64" ht="12.75" hidden="1" customHeight="1" x14ac:dyDescent="0.15">
      <c r="A135" s="259">
        <v>6</v>
      </c>
      <c r="B135" s="51" t="s">
        <v>556</v>
      </c>
      <c r="C135" s="21" t="s">
        <v>613</v>
      </c>
      <c r="D135" s="104">
        <f>IF(ISERROR(HLOOKUP($J$135,$Q$48:$AA$49,2)),0,HLOOKUP($J$135,$Q$48:$AA$49,2))</f>
        <v>0</v>
      </c>
      <c r="E135" s="105">
        <f>IF(ISERROR(HLOOKUP(K135,$Q$48:$AA$49,2)),0,HLOOKUP(K135,$Q$48:$AA$49,2))</f>
        <v>0</v>
      </c>
      <c r="F135" s="106">
        <f>IF(ISERROR(HLOOKUP(L135,$Q$48:$AA$49,2)),0,HLOOKUP(L135,$Q$48:$AA$49,2))</f>
        <v>0</v>
      </c>
      <c r="G135" s="396">
        <f>SUM($F$27:$F$33)</f>
        <v>0</v>
      </c>
      <c r="H135" s="103">
        <f>SUM($F$27:$F$33)+$J$51</f>
        <v>0</v>
      </c>
      <c r="I135" s="103">
        <f>SUM($F$27:$F$33)+$J$51+$J$60</f>
        <v>0</v>
      </c>
      <c r="J135" s="21">
        <f t="shared" si="0"/>
        <v>0</v>
      </c>
      <c r="K135" s="21">
        <f t="shared" si="1"/>
        <v>0</v>
      </c>
      <c r="L135" s="21">
        <f t="shared" si="2"/>
        <v>0</v>
      </c>
      <c r="M135" s="21" t="s">
        <v>660</v>
      </c>
      <c r="P135" s="328"/>
      <c r="Q135" s="328"/>
      <c r="BB135" s="69"/>
      <c r="BC135" s="330" t="s">
        <v>429</v>
      </c>
      <c r="BD135" s="330" t="s">
        <v>430</v>
      </c>
      <c r="BE135" s="69" t="s">
        <v>421</v>
      </c>
      <c r="BF135" s="69" t="s">
        <v>422</v>
      </c>
      <c r="BG135" s="69" t="s">
        <v>423</v>
      </c>
      <c r="BH135" s="69" t="s">
        <v>424</v>
      </c>
      <c r="BI135" s="69" t="s">
        <v>425</v>
      </c>
      <c r="BJ135" s="69" t="s">
        <v>426</v>
      </c>
      <c r="BK135" s="7"/>
      <c r="BL135" s="7"/>
    </row>
    <row r="136" spans="1:64" ht="12.75" hidden="1" customHeight="1" x14ac:dyDescent="0.15">
      <c r="A136" s="259">
        <v>7</v>
      </c>
      <c r="B136" s="51" t="s">
        <v>557</v>
      </c>
      <c r="C136" s="21" t="s">
        <v>547</v>
      </c>
      <c r="D136" s="104">
        <f>IF(ISERROR(HLOOKUP($J$136,$Q$77:$W$78,2)),0,HLOOKUP($J$136,$Q$77:$W$78,2))</f>
        <v>0</v>
      </c>
      <c r="E136" s="105">
        <f>IF(ISERROR(HLOOKUP(K136,$Q$77:$W$78,2)),0,HLOOKUP(K136,$Q$77:$W$78,2))</f>
        <v>0</v>
      </c>
      <c r="F136" s="106">
        <f>IF(ISERROR(HLOOKUP(L136,$Q$77:$W$78,2)),0,HLOOKUP(L136,$Q$77:$W$78,2))</f>
        <v>0</v>
      </c>
      <c r="G136" s="396">
        <f>SUM($F$30:$F$32)</f>
        <v>0</v>
      </c>
      <c r="H136" s="103">
        <f>SUM($F$30:$F$32)+$J$51</f>
        <v>0</v>
      </c>
      <c r="I136" s="103">
        <f>SUM($F$30:$F$32)+$J$51+$J$60</f>
        <v>0</v>
      </c>
      <c r="J136" s="21">
        <f t="shared" si="0"/>
        <v>0</v>
      </c>
      <c r="K136" s="21">
        <f t="shared" si="1"/>
        <v>0</v>
      </c>
      <c r="L136" s="21">
        <f t="shared" si="2"/>
        <v>0</v>
      </c>
      <c r="M136" s="21" t="s">
        <v>660</v>
      </c>
      <c r="P136" s="328"/>
      <c r="Q136" s="328"/>
      <c r="BB136" s="69"/>
      <c r="BC136" s="330" t="s">
        <v>431</v>
      </c>
      <c r="BD136" s="330" t="s">
        <v>430</v>
      </c>
      <c r="BE136" s="69" t="s">
        <v>421</v>
      </c>
      <c r="BF136" s="69" t="s">
        <v>422</v>
      </c>
      <c r="BG136" s="69" t="s">
        <v>423</v>
      </c>
      <c r="BH136" s="69" t="s">
        <v>424</v>
      </c>
      <c r="BI136" s="69" t="s">
        <v>425</v>
      </c>
      <c r="BJ136" s="69" t="s">
        <v>426</v>
      </c>
      <c r="BK136" s="5"/>
      <c r="BL136" s="5"/>
    </row>
    <row r="137" spans="1:64" ht="12.75" hidden="1" customHeight="1" x14ac:dyDescent="0.15">
      <c r="A137" s="259" t="s">
        <v>558</v>
      </c>
      <c r="B137" s="51" t="s">
        <v>614</v>
      </c>
      <c r="C137" s="21" t="s">
        <v>547</v>
      </c>
      <c r="D137" s="104">
        <f>IF(ISERROR(HLOOKUP($J$137,$Q$77:$W$78,2)),0,HLOOKUP($J$137,$Q$77:$W$78,2))</f>
        <v>0</v>
      </c>
      <c r="E137" s="105">
        <f>IF(ISERROR(HLOOKUP(K137,$Q$77:$W$78,2)),0,HLOOKUP(K137,$Q$77:$W$78,2))</f>
        <v>0</v>
      </c>
      <c r="F137" s="106">
        <f>IF(ISERROR(HLOOKUP(L137,$Q$77:$W$78,2)),0,HLOOKUP(L137,$Q$77:$W$78,2))</f>
        <v>0</v>
      </c>
      <c r="G137" s="396">
        <f>SUM($F$30:$F$32)</f>
        <v>0</v>
      </c>
      <c r="H137" s="103">
        <f>SUM($F$30:$F$32)+$J$51</f>
        <v>0</v>
      </c>
      <c r="I137" s="103">
        <f>SUM($F$30:$F$32)+$J$51+$J$60</f>
        <v>0</v>
      </c>
      <c r="J137" s="21">
        <f t="shared" si="0"/>
        <v>0</v>
      </c>
      <c r="K137" s="21">
        <f t="shared" si="1"/>
        <v>0</v>
      </c>
      <c r="L137" s="21">
        <f t="shared" si="2"/>
        <v>0</v>
      </c>
      <c r="M137" s="21" t="s">
        <v>660</v>
      </c>
      <c r="P137" s="328"/>
      <c r="Q137" s="328"/>
      <c r="BB137" s="69"/>
      <c r="BC137" s="69" t="s">
        <v>400</v>
      </c>
      <c r="BD137" s="69"/>
      <c r="BE137" s="69" t="s">
        <v>329</v>
      </c>
      <c r="BF137" s="69" t="s">
        <v>356</v>
      </c>
      <c r="BG137" s="69" t="s">
        <v>432</v>
      </c>
      <c r="BH137" s="69" t="s">
        <v>432</v>
      </c>
      <c r="BI137" s="69" t="s">
        <v>432</v>
      </c>
      <c r="BJ137" s="69" t="s">
        <v>432</v>
      </c>
      <c r="BK137" s="5"/>
      <c r="BL137" s="5"/>
    </row>
    <row r="138" spans="1:64" ht="12.75" hidden="1" customHeight="1" x14ac:dyDescent="0.15">
      <c r="A138" s="259">
        <v>8</v>
      </c>
      <c r="B138" s="51" t="s">
        <v>559</v>
      </c>
      <c r="C138" s="21" t="s">
        <v>547</v>
      </c>
      <c r="D138" s="104">
        <f>IF(ISERROR(HLOOKUP($J$138,$Q$73:$W$74,2)),0,HLOOKUP($J$138,$Q$73:$W$74,2))</f>
        <v>0</v>
      </c>
      <c r="E138" s="105">
        <f>IF(ISERROR(HLOOKUP(K138,$Q$73:$W$74,2)),0,HLOOKUP(K138,$Q$73:$W$74,2))</f>
        <v>0</v>
      </c>
      <c r="F138" s="106">
        <f>IF(ISERROR(HLOOKUP(L138,$Q$73:$W$74,2)),0,HLOOKUP(L138,$Q$73:$W$74,2))</f>
        <v>0</v>
      </c>
      <c r="G138" s="396">
        <f>SUM($F$27:$F$32)</f>
        <v>0</v>
      </c>
      <c r="H138" s="103">
        <f>SUM($F$27:$F$32)+$J$51</f>
        <v>0</v>
      </c>
      <c r="I138" s="103">
        <f>SUM($F$27:$F$32)+$J$51+$J$60</f>
        <v>0</v>
      </c>
      <c r="J138" s="21">
        <f t="shared" si="0"/>
        <v>0</v>
      </c>
      <c r="K138" s="21">
        <f t="shared" si="1"/>
        <v>0</v>
      </c>
      <c r="L138" s="21">
        <f t="shared" si="2"/>
        <v>0</v>
      </c>
      <c r="M138" s="21" t="s">
        <v>660</v>
      </c>
      <c r="P138" s="328"/>
      <c r="Q138" s="328"/>
      <c r="BB138" s="69">
        <v>26</v>
      </c>
      <c r="BC138" s="69"/>
      <c r="BD138" s="69"/>
      <c r="BE138" s="69"/>
      <c r="BF138" s="69"/>
      <c r="BG138" s="69"/>
      <c r="BH138" s="69"/>
      <c r="BI138" s="69"/>
      <c r="BJ138" s="69"/>
      <c r="BK138" s="5"/>
      <c r="BL138" s="5"/>
    </row>
    <row r="139" spans="1:64" ht="12.75" hidden="1" customHeight="1" x14ac:dyDescent="0.15">
      <c r="A139" s="259">
        <v>9</v>
      </c>
      <c r="B139" s="51" t="s">
        <v>560</v>
      </c>
      <c r="C139" s="21" t="s">
        <v>547</v>
      </c>
      <c r="D139" s="104">
        <f>IF(ISERROR(HLOOKUP($J$139,$Q$77:$W$78,2)),0,HLOOKUP($J$139,$Q$77:$W$78,2))</f>
        <v>0</v>
      </c>
      <c r="E139" s="105">
        <f>IF(ISERROR(HLOOKUP(K139,$Q$77:$W$78,2)),0,HLOOKUP(K139,$Q$77:$W$78,2))</f>
        <v>0</v>
      </c>
      <c r="F139" s="106">
        <f>IF(ISERROR(HLOOKUP(L139,$Q$77:$W$78,2)),0,HLOOKUP(L139,$Q$77:$W$78,2))</f>
        <v>0</v>
      </c>
      <c r="G139" s="396">
        <f>SUM($F$27:$F$32)</f>
        <v>0</v>
      </c>
      <c r="H139" s="103">
        <f>SUM($F$27:$F$32)+$J$51</f>
        <v>0</v>
      </c>
      <c r="I139" s="103">
        <f>SUM($F$27:$F$32)+$J$51+$J$60</f>
        <v>0</v>
      </c>
      <c r="J139" s="21">
        <f t="shared" si="0"/>
        <v>0</v>
      </c>
      <c r="K139" s="21">
        <f t="shared" si="1"/>
        <v>0</v>
      </c>
      <c r="L139" s="21">
        <f t="shared" si="2"/>
        <v>0</v>
      </c>
      <c r="M139" s="21" t="s">
        <v>660</v>
      </c>
      <c r="P139" s="328"/>
      <c r="Q139" s="328"/>
      <c r="BB139" s="69"/>
      <c r="BC139" s="331"/>
      <c r="BD139" s="116"/>
      <c r="BE139" s="69"/>
      <c r="BF139" s="69"/>
      <c r="BG139" s="69"/>
      <c r="BH139" s="69"/>
      <c r="BI139" s="69"/>
      <c r="BJ139" s="69"/>
      <c r="BK139" s="5"/>
      <c r="BL139" s="5"/>
    </row>
    <row r="140" spans="1:64" ht="12.75" hidden="1" customHeight="1" x14ac:dyDescent="0.15">
      <c r="A140" s="259">
        <v>10</v>
      </c>
      <c r="B140" s="51" t="s">
        <v>561</v>
      </c>
      <c r="C140" s="21" t="s">
        <v>613</v>
      </c>
      <c r="D140" s="104">
        <f>IF(ISERROR(HLOOKUP($J$140,$Q$39:$Y$40,2)),0,HLOOKUP($J$140,$Q$39:$Y$40,2))</f>
        <v>0</v>
      </c>
      <c r="E140" s="105">
        <f>IF(ISERROR(HLOOKUP(K140,$Q$39:$Y$40,2)),0,HLOOKUP(K140,$Q$39:$Y$40,2))</f>
        <v>0</v>
      </c>
      <c r="F140" s="106">
        <f>IF(ISERROR(HLOOKUP(L140,$Q$39:$Y$40,2)),0,HLOOKUP(L140,$Q$39:$Y$40,2))</f>
        <v>0</v>
      </c>
      <c r="G140" s="396">
        <f>SUM($F$27:$F$32)</f>
        <v>0</v>
      </c>
      <c r="H140" s="103">
        <f>SUM($F$27:$F$32)+$J$51</f>
        <v>0</v>
      </c>
      <c r="I140" s="103">
        <f>SUM($F$27:$F$32)+$J$51+$J$60</f>
        <v>0</v>
      </c>
      <c r="J140" s="21">
        <f t="shared" si="0"/>
        <v>0</v>
      </c>
      <c r="K140" s="21">
        <f t="shared" si="1"/>
        <v>0</v>
      </c>
      <c r="L140" s="21">
        <f t="shared" si="2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5"/>
      <c r="BL140" s="5"/>
    </row>
    <row r="141" spans="1:64" ht="12.75" hidden="1" customHeight="1" x14ac:dyDescent="0.15">
      <c r="A141" s="259">
        <v>11</v>
      </c>
      <c r="B141" s="51" t="s">
        <v>562</v>
      </c>
      <c r="C141" s="21" t="s">
        <v>547</v>
      </c>
      <c r="D141" s="104">
        <f>IF(ISERROR(HLOOKUP($J$141,$Q$73:$AB$74,2)),0,HLOOKUP($J$141,$Q$73:$AB$74,2))</f>
        <v>0</v>
      </c>
      <c r="E141" s="105">
        <f>IF(ISERROR(HLOOKUP(K141,$Q$73:$AB$74,2)),0,HLOOKUP(K141,$Q$73:$AB$74,2))</f>
        <v>0</v>
      </c>
      <c r="F141" s="106">
        <f>IF(ISERROR(HLOOKUP(L141,$Q$73:$AB$74,2)),0,HLOOKUP(L141,$Q$73:$AB$74,2))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0"/>
        <v>0</v>
      </c>
      <c r="K141" s="21">
        <f t="shared" si="1"/>
        <v>0</v>
      </c>
      <c r="L141" s="21">
        <f t="shared" si="2"/>
        <v>0</v>
      </c>
      <c r="M141" s="21" t="s">
        <v>660</v>
      </c>
      <c r="P141" s="328"/>
      <c r="Q141" s="328"/>
      <c r="BB141" s="69"/>
      <c r="BC141" s="69"/>
      <c r="BD141" s="69"/>
      <c r="BE141" s="69"/>
      <c r="BF141" s="69"/>
      <c r="BG141" s="69"/>
      <c r="BH141" s="69"/>
      <c r="BI141" s="69"/>
      <c r="BJ141" s="69"/>
      <c r="BK141" s="5"/>
      <c r="BL141" s="5"/>
    </row>
    <row r="142" spans="1:64" ht="12.75" hidden="1" customHeight="1" x14ac:dyDescent="0.15">
      <c r="A142" s="259">
        <v>12</v>
      </c>
      <c r="B142" s="51" t="s">
        <v>563</v>
      </c>
      <c r="C142" s="21"/>
      <c r="D142" s="104"/>
      <c r="E142" s="105"/>
      <c r="F142" s="106"/>
      <c r="G142" s="396">
        <f>SUM($F$30:$F$32)</f>
        <v>0</v>
      </c>
      <c r="H142" s="103">
        <f>SUM($F$30:$F$32)+$J$51</f>
        <v>0</v>
      </c>
      <c r="I142" s="103">
        <f>SUM($F$30:$F$32)+$J$51+$J$60</f>
        <v>0</v>
      </c>
      <c r="J142" s="21">
        <f t="shared" si="0"/>
        <v>0</v>
      </c>
      <c r="K142" s="21">
        <f t="shared" si="1"/>
        <v>0</v>
      </c>
      <c r="L142" s="21">
        <f t="shared" si="2"/>
        <v>0</v>
      </c>
      <c r="M142" s="21" t="s">
        <v>660</v>
      </c>
      <c r="P142" s="328"/>
      <c r="Q142" s="328"/>
      <c r="BB142" s="69"/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13</v>
      </c>
      <c r="B143" s="51" t="s">
        <v>686</v>
      </c>
      <c r="C143" s="21" t="s">
        <v>527</v>
      </c>
      <c r="D143" s="104">
        <f>IF(ISERROR(HLOOKUP($J$143,$Q$26:$AT$27,2)),0,HLOOKUP($J$143,$Q$26:$AT$27,2))</f>
        <v>0</v>
      </c>
      <c r="E143" s="104">
        <f>IF(ISERROR(HLOOKUP(K143,$Q$26:$AT$27,2)),0,HLOOKUP(K143,$Q$26:$AT$27,2))</f>
        <v>0</v>
      </c>
      <c r="F143" s="104">
        <f>IF(ISERROR(HLOOKUP(L143,$Q$26:$AT$27,2)),0,HLOOKUP(L143,$Q$26:$AT$27,2))</f>
        <v>0</v>
      </c>
      <c r="G143" s="396">
        <f>SUM($F$30:$F$32)</f>
        <v>0</v>
      </c>
      <c r="H143" s="103">
        <f>SUM($F$30:$F$32)+$J$51</f>
        <v>0</v>
      </c>
      <c r="I143" s="103">
        <f>SUM($F$30:$F$32)+$J$51+$J$60</f>
        <v>0</v>
      </c>
      <c r="J143" s="21">
        <f t="shared" si="0"/>
        <v>0</v>
      </c>
      <c r="K143" s="21">
        <f t="shared" si="1"/>
        <v>0</v>
      </c>
      <c r="L143" s="21">
        <f t="shared" si="2"/>
        <v>0</v>
      </c>
      <c r="M143" s="21" t="s">
        <v>660</v>
      </c>
      <c r="P143" s="328"/>
      <c r="Q143" s="328"/>
      <c r="BB143" s="69"/>
      <c r="BC143" s="69"/>
      <c r="BD143" s="69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14</v>
      </c>
      <c r="B144" s="51" t="s">
        <v>564</v>
      </c>
      <c r="C144" s="21" t="s">
        <v>613</v>
      </c>
      <c r="D144" s="104">
        <f>IF(ISERROR(HLOOKUP(J144,$Q$48:$AB$49,2)),0,HLOOKUP(J144,$Q$48:$AB$49,2))</f>
        <v>0</v>
      </c>
      <c r="E144" s="104">
        <f>IF(ISERROR(HLOOKUP(K144,$Q$48:$AB$49,2)),0,HLOOKUP(K144,$Q$48:$AB$49,2))</f>
        <v>0</v>
      </c>
      <c r="F144" s="104">
        <f>IF(ISERROR(HLOOKUP(L144,$Q$48:$AB$49,2)),0,HLOOKUP(L144,$Q$48:$AB$49,2))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0"/>
        <v>0</v>
      </c>
      <c r="K144" s="21">
        <f t="shared" si="1"/>
        <v>0</v>
      </c>
      <c r="L144" s="21">
        <f t="shared" si="2"/>
        <v>0</v>
      </c>
      <c r="M144" s="21" t="s">
        <v>660</v>
      </c>
      <c r="P144" s="328"/>
      <c r="Q144" s="328"/>
      <c r="AS144" s="5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15</v>
      </c>
      <c r="B145" s="51" t="s">
        <v>565</v>
      </c>
      <c r="C145" s="21" t="s">
        <v>613</v>
      </c>
      <c r="D145" s="104">
        <f>IF(ISERROR(HLOOKUP(J145,$Q$42:$AG$43,2)),0,HLOOKUP(J145,$Q$42:$AG$43,2))</f>
        <v>0</v>
      </c>
      <c r="E145" s="104">
        <f>IF(ISERROR(HLOOKUP(K145,$Q$42:$AG$43,2)),0,HLOOKUP(K145,$Q$42:$AG$43,2))</f>
        <v>0</v>
      </c>
      <c r="F145" s="104">
        <f>IF(ISERROR(HLOOKUP(L145,$Q$42:$AG$43,2)),0,HLOOKUP(L145,$Q$42:$AG$43,2))</f>
        <v>0</v>
      </c>
      <c r="G145" s="396">
        <f>SUM($F$27:$F$32)</f>
        <v>0</v>
      </c>
      <c r="H145" s="103">
        <f>SUM($F$27:$F$32)+$J$51</f>
        <v>0</v>
      </c>
      <c r="I145" s="103">
        <f>SUM($F$27:$F$32)+$J$51+$J$60</f>
        <v>0</v>
      </c>
      <c r="J145" s="21">
        <f t="shared" si="0"/>
        <v>0</v>
      </c>
      <c r="K145" s="21">
        <f t="shared" si="1"/>
        <v>0</v>
      </c>
      <c r="L145" s="21">
        <f t="shared" si="2"/>
        <v>0</v>
      </c>
      <c r="M145" s="21" t="s">
        <v>660</v>
      </c>
      <c r="P145" s="328"/>
      <c r="Q145" s="328"/>
      <c r="AS145" s="5"/>
      <c r="BB145" s="69" t="s">
        <v>427</v>
      </c>
      <c r="BC145" s="69"/>
      <c r="BD145" s="69"/>
      <c r="BE145" s="69"/>
      <c r="BF145" s="69"/>
      <c r="BG145" s="69"/>
      <c r="BH145" s="69"/>
      <c r="BI145" s="69"/>
      <c r="BJ145" s="69"/>
      <c r="BK145" s="116"/>
      <c r="BL145" s="332"/>
    </row>
    <row r="146" spans="1:64" ht="12.75" hidden="1" customHeight="1" x14ac:dyDescent="0.15">
      <c r="A146" s="259">
        <v>16</v>
      </c>
      <c r="B146" s="51" t="s">
        <v>566</v>
      </c>
      <c r="C146" s="21" t="s">
        <v>527</v>
      </c>
      <c r="D146" s="104">
        <f>IF(ISERROR(HLOOKUP(J146,$Q$26:$AT$27,2)),0,HLOOKUP(J146,$Q$26:$AT$27,2))</f>
        <v>0</v>
      </c>
      <c r="E146" s="104">
        <f>IF(ISERROR(HLOOKUP(K146,$Q$26:$AT$27,2)),0,HLOOKUP(K146,$Q$26:$AT$27,2))</f>
        <v>0</v>
      </c>
      <c r="F146" s="104">
        <f>IF(ISERROR(HLOOKUP(L146,$Q$26:$AT$27,2)),0,HLOOKUP(L146,$Q$26:$AT$27,2))</f>
        <v>0</v>
      </c>
      <c r="G146" s="396">
        <f t="shared" ref="G146:G151" si="3">SUM($F$30:$F$32)</f>
        <v>0</v>
      </c>
      <c r="H146" s="103">
        <f t="shared" ref="H146:H151" si="4">SUM($F$30:$F$32)+$J$51</f>
        <v>0</v>
      </c>
      <c r="I146" s="103">
        <f t="shared" ref="I146:I151" si="5">SUM($F$30:$F$32)+$J$51+$J$60</f>
        <v>0</v>
      </c>
      <c r="J146" s="21">
        <f t="shared" si="0"/>
        <v>0</v>
      </c>
      <c r="K146" s="21">
        <f t="shared" si="1"/>
        <v>0</v>
      </c>
      <c r="L146" s="21">
        <f t="shared" si="2"/>
        <v>0</v>
      </c>
      <c r="M146" s="21" t="s">
        <v>660</v>
      </c>
      <c r="P146" s="328"/>
      <c r="Q146" s="328"/>
      <c r="AS146" s="5"/>
      <c r="BB146" s="69"/>
      <c r="BC146" s="69"/>
      <c r="BD146" s="69"/>
      <c r="BE146" s="333"/>
      <c r="BF146" s="69"/>
      <c r="BG146" s="69"/>
      <c r="BH146" s="69"/>
      <c r="BI146" s="69"/>
      <c r="BJ146" s="69"/>
      <c r="BK146" s="69"/>
      <c r="BL146" s="69"/>
    </row>
    <row r="147" spans="1:64" ht="12.75" hidden="1" customHeight="1" x14ac:dyDescent="0.15">
      <c r="A147" s="259">
        <v>17</v>
      </c>
      <c r="B147" s="51" t="s">
        <v>567</v>
      </c>
      <c r="C147" s="21" t="s">
        <v>547</v>
      </c>
      <c r="D147" s="104">
        <f>IF(ISERROR(HLOOKUP(J147,$Q$73:$V$74,2)),0,HLOOKUP(J147,$Q$73:$V$74,2))</f>
        <v>0</v>
      </c>
      <c r="E147" s="104">
        <f>IF(ISERROR(HLOOKUP(K147,$Q$73:$V$74,2)),0,HLOOKUP(K147,$Q$73:$V$74,2))</f>
        <v>0</v>
      </c>
      <c r="F147" s="104">
        <f>IF(ISERROR(HLOOKUP(L147,$Q$73:$V$74,2)),0,HLOOKUP(L147,$Q$73:$V$74,2))</f>
        <v>0</v>
      </c>
      <c r="G147" s="396">
        <f t="shared" si="3"/>
        <v>0</v>
      </c>
      <c r="H147" s="103">
        <f t="shared" si="4"/>
        <v>0</v>
      </c>
      <c r="I147" s="103">
        <f t="shared" si="5"/>
        <v>0</v>
      </c>
      <c r="J147" s="21">
        <f t="shared" si="0"/>
        <v>0</v>
      </c>
      <c r="K147" s="21">
        <f t="shared" si="1"/>
        <v>0</v>
      </c>
      <c r="L147" s="21">
        <f t="shared" si="2"/>
        <v>0</v>
      </c>
      <c r="M147" s="21" t="s">
        <v>660</v>
      </c>
      <c r="P147" s="328"/>
      <c r="Q147" s="328"/>
      <c r="AS147" s="5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</row>
    <row r="148" spans="1:64" ht="12.75" hidden="1" customHeight="1" x14ac:dyDescent="0.15">
      <c r="A148" s="259">
        <v>18</v>
      </c>
      <c r="B148" s="51" t="s">
        <v>568</v>
      </c>
      <c r="C148" s="21" t="s">
        <v>527</v>
      </c>
      <c r="D148" s="104">
        <f>IF(ISERROR(HLOOKUP(J148,$Q$32:$AF$33,2)),0,HLOOKUP(J148,$Q$32:$AF$33,2))</f>
        <v>0</v>
      </c>
      <c r="E148" s="104">
        <f>IF(ISERROR(HLOOKUP(K148,$Q$32:$AF$33,2)),0,HLOOKUP(K148,$Q$32:$AF$33,2))</f>
        <v>0</v>
      </c>
      <c r="F148" s="104">
        <f>IF(ISERROR(HLOOKUP(L148,$Q$32:$AF$33,2)),0,HLOOKUP(L148,$Q$32:$AF$33,2))</f>
        <v>0</v>
      </c>
      <c r="G148" s="396">
        <f t="shared" si="3"/>
        <v>0</v>
      </c>
      <c r="H148" s="103">
        <f t="shared" si="4"/>
        <v>0</v>
      </c>
      <c r="I148" s="103">
        <f t="shared" si="5"/>
        <v>0</v>
      </c>
      <c r="J148" s="21">
        <f t="shared" si="0"/>
        <v>0</v>
      </c>
      <c r="K148" s="21">
        <f t="shared" si="1"/>
        <v>0</v>
      </c>
      <c r="L148" s="21">
        <f t="shared" si="2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333"/>
      <c r="BF148" s="69"/>
      <c r="BG148" s="69"/>
      <c r="BH148" s="69"/>
      <c r="BI148" s="69"/>
      <c r="BJ148" s="69"/>
      <c r="BK148" s="69"/>
      <c r="BL148" s="69"/>
    </row>
    <row r="149" spans="1:64" ht="12.75" hidden="1" customHeight="1" x14ac:dyDescent="0.15">
      <c r="A149" s="259">
        <v>19</v>
      </c>
      <c r="B149" s="51" t="s">
        <v>569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 t="shared" si="3"/>
        <v>0</v>
      </c>
      <c r="H149" s="103">
        <f t="shared" si="4"/>
        <v>0</v>
      </c>
      <c r="I149" s="103">
        <f t="shared" si="5"/>
        <v>0</v>
      </c>
      <c r="J149" s="21">
        <f t="shared" si="0"/>
        <v>0</v>
      </c>
      <c r="K149" s="21">
        <f t="shared" si="1"/>
        <v>0</v>
      </c>
      <c r="L149" s="21">
        <f t="shared" si="2"/>
        <v>0</v>
      </c>
      <c r="M149" s="21" t="s">
        <v>660</v>
      </c>
      <c r="P149" s="328"/>
      <c r="Q149" s="328"/>
      <c r="AS149" s="5"/>
      <c r="BB149" s="11"/>
      <c r="BC149" s="5"/>
    </row>
    <row r="150" spans="1:64" ht="12.75" hidden="1" customHeight="1" x14ac:dyDescent="0.15">
      <c r="A150" s="259">
        <v>20</v>
      </c>
      <c r="B150" s="51" t="s">
        <v>570</v>
      </c>
      <c r="C150" s="21" t="s">
        <v>613</v>
      </c>
      <c r="D150" s="104">
        <f t="shared" ref="D150:F151" si="6">IF(ISERROR(HLOOKUP(J150,$Q$39:$Y$40,2)),0,HLOOKUP(J150,$Q$39:$Y$40,2))</f>
        <v>0</v>
      </c>
      <c r="E150" s="104">
        <f t="shared" si="6"/>
        <v>0</v>
      </c>
      <c r="F150" s="104">
        <f t="shared" si="6"/>
        <v>0</v>
      </c>
      <c r="G150" s="396">
        <f t="shared" si="3"/>
        <v>0</v>
      </c>
      <c r="H150" s="103">
        <f t="shared" si="4"/>
        <v>0</v>
      </c>
      <c r="I150" s="103">
        <f t="shared" si="5"/>
        <v>0</v>
      </c>
      <c r="J150" s="21">
        <f t="shared" si="0"/>
        <v>0</v>
      </c>
      <c r="K150" s="21">
        <f t="shared" si="1"/>
        <v>0</v>
      </c>
      <c r="L150" s="21">
        <f t="shared" si="2"/>
        <v>0</v>
      </c>
      <c r="M150" s="21" t="s">
        <v>660</v>
      </c>
      <c r="P150" s="328"/>
      <c r="Q150" s="328"/>
      <c r="AS150" s="5"/>
      <c r="BB150" s="11"/>
      <c r="BC150" s="5"/>
    </row>
    <row r="151" spans="1:64" ht="12.75" hidden="1" customHeight="1" x14ac:dyDescent="0.15">
      <c r="A151" s="259">
        <v>21</v>
      </c>
      <c r="B151" s="51" t="s">
        <v>571</v>
      </c>
      <c r="C151" s="21" t="s">
        <v>613</v>
      </c>
      <c r="D151" s="104">
        <f t="shared" si="6"/>
        <v>0</v>
      </c>
      <c r="E151" s="104">
        <f t="shared" si="6"/>
        <v>0</v>
      </c>
      <c r="F151" s="104">
        <f t="shared" si="6"/>
        <v>0</v>
      </c>
      <c r="G151" s="396">
        <f t="shared" si="3"/>
        <v>0</v>
      </c>
      <c r="H151" s="103">
        <f t="shared" si="4"/>
        <v>0</v>
      </c>
      <c r="I151" s="103">
        <f t="shared" si="5"/>
        <v>0</v>
      </c>
      <c r="J151" s="21">
        <f t="shared" si="0"/>
        <v>0</v>
      </c>
      <c r="K151" s="21">
        <f t="shared" si="1"/>
        <v>0</v>
      </c>
      <c r="L151" s="21">
        <f t="shared" si="2"/>
        <v>0</v>
      </c>
      <c r="M151" s="21" t="s">
        <v>660</v>
      </c>
      <c r="P151" s="328"/>
      <c r="Q151" s="328"/>
      <c r="AS151" s="5"/>
      <c r="BB151" s="11"/>
      <c r="BC151" s="5"/>
    </row>
    <row r="152" spans="1:64" ht="12.75" hidden="1" customHeight="1" x14ac:dyDescent="0.15">
      <c r="A152" s="259">
        <v>22</v>
      </c>
      <c r="B152" s="51" t="s">
        <v>572</v>
      </c>
      <c r="C152" s="21"/>
      <c r="D152" s="334"/>
      <c r="E152" s="335"/>
      <c r="F152" s="336"/>
      <c r="G152" s="397"/>
      <c r="H152" s="51"/>
      <c r="M152" s="21" t="s">
        <v>660</v>
      </c>
      <c r="P152" s="328"/>
      <c r="Q152" s="328"/>
      <c r="AS152" s="5"/>
      <c r="BB152" s="11"/>
      <c r="BC152" s="5"/>
    </row>
    <row r="153" spans="1:64" ht="12.75" hidden="1" customHeight="1" x14ac:dyDescent="0.15">
      <c r="A153" s="259">
        <v>23</v>
      </c>
      <c r="B153" s="51" t="s">
        <v>573</v>
      </c>
      <c r="C153" s="21"/>
      <c r="D153" s="334"/>
      <c r="E153" s="335"/>
      <c r="F153" s="336"/>
      <c r="G153" s="397"/>
      <c r="H153" s="51"/>
      <c r="M153" s="21" t="s">
        <v>660</v>
      </c>
      <c r="P153" s="328"/>
      <c r="Q153" s="328"/>
      <c r="AS153" s="5"/>
    </row>
    <row r="154" spans="1:64" ht="12.75" hidden="1" customHeight="1" x14ac:dyDescent="0.15">
      <c r="A154" s="259">
        <v>24</v>
      </c>
      <c r="B154" s="51" t="s">
        <v>574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ref="J154:J185" si="7">ROUNDDOWN(G154/365,0)</f>
        <v>0</v>
      </c>
      <c r="K154" s="21">
        <f t="shared" ref="K154:K185" si="8">ROUNDDOWN(H154/365,0)</f>
        <v>0</v>
      </c>
      <c r="L154" s="21">
        <f t="shared" ref="L154:L185" si="9">ROUNDDOWN(I154/365,0)</f>
        <v>0</v>
      </c>
      <c r="M154" s="21" t="s">
        <v>660</v>
      </c>
      <c r="P154" s="328"/>
      <c r="Q154" s="328"/>
      <c r="AS154" s="5"/>
    </row>
    <row r="155" spans="1:64" ht="12.75" hidden="1" customHeight="1" x14ac:dyDescent="0.15">
      <c r="A155" s="259">
        <v>25</v>
      </c>
      <c r="B155" s="51" t="s">
        <v>580</v>
      </c>
      <c r="C155" s="21" t="s">
        <v>527</v>
      </c>
      <c r="D155" s="104">
        <f>IF(ISERROR(HLOOKUP(J155,$Q$29:$AT$30,2)),0,HLOOKUP(J155,$Q$29:$AT$30,2))</f>
        <v>0</v>
      </c>
      <c r="E155" s="104">
        <f>IF(ISERROR(HLOOKUP(K155,$Q$29:$AT$30,2)),0,HLOOKUP(K155,$Q$29:$AT$30,2))</f>
        <v>0</v>
      </c>
      <c r="F155" s="104">
        <f>IF(ISERROR(HLOOKUP(L155,$Q$29:$AT$30,2)),0,HLOOKUP(L155,$Q$29:$AT$30,2))</f>
        <v>0</v>
      </c>
      <c r="G155" s="396">
        <f>SUM($F$30:$F$32)</f>
        <v>0</v>
      </c>
      <c r="H155" s="103">
        <f>SUM($F$30:$F$32)+$J$51</f>
        <v>0</v>
      </c>
      <c r="I155" s="103">
        <f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</row>
    <row r="156" spans="1:64" ht="12.75" hidden="1" customHeight="1" x14ac:dyDescent="0.15">
      <c r="A156" s="259">
        <v>26</v>
      </c>
      <c r="B156" s="51" t="s">
        <v>581</v>
      </c>
      <c r="C156" s="21" t="s">
        <v>547</v>
      </c>
      <c r="D156" s="104">
        <f>IF(ISERROR(HLOOKUP(J156,$Q$73:$W$74,2)),0,HLOOKUP(J156,$Q$73:$W$74,2))</f>
        <v>0</v>
      </c>
      <c r="E156" s="104">
        <f>IF(ISERROR(HLOOKUP(K156,$Q$73:$W$74,2)),0,HLOOKUP(K156,$Q$73:$W$74,2))</f>
        <v>0</v>
      </c>
      <c r="F156" s="104">
        <f>IF(ISERROR(HLOOKUP(L156,$Q$73:$W$74,2)),0,HLOOKUP(L156,$Q$73:$W$74,2))</f>
        <v>0</v>
      </c>
      <c r="G156" s="396">
        <f>SUM($F$27:$F$32)</f>
        <v>0</v>
      </c>
      <c r="H156" s="103">
        <f>SUM($F$27:$F$32)+$J$51</f>
        <v>0</v>
      </c>
      <c r="I156" s="103">
        <f>SUM($F$27:$F$32)+$J$51+$J$60</f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</row>
    <row r="157" spans="1:64" ht="12.75" hidden="1" customHeight="1" x14ac:dyDescent="0.15">
      <c r="A157" s="259" t="s">
        <v>582</v>
      </c>
      <c r="B157" s="51" t="s">
        <v>684</v>
      </c>
      <c r="C157" s="21" t="s">
        <v>547</v>
      </c>
      <c r="D157" s="104">
        <f>IF(ISERROR(HLOOKUP(J157,$Q$73:$V$74,2)),0,HLOOKUP(J157,$Q$73:$V$74,2))</f>
        <v>0</v>
      </c>
      <c r="E157" s="104">
        <f>IF(ISERROR(HLOOKUP(K157,$Q$73:$V$74,2)),0,HLOOKUP(K157,$Q$73:$V$74,2))</f>
        <v>0</v>
      </c>
      <c r="F157" s="104">
        <f>IF(ISERROR(HLOOKUP(L157,$Q$73:$V$74,2)),0,HLOOKUP(L157,$Q$73:$V$74,2))</f>
        <v>0</v>
      </c>
      <c r="G157" s="396">
        <f>SUM($F$27:$F$32)</f>
        <v>0</v>
      </c>
      <c r="H157" s="103">
        <f>SUM($F$27:$F$32)+$J$51</f>
        <v>0</v>
      </c>
      <c r="I157" s="103">
        <f>SUM($F$27:$F$32)+$J$51+$J$60</f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27</v>
      </c>
      <c r="B158" s="51" t="s">
        <v>583</v>
      </c>
      <c r="C158" s="21" t="s">
        <v>613</v>
      </c>
      <c r="D158" s="104">
        <f>IF(ISERROR(HLOOKUP(J158,$Q$48:$Z$49,2)),0,HLOOKUP(J158,$Q$48:$Z$49,2))</f>
        <v>0</v>
      </c>
      <c r="E158" s="104">
        <f>IF(ISERROR(HLOOKUP(K158,$Q$48:$Z$49,2)),0,HLOOKUP(K158,$Q$48:$Z$49,2))</f>
        <v>0</v>
      </c>
      <c r="F158" s="104">
        <f>IF(ISERROR(HLOOKUP(L158,$Q$48:$Z$49,2)),0,HLOOKUP(L158,$Q$48:$Z$49,2))</f>
        <v>0</v>
      </c>
      <c r="G158" s="396">
        <f t="shared" ref="G158:G165" si="10">SUM($F$30:$F$32)</f>
        <v>0</v>
      </c>
      <c r="H158" s="103">
        <f t="shared" ref="H158:H165" si="11">SUM($F$30:$F$32)+$J$51</f>
        <v>0</v>
      </c>
      <c r="I158" s="103">
        <f t="shared" ref="I158:I165" si="12">SUM($F$30:$F$32)+$J$51+$J$60</f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28</v>
      </c>
      <c r="B159" s="51" t="s">
        <v>584</v>
      </c>
      <c r="C159" s="21" t="s">
        <v>547</v>
      </c>
      <c r="D159" s="104">
        <f>IF(ISERROR(HLOOKUP(J159,$Q$73:$W$74,2)),0,HLOOKUP(J159,$Q$73:$W$74,2))</f>
        <v>0</v>
      </c>
      <c r="E159" s="104">
        <f>IF(ISERROR(HLOOKUP(K159,$Q$73:$W$74,2)),0,HLOOKUP(K159,$Q$73:$W$74,2))</f>
        <v>0</v>
      </c>
      <c r="F159" s="104">
        <f>IF(ISERROR(HLOOKUP(L159,$Q$73:$W$74,2)),0,HLOOKUP(L159,$Q$73:$W$74,2))</f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29</v>
      </c>
      <c r="B160" s="51" t="s">
        <v>585</v>
      </c>
      <c r="C160" s="21" t="s">
        <v>613</v>
      </c>
      <c r="D160" s="104">
        <f>IF(ISERROR(HLOOKUP(J160,$Q$48:$V$49,2)),0,HLOOKUP(J160,$Q$48:$V$49,2))</f>
        <v>0</v>
      </c>
      <c r="E160" s="104">
        <f>IF(ISERROR(HLOOKUP(K160,$Q$48:$V$49,2)),0,HLOOKUP(K160,$Q$48:$V$49,2))</f>
        <v>0</v>
      </c>
      <c r="F160" s="104">
        <f>IF(ISERROR(HLOOKUP(L160,$Q$48:$V$49,2)),0,HLOOKUP(L160,$Q$48:$V$49,2))</f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</row>
    <row r="161" spans="1:45" ht="13.5" hidden="1" customHeight="1" x14ac:dyDescent="0.15">
      <c r="A161" s="259">
        <v>30</v>
      </c>
      <c r="B161" s="51" t="s">
        <v>586</v>
      </c>
      <c r="C161" s="21" t="s">
        <v>613</v>
      </c>
      <c r="D161" s="104">
        <f>IF(ISERROR(HLOOKUP(J161,$Q$48:$AA$49,2)),0,HLOOKUP(J161,$Q$48:$AA$49,2))</f>
        <v>0</v>
      </c>
      <c r="E161" s="104">
        <f>IF(ISERROR(HLOOKUP(K161,$Q$48:$AA$49,2)),0,HLOOKUP(K161,$Q$48:$AA$49,2))</f>
        <v>0</v>
      </c>
      <c r="F161" s="104">
        <f>IF(ISERROR(HLOOKUP(L161,$Q$48:$AA$49,2)),0,HLOOKUP(L161,$Q$48:$AA$49,2))</f>
        <v>0</v>
      </c>
      <c r="G161" s="396">
        <f t="shared" si="10"/>
        <v>0</v>
      </c>
      <c r="H161" s="103">
        <f t="shared" si="11"/>
        <v>0</v>
      </c>
      <c r="I161" s="103">
        <f t="shared" si="12"/>
        <v>0</v>
      </c>
      <c r="J161" s="21">
        <f t="shared" si="7"/>
        <v>0</v>
      </c>
      <c r="K161" s="21">
        <f t="shared" si="8"/>
        <v>0</v>
      </c>
      <c r="L161" s="21">
        <f t="shared" si="9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 t="s">
        <v>587</v>
      </c>
      <c r="B162" s="51" t="s">
        <v>685</v>
      </c>
      <c r="C162" s="21" t="s">
        <v>547</v>
      </c>
      <c r="D162" s="104">
        <f>IF(ISERROR(HLOOKUP(J162,$Q$73:$X$74,2)),0,HLOOKUP(J162,$Q$73:$X$74,2))</f>
        <v>0</v>
      </c>
      <c r="E162" s="104">
        <f>IF(ISERROR(HLOOKUP(K162,$Q$73:$X$74,2)),0,HLOOKUP(K162,$Q$73:$X$74,2))</f>
        <v>0</v>
      </c>
      <c r="F162" s="104">
        <f>IF(ISERROR(HLOOKUP(L162,$Q$73:$X$74,2)),0,HLOOKUP(L162,$Q$73:$X$74,2))</f>
        <v>0</v>
      </c>
      <c r="G162" s="396">
        <f t="shared" si="10"/>
        <v>0</v>
      </c>
      <c r="H162" s="103">
        <f t="shared" si="11"/>
        <v>0</v>
      </c>
      <c r="I162" s="103">
        <f t="shared" si="12"/>
        <v>0</v>
      </c>
      <c r="J162" s="21">
        <f t="shared" si="7"/>
        <v>0</v>
      </c>
      <c r="K162" s="21">
        <f t="shared" si="8"/>
        <v>0</v>
      </c>
      <c r="L162" s="21">
        <f t="shared" si="9"/>
        <v>0</v>
      </c>
      <c r="M162" s="21" t="s">
        <v>660</v>
      </c>
      <c r="P162" s="328"/>
      <c r="Q162" s="328"/>
      <c r="AS162" s="116"/>
    </row>
    <row r="163" spans="1:45" ht="12.75" hidden="1" customHeight="1" x14ac:dyDescent="0.15">
      <c r="A163" s="259">
        <v>31</v>
      </c>
      <c r="B163" s="51" t="s">
        <v>588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 t="shared" si="10"/>
        <v>0</v>
      </c>
      <c r="H163" s="103">
        <f t="shared" si="11"/>
        <v>0</v>
      </c>
      <c r="I163" s="103">
        <f t="shared" si="12"/>
        <v>0</v>
      </c>
      <c r="J163" s="21">
        <f t="shared" si="7"/>
        <v>0</v>
      </c>
      <c r="K163" s="21">
        <f t="shared" si="8"/>
        <v>0</v>
      </c>
      <c r="L163" s="21">
        <f t="shared" si="9"/>
        <v>0</v>
      </c>
      <c r="M163" s="21" t="s">
        <v>660</v>
      </c>
      <c r="P163" s="328"/>
      <c r="Q163" s="328"/>
      <c r="AS163" s="69"/>
    </row>
    <row r="164" spans="1:45" ht="12.75" hidden="1" customHeight="1" x14ac:dyDescent="0.15">
      <c r="A164" s="259">
        <v>32</v>
      </c>
      <c r="B164" s="338" t="s">
        <v>617</v>
      </c>
      <c r="C164" s="21" t="s">
        <v>613</v>
      </c>
      <c r="D164" s="104">
        <f>IF(ISERROR(HLOOKUP(J164,$Q$42:$AA$43,2)),0,HLOOKUP(J164,$Q$42:$AA$43,2))</f>
        <v>0</v>
      </c>
      <c r="E164" s="104">
        <f>IF(ISERROR(HLOOKUP(K164,$Q$42:$AA$43,2)),0,HLOOKUP(K164,$Q$42:$AA$43,2))</f>
        <v>0</v>
      </c>
      <c r="F164" s="104">
        <f>IF(ISERROR(HLOOKUP(L164,$Q$42:$AA$43,2)),0,HLOOKUP(L164,$Q$42:$AA$43,2))</f>
        <v>0</v>
      </c>
      <c r="G164" s="396">
        <f t="shared" si="10"/>
        <v>0</v>
      </c>
      <c r="H164" s="103">
        <f t="shared" si="11"/>
        <v>0</v>
      </c>
      <c r="I164" s="103">
        <f t="shared" si="12"/>
        <v>0</v>
      </c>
      <c r="J164" s="21">
        <f t="shared" si="7"/>
        <v>0</v>
      </c>
      <c r="K164" s="21">
        <f t="shared" si="8"/>
        <v>0</v>
      </c>
      <c r="L164" s="21">
        <f t="shared" si="9"/>
        <v>0</v>
      </c>
      <c r="M164" s="78" t="s">
        <v>661</v>
      </c>
      <c r="P164" s="44"/>
      <c r="Q164" s="44"/>
      <c r="AS164" s="69"/>
    </row>
    <row r="165" spans="1:45" ht="12.75" hidden="1" customHeight="1" x14ac:dyDescent="0.15">
      <c r="A165" s="259">
        <v>33</v>
      </c>
      <c r="B165" s="338" t="s">
        <v>618</v>
      </c>
      <c r="C165" s="21" t="s">
        <v>613</v>
      </c>
      <c r="D165" s="104">
        <f>IF(ISERROR(HLOOKUP(J165,$Q$39:$AA$40,2)),0,HLOOKUP(J165,$Q$39:$AA$40,2))</f>
        <v>0</v>
      </c>
      <c r="E165" s="104">
        <f>IF(ISERROR(HLOOKUP(K165,$Q$39:$AA$40,2)),0,HLOOKUP(K165,$Q$39:$AA$40,2))</f>
        <v>0</v>
      </c>
      <c r="F165" s="104">
        <f>IF(ISERROR(HLOOKUP(L165,$Q$39:$AA$40,2)),0,HLOOKUP(L165,$Q$39:$AA$40,2))</f>
        <v>0</v>
      </c>
      <c r="G165" s="396">
        <f t="shared" si="10"/>
        <v>0</v>
      </c>
      <c r="H165" s="103">
        <f t="shared" si="11"/>
        <v>0</v>
      </c>
      <c r="I165" s="103">
        <f t="shared" si="12"/>
        <v>0</v>
      </c>
      <c r="J165" s="21">
        <f t="shared" si="7"/>
        <v>0</v>
      </c>
      <c r="K165" s="21">
        <f t="shared" si="8"/>
        <v>0</v>
      </c>
      <c r="L165" s="21">
        <f t="shared" si="9"/>
        <v>0</v>
      </c>
      <c r="M165" s="78" t="s">
        <v>661</v>
      </c>
      <c r="P165" s="44"/>
      <c r="Q165" s="44"/>
      <c r="AS165" s="69"/>
    </row>
    <row r="166" spans="1:45" ht="12.75" hidden="1" customHeight="1" x14ac:dyDescent="0.15">
      <c r="A166" s="259">
        <v>34</v>
      </c>
      <c r="B166" s="338" t="s">
        <v>619</v>
      </c>
      <c r="C166" s="21" t="s">
        <v>527</v>
      </c>
      <c r="D166" s="104">
        <f>IF(ISERROR(HLOOKUP(J166,$Q$26:$AY$27,2)),0,HLOOKUP(J166,$Q$26:$AY$27,2))</f>
        <v>0</v>
      </c>
      <c r="E166" s="104">
        <f>IF(ISERROR(HLOOKUP(K166,$Q$26:$AY$27,2)),0,HLOOKUP(K166,$Q$26:$AY$27,2))</f>
        <v>0</v>
      </c>
      <c r="F166" s="104">
        <f>IF(ISERROR(HLOOKUP(L166,$Q$26:$AY$27,2)),0,HLOOKUP(L166,$Q$26:$AY$27,2))</f>
        <v>0</v>
      </c>
      <c r="G166" s="396">
        <f>SUM($F$27:$F$33)</f>
        <v>0</v>
      </c>
      <c r="H166" s="103">
        <f>SUM($F$27:$F$33)+$J$51</f>
        <v>0</v>
      </c>
      <c r="I166" s="103">
        <f>SUM($F$27:$F$33)+$J$51+$J$60</f>
        <v>0</v>
      </c>
      <c r="J166" s="21">
        <f t="shared" si="7"/>
        <v>0</v>
      </c>
      <c r="K166" s="21">
        <f t="shared" si="8"/>
        <v>0</v>
      </c>
      <c r="L166" s="21">
        <f t="shared" si="9"/>
        <v>0</v>
      </c>
      <c r="M166" s="78" t="s">
        <v>661</v>
      </c>
      <c r="P166" s="44"/>
      <c r="Q166" s="44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</row>
    <row r="167" spans="1:45" ht="12.75" hidden="1" customHeight="1" x14ac:dyDescent="0.15">
      <c r="A167" s="259">
        <v>35</v>
      </c>
      <c r="B167" s="338" t="s">
        <v>620</v>
      </c>
      <c r="C167" s="21" t="s">
        <v>613</v>
      </c>
      <c r="D167" s="104">
        <f>IF(ISERROR(HLOOKUP(J167,$Q$39:$AB$40,2)),0,HLOOKUP(J167,$Q$39:$AB$40,2))</f>
        <v>0</v>
      </c>
      <c r="E167" s="104">
        <f>IF(ISERROR(HLOOKUP(K167,$Q$39:$AB$40,2)),0,HLOOKUP(K167,$Q$39:$AB$40,2))</f>
        <v>0</v>
      </c>
      <c r="F167" s="104">
        <f>IF(ISERROR(HLOOKUP(L167,$Q$39:$AB$40,2)),0,HLOOKUP(L167,$Q$39:$AB$40,2))</f>
        <v>0</v>
      </c>
      <c r="G167" s="396">
        <f>SUM($F$27:$F$32)</f>
        <v>0</v>
      </c>
      <c r="H167" s="103">
        <f>SUM($F$27:$F$32)+$J$51</f>
        <v>0</v>
      </c>
      <c r="I167" s="103">
        <f>SUM($F$27:$F$32)+$J$51+$J$60</f>
        <v>0</v>
      </c>
      <c r="J167" s="21">
        <f t="shared" si="7"/>
        <v>0</v>
      </c>
      <c r="K167" s="21">
        <f t="shared" si="8"/>
        <v>0</v>
      </c>
      <c r="L167" s="21">
        <f t="shared" si="9"/>
        <v>0</v>
      </c>
      <c r="M167" s="78" t="s">
        <v>661</v>
      </c>
      <c r="P167" s="44"/>
      <c r="Q167" s="44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</row>
    <row r="168" spans="1:45" ht="12.75" hidden="1" customHeight="1" x14ac:dyDescent="0.15">
      <c r="A168" s="259">
        <v>36</v>
      </c>
      <c r="B168" s="339" t="s">
        <v>621</v>
      </c>
      <c r="C168" s="21" t="s">
        <v>613</v>
      </c>
      <c r="D168" s="104">
        <f>IF(ISERROR(HLOOKUP(J168,$Q$39:$AA$40,2)),0,HLOOKUP(J168,$Q$39:$AA$40,2))</f>
        <v>0</v>
      </c>
      <c r="E168" s="104">
        <f>IF(ISERROR(HLOOKUP(K168,$Q$39:$AA$40,2)),0,HLOOKUP(K168,$Q$39:$AA$40,2))</f>
        <v>0</v>
      </c>
      <c r="F168" s="104">
        <f>IF(ISERROR(HLOOKUP(L168,$Q$39:$AA$40,2)),0,HLOOKUP(L168,$Q$39:$AA$40,2))</f>
        <v>0</v>
      </c>
      <c r="G168" s="396">
        <f>SUM($F$30:$F$32)</f>
        <v>0</v>
      </c>
      <c r="H168" s="103">
        <f>SUM($F$30:$F$32)+$J$51</f>
        <v>0</v>
      </c>
      <c r="I168" s="103">
        <f>SUM($F$30:$F$32)+$J$51+$J$60</f>
        <v>0</v>
      </c>
      <c r="J168" s="21">
        <f t="shared" si="7"/>
        <v>0</v>
      </c>
      <c r="K168" s="21">
        <f t="shared" si="8"/>
        <v>0</v>
      </c>
      <c r="L168" s="21">
        <f t="shared" si="9"/>
        <v>0</v>
      </c>
      <c r="M168" s="78" t="s">
        <v>661</v>
      </c>
      <c r="P168" s="44"/>
      <c r="Q168" s="44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</row>
    <row r="169" spans="1:45" ht="12.75" hidden="1" customHeight="1" x14ac:dyDescent="0.15">
      <c r="A169" s="259">
        <v>37</v>
      </c>
      <c r="B169" s="340" t="s">
        <v>622</v>
      </c>
      <c r="C169" s="21" t="s">
        <v>547</v>
      </c>
      <c r="D169" s="104">
        <f t="shared" ref="D169:F170" si="13">IF(ISERROR(HLOOKUP(J169,$Q$73:$AB$74,2)),0,HLOOKUP(J169,$Q$73:$AB$74,2))</f>
        <v>0</v>
      </c>
      <c r="E169" s="104">
        <f t="shared" si="13"/>
        <v>0</v>
      </c>
      <c r="F169" s="104">
        <f t="shared" si="13"/>
        <v>0</v>
      </c>
      <c r="G169" s="396">
        <f>SUM($F$27:$F$32)</f>
        <v>0</v>
      </c>
      <c r="H169" s="103">
        <f>SUM($F$27:$F$32)+$J$51</f>
        <v>0</v>
      </c>
      <c r="I169" s="103">
        <f>SUM($F$27:$F$32)+$J$51+$J$60</f>
        <v>0</v>
      </c>
      <c r="J169" s="21">
        <f t="shared" si="7"/>
        <v>0</v>
      </c>
      <c r="K169" s="21">
        <f t="shared" si="8"/>
        <v>0</v>
      </c>
      <c r="L169" s="21">
        <f t="shared" si="9"/>
        <v>0</v>
      </c>
      <c r="M169" s="78" t="s">
        <v>661</v>
      </c>
      <c r="P169" s="44"/>
      <c r="Q169" s="44"/>
      <c r="AH169" s="69"/>
      <c r="AI169" s="116"/>
      <c r="AJ169" s="116"/>
      <c r="AK169" s="116"/>
      <c r="AL169" s="69"/>
      <c r="AM169" s="69"/>
      <c r="AN169" s="69"/>
      <c r="AO169" s="69"/>
      <c r="AP169" s="69"/>
      <c r="AQ169" s="69"/>
      <c r="AR169" s="69"/>
      <c r="AS169" s="69"/>
    </row>
    <row r="170" spans="1:45" ht="12.75" hidden="1" customHeight="1" x14ac:dyDescent="0.15">
      <c r="A170" s="259">
        <v>38</v>
      </c>
      <c r="B170" s="340" t="s">
        <v>623</v>
      </c>
      <c r="C170" s="21" t="s">
        <v>547</v>
      </c>
      <c r="D170" s="104">
        <f t="shared" si="13"/>
        <v>0</v>
      </c>
      <c r="E170" s="104">
        <f t="shared" si="13"/>
        <v>0</v>
      </c>
      <c r="F170" s="104">
        <f t="shared" si="13"/>
        <v>0</v>
      </c>
      <c r="G170" s="396">
        <f>SUM($F$30:$F$32)</f>
        <v>0</v>
      </c>
      <c r="H170" s="103">
        <f>SUM($F$30:$F$32)+$J$51</f>
        <v>0</v>
      </c>
      <c r="I170" s="103">
        <f>SUM($F$30:$F$32)+$J$51+$J$60</f>
        <v>0</v>
      </c>
      <c r="J170" s="21">
        <f t="shared" si="7"/>
        <v>0</v>
      </c>
      <c r="K170" s="21">
        <f t="shared" si="8"/>
        <v>0</v>
      </c>
      <c r="L170" s="21">
        <f t="shared" si="9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thickBot="1" x14ac:dyDescent="0.2">
      <c r="A171" s="259">
        <v>39</v>
      </c>
      <c r="B171" s="340" t="s">
        <v>624</v>
      </c>
      <c r="C171" s="21" t="s">
        <v>613</v>
      </c>
      <c r="D171" s="104">
        <f>IF(ISERROR(HLOOKUP(J171,$Q$48:$Y$49,2)),0,HLOOKUP(J171,$Q$48:$Y$49,2))</f>
        <v>0</v>
      </c>
      <c r="E171" s="104">
        <f>IF(ISERROR(HLOOKUP(K171,$Q$48:$Y$49,2)),0,HLOOKUP(K171,$Q$48:$Y$49,2))</f>
        <v>0</v>
      </c>
      <c r="F171" s="104">
        <f>IF(ISERROR(HLOOKUP(L171,$Q$48:$Y$49,2)),0,HLOOKUP(L171,$Q$48:$Y$49,2))</f>
        <v>0</v>
      </c>
      <c r="G171" s="396">
        <f>SUM($F$30:$F$32)</f>
        <v>0</v>
      </c>
      <c r="H171" s="103">
        <f>SUM($F$30:$F$32)+$J$51</f>
        <v>0</v>
      </c>
      <c r="I171" s="103">
        <f>SUM($F$30:$F$32)+$J$51+$J$60</f>
        <v>0</v>
      </c>
      <c r="J171" s="21">
        <f t="shared" si="7"/>
        <v>0</v>
      </c>
      <c r="K171" s="21">
        <f t="shared" si="8"/>
        <v>0</v>
      </c>
      <c r="L171" s="21">
        <f t="shared" si="9"/>
        <v>0</v>
      </c>
      <c r="M171" s="78" t="s">
        <v>661</v>
      </c>
      <c r="P171" s="44"/>
      <c r="Q171" s="44"/>
    </row>
    <row r="172" spans="1:45" ht="12.75" hidden="1" customHeight="1" x14ac:dyDescent="0.15">
      <c r="A172" s="259">
        <v>40</v>
      </c>
      <c r="B172" s="340" t="s">
        <v>625</v>
      </c>
      <c r="C172" s="21" t="s">
        <v>613</v>
      </c>
      <c r="D172" s="104">
        <f>IF(ISERROR(HLOOKUP(J172,$Q$48:$AA$49,2)),0,HLOOKUP(J172,$Q$48:$AA$49,2))</f>
        <v>0</v>
      </c>
      <c r="E172" s="104">
        <f>IF(ISERROR(HLOOKUP(K172,$Q$48:$AA$49,2)),0,HLOOKUP(K172,$Q$48:$AA$49,2))</f>
        <v>0</v>
      </c>
      <c r="F172" s="104">
        <f>IF(ISERROR(HLOOKUP(L172,$Q$48:$AA$49,2)),0,HLOOKUP(L172,$Q$48:$AA$49,2))</f>
        <v>0</v>
      </c>
      <c r="G172" s="396">
        <f>SUM($F$27:$F$32)</f>
        <v>0</v>
      </c>
      <c r="H172" s="103">
        <f>SUM($F$27:$F$32)+$J$51</f>
        <v>0</v>
      </c>
      <c r="I172" s="103">
        <f>SUM($F$27:$F$32)+$J$51+$J$60</f>
        <v>0</v>
      </c>
      <c r="J172" s="21">
        <f t="shared" si="7"/>
        <v>0</v>
      </c>
      <c r="K172" s="21">
        <f t="shared" si="8"/>
        <v>0</v>
      </c>
      <c r="L172" s="21">
        <f t="shared" si="9"/>
        <v>0</v>
      </c>
      <c r="M172" s="78" t="s">
        <v>661</v>
      </c>
      <c r="N172" s="341" t="s">
        <v>613</v>
      </c>
      <c r="O172" s="256">
        <f>IF(ISERROR(HLOOKUP(J173,$Q$63:$AA$64,2)),0,HLOOKUP(J173,$Q$63:$AA$64,2))</f>
        <v>0</v>
      </c>
      <c r="P172" s="144">
        <f>IF(ISERROR(HLOOKUP(K173,$Q$63:$AA$64,2)),0,HLOOKUP(K173,$Q$63:$AA$64,2))</f>
        <v>0</v>
      </c>
      <c r="Q172" s="144">
        <f>IF(ISERROR(HLOOKUP(L173,$Q$63:$AA$64,2)),0,HLOOKUP(L173,$Q$63:$AA$64,2))</f>
        <v>0</v>
      </c>
      <c r="R172" s="342" t="s">
        <v>695</v>
      </c>
    </row>
    <row r="173" spans="1:45" ht="12.75" hidden="1" customHeight="1" thickBot="1" x14ac:dyDescent="0.2">
      <c r="A173" s="259">
        <v>41</v>
      </c>
      <c r="B173" s="340" t="s">
        <v>626</v>
      </c>
      <c r="C173" s="21" t="str">
        <f>IF($N$8&gt;=$R$173,$P$20,$P$19)</f>
        <v>TRIÊNIO</v>
      </c>
      <c r="D173" s="343">
        <f>IF($C$173=$N$172,$O$172,$O$173)</f>
        <v>0</v>
      </c>
      <c r="E173" s="343">
        <f>IF($C$173=$N$172,$P$172,$P$173)</f>
        <v>0</v>
      </c>
      <c r="F173" s="343">
        <f>IF($C$173=$N$172,$Q$172,$Q$173)</f>
        <v>0</v>
      </c>
      <c r="G173" s="396">
        <f>SUM($F$30:$F$32)</f>
        <v>0</v>
      </c>
      <c r="H173" s="103">
        <f>SUM($F$30:$F$32)+$J$51</f>
        <v>0</v>
      </c>
      <c r="I173" s="103">
        <f>SUM($F$30:$F$32)+$J$51+$J$60</f>
        <v>0</v>
      </c>
      <c r="J173" s="21">
        <f t="shared" si="7"/>
        <v>0</v>
      </c>
      <c r="K173" s="21">
        <f t="shared" si="8"/>
        <v>0</v>
      </c>
      <c r="L173" s="21">
        <f t="shared" si="9"/>
        <v>0</v>
      </c>
      <c r="M173" s="78" t="s">
        <v>661</v>
      </c>
      <c r="N173" s="344" t="s">
        <v>547</v>
      </c>
      <c r="O173" s="257">
        <f>IF(ISERROR(HLOOKUP(J173,$Q$73:$W$74,2)),0,HLOOKUP(J173,$Q$73:$W$74,2))</f>
        <v>0</v>
      </c>
      <c r="P173" s="145">
        <f>IF(ISERROR(HLOOKUP(K173,$Q$73:$W$74,2)),0,HLOOKUP(K173,$Q$73:$W$74,2))</f>
        <v>0</v>
      </c>
      <c r="Q173" s="145">
        <f>IF(ISERROR(HLOOKUP(L173,$Q$73:$W$74,2)),0,HLOOKUP(L173,$Q$73:$W$74,2))</f>
        <v>0</v>
      </c>
      <c r="R173" s="398">
        <v>36539</v>
      </c>
      <c r="S173" s="103"/>
      <c r="T173" s="103"/>
    </row>
    <row r="174" spans="1:45" ht="12.75" hidden="1" customHeight="1" x14ac:dyDescent="0.15">
      <c r="A174" s="259">
        <v>42</v>
      </c>
      <c r="B174" s="340" t="s">
        <v>627</v>
      </c>
      <c r="C174" s="21"/>
      <c r="D174" s="54"/>
      <c r="E174" s="54"/>
      <c r="F174" s="54"/>
      <c r="G174" s="396">
        <f>SUM($F$27:$F$32)</f>
        <v>0</v>
      </c>
      <c r="H174" s="103">
        <f>SUM($F$27:$F$32)+$J$51</f>
        <v>0</v>
      </c>
      <c r="I174" s="103">
        <f>SUM($F$27:$F$32)+$J$51+$J$60</f>
        <v>0</v>
      </c>
      <c r="J174" s="21">
        <f t="shared" si="7"/>
        <v>0</v>
      </c>
      <c r="K174" s="21">
        <f t="shared" si="8"/>
        <v>0</v>
      </c>
      <c r="L174" s="21">
        <f t="shared" si="9"/>
        <v>0</v>
      </c>
      <c r="M174" s="78" t="s">
        <v>661</v>
      </c>
      <c r="P174" s="44"/>
      <c r="Q174" s="44"/>
    </row>
    <row r="175" spans="1:45" ht="12.75" hidden="1" customHeight="1" x14ac:dyDescent="0.15">
      <c r="A175" s="259">
        <v>43</v>
      </c>
      <c r="B175" s="340" t="s">
        <v>628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7"/>
        <v>0</v>
      </c>
      <c r="K175" s="21">
        <f t="shared" si="8"/>
        <v>0</v>
      </c>
      <c r="L175" s="21">
        <f t="shared" si="9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44</v>
      </c>
      <c r="B176" s="340" t="s">
        <v>629</v>
      </c>
      <c r="C176" s="21" t="s">
        <v>547</v>
      </c>
      <c r="D176" s="104">
        <f t="shared" ref="D176:F177" si="14">IF(ISERROR(HLOOKUP(J176,$Q$73:$W$74,2)),0,HLOOKUP(J176,$Q$73:$W$74,2))</f>
        <v>0</v>
      </c>
      <c r="E176" s="104">
        <f t="shared" si="14"/>
        <v>0</v>
      </c>
      <c r="F176" s="104">
        <f t="shared" si="14"/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7"/>
        <v>0</v>
      </c>
      <c r="K176" s="21">
        <f t="shared" si="8"/>
        <v>0</v>
      </c>
      <c r="L176" s="21">
        <f t="shared" si="9"/>
        <v>0</v>
      </c>
      <c r="M176" s="78" t="s">
        <v>661</v>
      </c>
      <c r="P176" s="44"/>
      <c r="Q176" s="44"/>
    </row>
    <row r="177" spans="1:33" ht="12.75" hidden="1" customHeight="1" x14ac:dyDescent="0.15">
      <c r="A177" s="259">
        <v>45</v>
      </c>
      <c r="B177" s="340" t="s">
        <v>630</v>
      </c>
      <c r="C177" s="21" t="s">
        <v>547</v>
      </c>
      <c r="D177" s="104">
        <f t="shared" si="14"/>
        <v>0</v>
      </c>
      <c r="E177" s="104">
        <f t="shared" si="14"/>
        <v>0</v>
      </c>
      <c r="F177" s="104">
        <f t="shared" si="14"/>
        <v>0</v>
      </c>
      <c r="G177" s="396">
        <f>SUM($F$27:$F$32)</f>
        <v>0</v>
      </c>
      <c r="H177" s="103">
        <f>SUM($F$27:$F$32)+$J$51</f>
        <v>0</v>
      </c>
      <c r="I177" s="103">
        <f>SUM($F$27:$F$32)+$J$51+$J$60</f>
        <v>0</v>
      </c>
      <c r="J177" s="21">
        <f t="shared" si="7"/>
        <v>0</v>
      </c>
      <c r="K177" s="21">
        <f t="shared" si="8"/>
        <v>0</v>
      </c>
      <c r="L177" s="21">
        <f t="shared" si="9"/>
        <v>0</v>
      </c>
      <c r="M177" s="78" t="s">
        <v>661</v>
      </c>
      <c r="P177" s="44"/>
      <c r="Q177" s="44"/>
    </row>
    <row r="178" spans="1:33" ht="12.75" hidden="1" customHeight="1" x14ac:dyDescent="0.15">
      <c r="A178" s="259">
        <v>46</v>
      </c>
      <c r="B178" s="340" t="s">
        <v>631</v>
      </c>
      <c r="C178" s="21" t="s">
        <v>527</v>
      </c>
      <c r="D178" s="104">
        <f>IF(ISERROR(HLOOKUP(J178,$Q$26:$AY$27,2)),0,HLOOKUP(J178,$Q$26:$AY$27,2))</f>
        <v>0</v>
      </c>
      <c r="E178" s="104">
        <f>IF(ISERROR(HLOOKUP(K178,$Q$26:$AY$27,2)),0,HLOOKUP(K178,$Q$26:$AY$27,2))</f>
        <v>0</v>
      </c>
      <c r="F178" s="104">
        <f>IF(ISERROR(HLOOKUP(L178,$Q$26:$AY$27,2)),0,HLOOKUP(L178,$Q$26:$AY$27,2))</f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7"/>
        <v>0</v>
      </c>
      <c r="K178" s="21">
        <f t="shared" si="8"/>
        <v>0</v>
      </c>
      <c r="L178" s="21">
        <f t="shared" si="9"/>
        <v>0</v>
      </c>
      <c r="M178" s="78" t="s">
        <v>661</v>
      </c>
      <c r="P178" s="44"/>
      <c r="Q178" s="44"/>
    </row>
    <row r="179" spans="1:33" ht="12.75" hidden="1" customHeight="1" x14ac:dyDescent="0.15">
      <c r="A179" s="259">
        <v>47</v>
      </c>
      <c r="B179" s="340" t="s">
        <v>632</v>
      </c>
      <c r="C179" s="21" t="s">
        <v>613</v>
      </c>
      <c r="D179" s="104">
        <f>IF(ISERROR(HLOOKUP(J179,$Q$48:$Z$49,2)),0,HLOOKUP(J179,$Q$48:$Z$49,2))</f>
        <v>0</v>
      </c>
      <c r="E179" s="104">
        <f>IF(ISERROR(HLOOKUP(K179,$Q$48:$Z$49,2)),0,HLOOKUP(K179,$Q$48:$Z$49,2))</f>
        <v>0</v>
      </c>
      <c r="F179" s="104">
        <f>IF(ISERROR(HLOOKUP(L179,$Q$48:$Z$49,2)),0,HLOOKUP(L179,$Q$48:$Z$49,2))</f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7"/>
        <v>0</v>
      </c>
      <c r="K179" s="21">
        <f t="shared" si="8"/>
        <v>0</v>
      </c>
      <c r="L179" s="21">
        <f t="shared" si="9"/>
        <v>0</v>
      </c>
      <c r="M179" s="78" t="s">
        <v>661</v>
      </c>
      <c r="P179" s="44"/>
      <c r="Q179" s="44"/>
    </row>
    <row r="180" spans="1:33" ht="12.75" hidden="1" customHeight="1" x14ac:dyDescent="0.15">
      <c r="A180" s="259">
        <v>48</v>
      </c>
      <c r="B180" s="340" t="s">
        <v>633</v>
      </c>
      <c r="C180" s="21" t="s">
        <v>613</v>
      </c>
      <c r="D180" s="104">
        <f>IF(ISERROR(HLOOKUP(J180,$Q$48:$AJ$49,2)),0,HLOOKUP(J180,$Q$48:$AJ$49,2))</f>
        <v>0</v>
      </c>
      <c r="E180" s="104">
        <f>IF(ISERROR(HLOOKUP(K180,$Q$48:$AJ$49,2)),0,HLOOKUP(K180,$Q$48:$AJ$49,2))</f>
        <v>0</v>
      </c>
      <c r="F180" s="104">
        <f>IF(ISERROR(HLOOKUP(L180,$Q$48:$AJ$49,2)),0,HLOOKUP(L180,$Q$48:$AJ$49,2))</f>
        <v>0</v>
      </c>
      <c r="G180" s="396">
        <f>SUM($F$30:$F$33)</f>
        <v>0</v>
      </c>
      <c r="H180" s="103">
        <f>SUM($F$30:$F$33)+$J$51</f>
        <v>0</v>
      </c>
      <c r="I180" s="103">
        <f>SUM($F$30:$F$33)+$J$51+$J$60</f>
        <v>0</v>
      </c>
      <c r="J180" s="21">
        <f t="shared" si="7"/>
        <v>0</v>
      </c>
      <c r="K180" s="21">
        <f t="shared" si="8"/>
        <v>0</v>
      </c>
      <c r="L180" s="21">
        <f t="shared" si="9"/>
        <v>0</v>
      </c>
      <c r="M180" s="78" t="s">
        <v>661</v>
      </c>
      <c r="P180" s="44"/>
      <c r="Q180" s="44"/>
    </row>
    <row r="181" spans="1:33" ht="12.75" hidden="1" customHeight="1" x14ac:dyDescent="0.15">
      <c r="A181" s="259">
        <v>49</v>
      </c>
      <c r="B181" s="340" t="s">
        <v>634</v>
      </c>
      <c r="C181" s="21" t="s">
        <v>613</v>
      </c>
      <c r="D181" s="104">
        <f>IF(ISERROR(HLOOKUP(J181,$Q$48:$Z$49,2)),0,HLOOKUP(J181,$Q$48:$Z$49,2))</f>
        <v>0</v>
      </c>
      <c r="E181" s="104">
        <f>IF(ISERROR(HLOOKUP(K181,$Q$48:$Z$49,2)),0,HLOOKUP(K181,$Q$48:$Z$49,2))</f>
        <v>0</v>
      </c>
      <c r="F181" s="104">
        <f>IF(ISERROR(HLOOKUP(L181,$Q$48:$Z$49,2)),0,HLOOKUP(L181,$Q$48:$Z$49,2))</f>
        <v>0</v>
      </c>
      <c r="G181" s="396">
        <f>SUM($F$30:$F$33)</f>
        <v>0</v>
      </c>
      <c r="H181" s="103">
        <f>SUM($F$30:$F$33)+$J$51</f>
        <v>0</v>
      </c>
      <c r="I181" s="103">
        <f>SUM($F$30:$F$33)+$J$51+$J$60</f>
        <v>0</v>
      </c>
      <c r="J181" s="21">
        <f t="shared" si="7"/>
        <v>0</v>
      </c>
      <c r="K181" s="21">
        <f t="shared" si="8"/>
        <v>0</v>
      </c>
      <c r="L181" s="21">
        <f t="shared" si="9"/>
        <v>0</v>
      </c>
      <c r="M181" s="78" t="s">
        <v>661</v>
      </c>
      <c r="P181" s="44"/>
      <c r="Q181" s="44"/>
    </row>
    <row r="182" spans="1:33" ht="12.75" hidden="1" customHeight="1" x14ac:dyDescent="0.15">
      <c r="A182" s="259">
        <v>50</v>
      </c>
      <c r="B182" s="340" t="s">
        <v>635</v>
      </c>
      <c r="C182" s="21" t="s">
        <v>613</v>
      </c>
      <c r="D182" s="104">
        <f>IF(ISERROR(HLOOKUP(J182,$Q$39:$AB$40,2)),0,HLOOKUP(J182,$Q$39:$AB$40,2))</f>
        <v>0</v>
      </c>
      <c r="E182" s="104">
        <f>IF(ISERROR(HLOOKUP(K182,$Q$39:$AB$40,2)),0,HLOOKUP(K182,$Q$39:$AB$40,2))</f>
        <v>0</v>
      </c>
      <c r="F182" s="104">
        <f>IF(ISERROR(HLOOKUP(L182,$Q$39:$AB$40,2)),0,HLOOKUP(L182,$Q$39:$AB$40,2))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7"/>
        <v>0</v>
      </c>
      <c r="K182" s="21">
        <f t="shared" si="8"/>
        <v>0</v>
      </c>
      <c r="L182" s="21">
        <f t="shared" si="9"/>
        <v>0</v>
      </c>
      <c r="M182" s="78" t="s">
        <v>661</v>
      </c>
      <c r="P182" s="44"/>
      <c r="Q182" s="44"/>
    </row>
    <row r="183" spans="1:33" ht="12.75" hidden="1" customHeight="1" x14ac:dyDescent="0.15">
      <c r="A183" s="259">
        <v>51</v>
      </c>
      <c r="B183" s="340" t="s">
        <v>636</v>
      </c>
      <c r="C183" s="21" t="s">
        <v>613</v>
      </c>
      <c r="D183" s="104">
        <f>IF(ISERROR(HLOOKUP(J183,$Q$39:$AA$40,2)),0,HLOOKUP(J183,$Q$39:$AA$40,2))</f>
        <v>0</v>
      </c>
      <c r="E183" s="104">
        <f>IF(ISERROR(HLOOKUP(K183,$Q$39:$AA$40,2)),0,HLOOKUP(K183,$Q$39:$AA$40,2))</f>
        <v>0</v>
      </c>
      <c r="F183" s="104">
        <f>IF(ISERROR(HLOOKUP(L183,$Q$39:$AA$40,2)),0,HLOOKUP(L183,$Q$39:$AA$40,2))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7"/>
        <v>0</v>
      </c>
      <c r="K183" s="21">
        <f t="shared" si="8"/>
        <v>0</v>
      </c>
      <c r="L183" s="21">
        <f t="shared" si="9"/>
        <v>0</v>
      </c>
      <c r="M183" s="78" t="s">
        <v>661</v>
      </c>
      <c r="P183" s="44"/>
      <c r="Q183" s="44"/>
    </row>
    <row r="184" spans="1:33" ht="12.75" hidden="1" customHeight="1" x14ac:dyDescent="0.15">
      <c r="A184" s="259">
        <v>52</v>
      </c>
      <c r="B184" s="340" t="s">
        <v>637</v>
      </c>
      <c r="C184" s="21" t="s">
        <v>613</v>
      </c>
      <c r="D184" s="104">
        <f>IF(ISERROR(HLOOKUP(J184,$Q$66:$X$67,2)),0,HLOOKUP(J184,$Q$66:$X$67,2))</f>
        <v>0</v>
      </c>
      <c r="E184" s="104">
        <f>IF(ISERROR(HLOOKUP(K184,$Q$66:$X$67,2)),0,HLOOKUP(K184,$Q$66:$X$67,2))</f>
        <v>0</v>
      </c>
      <c r="F184" s="104">
        <f>IF(ISERROR(HLOOKUP(L184,$Q$66:$X$67,2)),0,HLOOKUP(L184,$Q$66:$X$67,2))</f>
        <v>0</v>
      </c>
      <c r="G184" s="396">
        <f>SUM($F$27:$F$32)</f>
        <v>0</v>
      </c>
      <c r="H184" s="103">
        <f>SUM($F$27:$F$32)+$J$51</f>
        <v>0</v>
      </c>
      <c r="I184" s="103">
        <f>SUM($F$27:$F$32)+$J$51+$J$60</f>
        <v>0</v>
      </c>
      <c r="J184" s="21">
        <f t="shared" si="7"/>
        <v>0</v>
      </c>
      <c r="K184" s="21">
        <f t="shared" si="8"/>
        <v>0</v>
      </c>
      <c r="L184" s="21">
        <f t="shared" si="9"/>
        <v>0</v>
      </c>
      <c r="M184" s="78" t="s">
        <v>661</v>
      </c>
      <c r="P184" s="44"/>
      <c r="Q184" s="44"/>
    </row>
    <row r="185" spans="1:33" ht="12.75" hidden="1" customHeight="1" x14ac:dyDescent="0.15">
      <c r="A185" s="259">
        <v>53</v>
      </c>
      <c r="B185" s="340" t="s">
        <v>638</v>
      </c>
      <c r="C185" s="21" t="s">
        <v>613</v>
      </c>
      <c r="D185" s="104">
        <f>IF(ISERROR(HLOOKUP(J185,$Q$48:$AA$49,2)),0,HLOOKUP(J185,$Q$48:$AA$49,2))</f>
        <v>0</v>
      </c>
      <c r="E185" s="104">
        <f>IF(ISERROR(HLOOKUP(K185,$Q$48:$AA$49,2)),0,HLOOKUP(K185,$Q$48:$AA$49,2))</f>
        <v>0</v>
      </c>
      <c r="F185" s="104">
        <f>IF(ISERROR(HLOOKUP(L185,$Q$48:$AA$49,2)),0,HLOOKUP(L185,$Q$48:$AA$49,2))</f>
        <v>0</v>
      </c>
      <c r="G185" s="396">
        <f>SUM($F$30:$F$32)</f>
        <v>0</v>
      </c>
      <c r="H185" s="103">
        <f>SUM($F$30:$F$32)+$J$51</f>
        <v>0</v>
      </c>
      <c r="I185" s="103">
        <f>SUM($F$30:$F$32)+$J$51+$J$60</f>
        <v>0</v>
      </c>
      <c r="J185" s="21">
        <f t="shared" si="7"/>
        <v>0</v>
      </c>
      <c r="K185" s="21">
        <f t="shared" si="8"/>
        <v>0</v>
      </c>
      <c r="L185" s="21">
        <f t="shared" si="9"/>
        <v>0</v>
      </c>
      <c r="M185" s="78" t="s">
        <v>661</v>
      </c>
      <c r="P185" s="44"/>
      <c r="Q185" s="44"/>
    </row>
    <row r="186" spans="1:33" ht="12.75" hidden="1" customHeight="1" x14ac:dyDescent="0.15">
      <c r="A186" s="259">
        <v>54</v>
      </c>
      <c r="B186" s="340" t="s">
        <v>639</v>
      </c>
      <c r="C186" s="21" t="s">
        <v>613</v>
      </c>
      <c r="D186" s="104">
        <f>IF(ISERROR(HLOOKUP(J186,$Q$39:$AA$40,2)),0,HLOOKUP(J186,$Q$39:$AA$40,2))</f>
        <v>0</v>
      </c>
      <c r="E186" s="104">
        <f>IF(ISERROR(HLOOKUP(K186,$Q$39:$AA$40,2)),0,HLOOKUP(K186,$Q$39:$AA$40,2))</f>
        <v>0</v>
      </c>
      <c r="F186" s="104">
        <f>IF(ISERROR(HLOOKUP(L186,$Q$39:$AA$40,2)),0,HLOOKUP(L186,$Q$39:$AA$40,2))</f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ref="J186:J217" si="15">ROUNDDOWN(G186/365,0)</f>
        <v>0</v>
      </c>
      <c r="K186" s="21">
        <f t="shared" ref="K186:K217" si="16">ROUNDDOWN(H186/365,0)</f>
        <v>0</v>
      </c>
      <c r="L186" s="21">
        <f t="shared" ref="L186:L217" si="17">ROUNDDOWN(I186/365,0)</f>
        <v>0</v>
      </c>
      <c r="M186" s="78" t="s">
        <v>661</v>
      </c>
      <c r="P186" s="44"/>
      <c r="Q186" s="44"/>
    </row>
    <row r="187" spans="1:33" ht="12.75" hidden="1" customHeight="1" x14ac:dyDescent="0.15">
      <c r="A187" s="259">
        <v>55</v>
      </c>
      <c r="B187" s="340" t="s">
        <v>640</v>
      </c>
      <c r="C187" s="21" t="s">
        <v>613</v>
      </c>
      <c r="D187" s="104">
        <f>IF(ISERROR(HLOOKUP(J187,$Q$60:$AA$61,2)),0,HLOOKUP(J187,$Q$60:$AA$61,2))</f>
        <v>0</v>
      </c>
      <c r="E187" s="104">
        <f>IF(ISERROR(HLOOKUP(K187,$Q$60:$AA$61,2)),0,HLOOKUP(K187,$Q$60:$AA$61,2))</f>
        <v>0</v>
      </c>
      <c r="F187" s="104">
        <f>IF(ISERROR(HLOOKUP(L187,$Q$60:$AA$61,2)),0,HLOOKUP(L187,$Q$60:$AA$61,2))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5"/>
        <v>0</v>
      </c>
      <c r="K187" s="21">
        <f t="shared" si="16"/>
        <v>0</v>
      </c>
      <c r="L187" s="21">
        <f t="shared" si="17"/>
        <v>0</v>
      </c>
      <c r="M187" s="78" t="s">
        <v>661</v>
      </c>
      <c r="P187" s="44"/>
      <c r="Q187" s="44"/>
    </row>
    <row r="188" spans="1:33" ht="12.75" hidden="1" customHeight="1" x14ac:dyDescent="0.15">
      <c r="A188" s="259">
        <v>56</v>
      </c>
      <c r="B188" s="340" t="s">
        <v>683</v>
      </c>
      <c r="C188" s="21" t="s">
        <v>547</v>
      </c>
      <c r="D188" s="104">
        <f>IF(ISERROR(HLOOKUP(J188,$Q$80:$W$81,2)),0,HLOOKUP(J188,$Q$80:$W$81,2))</f>
        <v>0</v>
      </c>
      <c r="E188" s="104">
        <f>IF(ISERROR(HLOOKUP(K188,$Q$80:$W$81,2)),0,HLOOKUP(K188,$Q$80:$W$81,2))</f>
        <v>0</v>
      </c>
      <c r="F188" s="104">
        <f>IF(ISERROR(HLOOKUP(L188,$Q$80:$W$81,2)),0,HLOOKUP(L188,$Q$80:$W$81,2))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5"/>
        <v>0</v>
      </c>
      <c r="K188" s="21">
        <f t="shared" si="16"/>
        <v>0</v>
      </c>
      <c r="L188" s="21">
        <f t="shared" si="17"/>
        <v>0</v>
      </c>
      <c r="M188" s="78" t="s">
        <v>661</v>
      </c>
      <c r="P188" s="44"/>
      <c r="Q188" s="44"/>
    </row>
    <row r="189" spans="1:33" ht="12.75" hidden="1" customHeight="1" x14ac:dyDescent="0.15">
      <c r="A189" s="259">
        <v>57</v>
      </c>
      <c r="B189" s="340" t="s">
        <v>699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5"/>
        <v>0</v>
      </c>
      <c r="K189" s="21">
        <f t="shared" si="16"/>
        <v>0</v>
      </c>
      <c r="L189" s="21">
        <f t="shared" si="17"/>
        <v>0</v>
      </c>
      <c r="M189" s="78" t="s">
        <v>661</v>
      </c>
      <c r="P189" s="44"/>
      <c r="Q189" s="44"/>
    </row>
    <row r="190" spans="1:33" ht="12.75" hidden="1" customHeight="1" x14ac:dyDescent="0.15">
      <c r="A190" s="259">
        <v>58</v>
      </c>
      <c r="B190" s="340" t="s">
        <v>641</v>
      </c>
      <c r="C190" s="21" t="s">
        <v>613</v>
      </c>
      <c r="D190" s="104">
        <f>IF(ISERROR(HLOOKUP(J190,$Q$69:$AC$70,2)),0,HLOOKUP(J190,$Q$69:$AC$70,2))</f>
        <v>0</v>
      </c>
      <c r="E190" s="104">
        <f>IF(ISERROR(HLOOKUP(K190,$Q$69:$AC$70,2)),0,HLOOKUP(K190,$Q$69:$AC$70,2))</f>
        <v>0</v>
      </c>
      <c r="F190" s="104">
        <f>IF(ISERROR(HLOOKUP(L190,$Q$69:$AC$70,2)),0,HLOOKUP(L190,$Q$69:$AC$70,2))</f>
        <v>0</v>
      </c>
      <c r="G190" s="396">
        <f>SUM($F$30:$F$32)</f>
        <v>0</v>
      </c>
      <c r="H190" s="103">
        <f>SUM($F$30:$F$32)+$J$51</f>
        <v>0</v>
      </c>
      <c r="I190" s="103">
        <f>SUM($F$30:$F$32)+$J$51+$J$60</f>
        <v>0</v>
      </c>
      <c r="J190" s="21">
        <f t="shared" si="15"/>
        <v>0</v>
      </c>
      <c r="K190" s="21">
        <f t="shared" si="16"/>
        <v>0</v>
      </c>
      <c r="L190" s="21">
        <f t="shared" si="17"/>
        <v>0</v>
      </c>
      <c r="M190" s="78" t="s">
        <v>661</v>
      </c>
      <c r="P190" s="44"/>
      <c r="Q190" s="44"/>
    </row>
    <row r="191" spans="1:33" ht="12.75" hidden="1" customHeight="1" x14ac:dyDescent="0.15">
      <c r="A191" s="259">
        <v>59</v>
      </c>
      <c r="B191" s="340" t="s">
        <v>642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SUM($F$27:$F$33)</f>
        <v>0</v>
      </c>
      <c r="H191" s="103">
        <f>SUM($F$27:$F$33)+$J$51</f>
        <v>0</v>
      </c>
      <c r="I191" s="103">
        <f>SUM($F$27:$F$33)+$J$51+$J$60</f>
        <v>0</v>
      </c>
      <c r="J191" s="21">
        <f t="shared" si="15"/>
        <v>0</v>
      </c>
      <c r="K191" s="21">
        <f t="shared" si="16"/>
        <v>0</v>
      </c>
      <c r="L191" s="21">
        <f t="shared" si="17"/>
        <v>0</v>
      </c>
      <c r="M191" s="78" t="s">
        <v>661</v>
      </c>
      <c r="P191" s="44"/>
      <c r="Q191" s="44"/>
      <c r="AC191" s="69"/>
      <c r="AD191" s="69"/>
      <c r="AE191" s="69"/>
      <c r="AF191" s="69"/>
      <c r="AG191" s="69"/>
    </row>
    <row r="192" spans="1:33" ht="12.75" hidden="1" customHeight="1" x14ac:dyDescent="0.15">
      <c r="A192" s="259">
        <v>60</v>
      </c>
      <c r="B192" s="340" t="s">
        <v>643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SUM($F$30:$F$33)</f>
        <v>0</v>
      </c>
      <c r="H192" s="103">
        <f>SUM($F$30:$F$33)+$J$51</f>
        <v>0</v>
      </c>
      <c r="I192" s="103">
        <f>SUM($F$30:$F$33)+$J$51+$J$60</f>
        <v>0</v>
      </c>
      <c r="J192" s="21">
        <f t="shared" si="15"/>
        <v>0</v>
      </c>
      <c r="K192" s="21">
        <f t="shared" si="16"/>
        <v>0</v>
      </c>
      <c r="L192" s="21">
        <f t="shared" si="17"/>
        <v>0</v>
      </c>
      <c r="M192" s="78" t="s">
        <v>661</v>
      </c>
      <c r="P192" s="44"/>
      <c r="Q192" s="44"/>
      <c r="AC192" s="69"/>
      <c r="AD192" s="69"/>
      <c r="AE192" s="69"/>
      <c r="AF192" s="69"/>
      <c r="AG192" s="69"/>
    </row>
    <row r="193" spans="1:33" ht="12.75" hidden="1" customHeight="1" x14ac:dyDescent="0.15">
      <c r="A193" s="259">
        <v>61</v>
      </c>
      <c r="B193" s="340" t="s">
        <v>644</v>
      </c>
      <c r="C193" s="21" t="s">
        <v>613</v>
      </c>
      <c r="D193" s="104">
        <f>IF(ISERROR(HLOOKUP(J193,$Q$39:$AA$40,2)),0,HLOOKUP(J193,$Q$39:$AA$40,2))</f>
        <v>0</v>
      </c>
      <c r="E193" s="104">
        <f>IF(ISERROR(HLOOKUP(K193,$Q$39:$AA$40,2)),0,HLOOKUP(K193,$Q$39:$AA$40,2))</f>
        <v>0</v>
      </c>
      <c r="F193" s="104">
        <f>IF(ISERROR(HLOOKUP(L193,$Q$39:$AA$40,2)),0,HLOOKUP(L193,$Q$39:$AA$40,2))</f>
        <v>0</v>
      </c>
      <c r="G193" s="396">
        <f>SUM($F$27:$F$33)</f>
        <v>0</v>
      </c>
      <c r="H193" s="103">
        <f>SUM($F$27:$F$33)+$J$51</f>
        <v>0</v>
      </c>
      <c r="I193" s="103">
        <f>SUM($F$27:$F$33)+$J$51+$J$60</f>
        <v>0</v>
      </c>
      <c r="J193" s="21">
        <f t="shared" si="15"/>
        <v>0</v>
      </c>
      <c r="K193" s="21">
        <f t="shared" si="16"/>
        <v>0</v>
      </c>
      <c r="L193" s="21">
        <f t="shared" si="17"/>
        <v>0</v>
      </c>
      <c r="M193" s="78" t="s">
        <v>661</v>
      </c>
      <c r="P193" s="44"/>
      <c r="Q193" s="44"/>
      <c r="AC193" s="69"/>
      <c r="AD193" s="69"/>
      <c r="AE193" s="69"/>
      <c r="AF193" s="69"/>
      <c r="AG193" s="69"/>
    </row>
    <row r="194" spans="1:33" ht="12.75" hidden="1" customHeight="1" x14ac:dyDescent="0.15">
      <c r="A194" s="259">
        <v>62</v>
      </c>
      <c r="B194" s="345" t="s">
        <v>645</v>
      </c>
      <c r="C194" s="21" t="s">
        <v>527</v>
      </c>
      <c r="D194" s="104">
        <f>IF(ISERROR(HLOOKUP(J194,$Q$26:$AY$27,2)),0,HLOOKUP(J194,$Q$26:$AY$27,2))</f>
        <v>0</v>
      </c>
      <c r="E194" s="104">
        <f>IF(ISERROR(HLOOKUP(K194,$Q$26:$AY$27,2)),0,HLOOKUP(K194,$Q$26:$AY$27,2))</f>
        <v>0</v>
      </c>
      <c r="F194" s="104">
        <f>IF(ISERROR(HLOOKUP(L194,$Q$26:$AY$27,2)),0,HLOOKUP(L194,$Q$26:$AY$27,2))</f>
        <v>0</v>
      </c>
      <c r="G194" s="396">
        <f>SUM($F$30:$F$32)</f>
        <v>0</v>
      </c>
      <c r="H194" s="103">
        <f>SUM($F$27:$F$32)+$J$51</f>
        <v>0</v>
      </c>
      <c r="I194" s="103">
        <f>SUM($F$27:$F$32)+$J$51+$J$60</f>
        <v>0</v>
      </c>
      <c r="J194" s="21">
        <f t="shared" si="15"/>
        <v>0</v>
      </c>
      <c r="K194" s="21">
        <f t="shared" si="16"/>
        <v>0</v>
      </c>
      <c r="L194" s="21">
        <f t="shared" si="17"/>
        <v>0</v>
      </c>
      <c r="M194" s="346" t="s">
        <v>662</v>
      </c>
      <c r="P194" s="44"/>
      <c r="Q194" s="44"/>
      <c r="AC194" s="69"/>
      <c r="AD194" s="69"/>
      <c r="AE194" s="69"/>
      <c r="AF194" s="69"/>
      <c r="AG194" s="69"/>
    </row>
    <row r="195" spans="1:33" ht="12.75" hidden="1" customHeight="1" x14ac:dyDescent="0.15">
      <c r="A195" s="259">
        <v>63</v>
      </c>
      <c r="B195" s="345" t="s">
        <v>646</v>
      </c>
      <c r="C195" s="21"/>
      <c r="D195" s="54"/>
      <c r="E195" s="54"/>
      <c r="F195" s="54"/>
      <c r="G195" s="54"/>
      <c r="H195" s="54"/>
      <c r="I195" s="347"/>
      <c r="J195" s="21">
        <f t="shared" si="15"/>
        <v>0</v>
      </c>
      <c r="K195" s="21">
        <f t="shared" si="16"/>
        <v>0</v>
      </c>
      <c r="L195" s="21">
        <f t="shared" si="17"/>
        <v>0</v>
      </c>
      <c r="M195" s="346" t="s">
        <v>662</v>
      </c>
      <c r="P195" s="44"/>
      <c r="Q195" s="44"/>
      <c r="AC195" s="69"/>
      <c r="AD195" s="69"/>
      <c r="AE195" s="69"/>
      <c r="AF195" s="69"/>
      <c r="AG195" s="348"/>
    </row>
    <row r="196" spans="1:33" s="308" customFormat="1" ht="12.75" hidden="1" customHeight="1" x14ac:dyDescent="0.15">
      <c r="A196" s="304">
        <v>64</v>
      </c>
      <c r="B196" s="349" t="s">
        <v>647</v>
      </c>
      <c r="C196" s="308" t="s">
        <v>613</v>
      </c>
      <c r="D196" s="305">
        <f>IF(ISERROR(HLOOKUP(J196,$Q$48:$AB$49,2)),0,HLOOKUP(J196,$Q$48:$AB$49,2))</f>
        <v>0</v>
      </c>
      <c r="E196" s="305">
        <f>IF(ISERROR(HLOOKUP(K196,$Q$48:$AB$49,2)),0,HLOOKUP(K196,$Q$48:$AB$49,2))</f>
        <v>0</v>
      </c>
      <c r="F196" s="305">
        <f>IF(ISERROR(HLOOKUP(L196,$Q$48:$AB$49,2)),0,HLOOKUP(L196,$Q$48:$AB$49,2))</f>
        <v>0</v>
      </c>
      <c r="G196" s="350">
        <f>SUM($F$30:$F$33)+$O$196</f>
        <v>0</v>
      </c>
      <c r="H196" s="350">
        <f>$G$196+$J$51</f>
        <v>0</v>
      </c>
      <c r="I196" s="350">
        <f>$G$196+$J$51+$J$60</f>
        <v>0</v>
      </c>
      <c r="J196" s="351">
        <f t="shared" si="15"/>
        <v>0</v>
      </c>
      <c r="K196" s="351">
        <f t="shared" si="16"/>
        <v>0</v>
      </c>
      <c r="L196" s="351">
        <f t="shared" si="17"/>
        <v>0</v>
      </c>
      <c r="M196" s="352" t="s">
        <v>662</v>
      </c>
      <c r="N196" s="310">
        <f>SUM($F$27:$F$29)</f>
        <v>0</v>
      </c>
      <c r="O196" s="309">
        <f>IF($N$196&gt;365,365,$N$196)</f>
        <v>0</v>
      </c>
      <c r="P196" s="353"/>
      <c r="Q196" s="353"/>
      <c r="AC196" s="354"/>
      <c r="AD196" s="354"/>
      <c r="AE196" s="354"/>
      <c r="AF196" s="354"/>
      <c r="AG196" s="354"/>
    </row>
    <row r="197" spans="1:33" ht="12.75" hidden="1" customHeight="1" x14ac:dyDescent="0.15">
      <c r="A197" s="259">
        <v>65</v>
      </c>
      <c r="B197" s="345" t="s">
        <v>648</v>
      </c>
      <c r="C197" s="21" t="s">
        <v>547</v>
      </c>
      <c r="D197" s="104">
        <f>IF(ISERROR(HLOOKUP(J197,$Q$73:$AB$74,2)),0,HLOOKUP(J197,$Q$73:$AB$74,2))</f>
        <v>0</v>
      </c>
      <c r="E197" s="105">
        <f>IF(ISERROR(HLOOKUP(K197,$Q$73:$AB$74,2)),0,HLOOKUP(K197,$Q$73:$AB$74,2))</f>
        <v>0</v>
      </c>
      <c r="F197" s="106">
        <f>IF(ISERROR(HLOOKUP(L197,$Q$73:$AB$74,2)),0,HLOOKUP(L197,$Q$73:$AB$74,2))</f>
        <v>0</v>
      </c>
      <c r="G197" s="355">
        <f>SUM($F$27:$F$32)</f>
        <v>0</v>
      </c>
      <c r="H197" s="355">
        <f>SUM($F$27:$F$32)+$J$51</f>
        <v>0</v>
      </c>
      <c r="I197" s="355">
        <f>SUM($F$27:$F$32)+$J$51+$J$60</f>
        <v>0</v>
      </c>
      <c r="J197" s="21">
        <f t="shared" si="15"/>
        <v>0</v>
      </c>
      <c r="K197" s="21">
        <f t="shared" si="16"/>
        <v>0</v>
      </c>
      <c r="L197" s="21">
        <f t="shared" si="17"/>
        <v>0</v>
      </c>
      <c r="M197" s="346" t="s">
        <v>662</v>
      </c>
      <c r="P197" s="44"/>
      <c r="Q197" s="44"/>
      <c r="AC197" s="69"/>
      <c r="AD197" s="69"/>
      <c r="AE197" s="69"/>
      <c r="AF197" s="69"/>
      <c r="AG197" s="348"/>
    </row>
    <row r="198" spans="1:33" ht="12.75" hidden="1" customHeight="1" x14ac:dyDescent="0.15">
      <c r="A198" s="259">
        <v>66</v>
      </c>
      <c r="B198" s="345" t="s">
        <v>649</v>
      </c>
      <c r="C198" s="21" t="s">
        <v>613</v>
      </c>
      <c r="D198" s="104">
        <f>IF(ISERROR(HLOOKUP(J198,$Q$39:$Z$40,2)),0,HLOOKUP(J198,$Q$39:$Z$40,2))</f>
        <v>0</v>
      </c>
      <c r="E198" s="104">
        <f>IF(ISERROR(HLOOKUP(K198,$Q$39:$Z$40,2)),0,HLOOKUP(K198,$Q$39:$Z$40,2))</f>
        <v>0</v>
      </c>
      <c r="F198" s="104">
        <f>IF(ISERROR(HLOOKUP(L198,$Q$39:$Z$40,2)),0,HLOOKUP(L198,$Q$39:$Z$40,2))</f>
        <v>0</v>
      </c>
      <c r="G198" s="355">
        <f>SUM($F$30:$F$32)</f>
        <v>0</v>
      </c>
      <c r="H198" s="355">
        <f>SUM($F$30:$F$32)+$J$51</f>
        <v>0</v>
      </c>
      <c r="I198" s="355">
        <f>SUM($F$30:$F$32)+$J$51+$J$60</f>
        <v>0</v>
      </c>
      <c r="J198" s="356">
        <f t="shared" si="15"/>
        <v>0</v>
      </c>
      <c r="K198" s="356">
        <f t="shared" si="16"/>
        <v>0</v>
      </c>
      <c r="L198" s="356">
        <f t="shared" si="17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348"/>
    </row>
    <row r="199" spans="1:33" ht="12.75" hidden="1" customHeight="1" x14ac:dyDescent="0.15">
      <c r="A199" s="259">
        <v>67</v>
      </c>
      <c r="B199" s="345" t="s">
        <v>650</v>
      </c>
      <c r="C199" s="21" t="s">
        <v>613</v>
      </c>
      <c r="D199" s="104">
        <f>IF(ISERROR(HLOOKUP(J199,$Q$51:$Y$52,2)),0,HLOOKUP(J199,$Q$51:$Y$52,2))</f>
        <v>0</v>
      </c>
      <c r="E199" s="104">
        <f>IF(ISERROR(HLOOKUP(K199,$Q$51:$Y$52,2)),0,HLOOKUP(K199,$Q$51:$Y$52,2))</f>
        <v>0</v>
      </c>
      <c r="F199" s="104">
        <f>IF(ISERROR(HLOOKUP(L199,$Q$51:$Y$52,2)),0,HLOOKUP(L199,$Q$51:$Y$52,2))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15"/>
        <v>0</v>
      </c>
      <c r="K199" s="21">
        <f t="shared" si="16"/>
        <v>0</v>
      </c>
      <c r="L199" s="21">
        <f t="shared" si="17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68</v>
      </c>
      <c r="B200" s="349" t="s">
        <v>651</v>
      </c>
      <c r="C200" s="308" t="s">
        <v>547</v>
      </c>
      <c r="D200" s="305">
        <f>IF(ISERROR(HLOOKUP(J200,$Q$73:$W$74,2)),0,HLOOKUP(J200,$Q$73:$W$74,2))</f>
        <v>0</v>
      </c>
      <c r="E200" s="305">
        <f>IF(ISERROR(HLOOKUP(K200,$Q$73:$W$74,2)),0,HLOOKUP(K200,$Q$73:$W$74,2))</f>
        <v>0</v>
      </c>
      <c r="F200" s="305">
        <f>IF(ISERROR(HLOOKUP(L200,$Q$73:$W$74,2)),0,HLOOKUP(L200,$Q$73:$W$74,2))</f>
        <v>0</v>
      </c>
      <c r="G200" s="350">
        <f>$N$200</f>
        <v>0</v>
      </c>
      <c r="H200" s="350">
        <f>$G$200+$J$51</f>
        <v>0</v>
      </c>
      <c r="I200" s="350">
        <f>$G$200+$J$51+$J$60</f>
        <v>0</v>
      </c>
      <c r="J200" s="308">
        <f t="shared" si="15"/>
        <v>0</v>
      </c>
      <c r="K200" s="308">
        <f t="shared" si="16"/>
        <v>0</v>
      </c>
      <c r="L200" s="308">
        <f t="shared" si="17"/>
        <v>0</v>
      </c>
      <c r="M200" s="352" t="s">
        <v>662</v>
      </c>
      <c r="N200" s="310">
        <f>SUM(F30:F32)</f>
        <v>0</v>
      </c>
      <c r="O200" s="309"/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69</v>
      </c>
      <c r="B201" s="345" t="s">
        <v>652</v>
      </c>
      <c r="C201" s="21" t="s">
        <v>613</v>
      </c>
      <c r="D201" s="104">
        <f>IF(ISERROR(HLOOKUP(J201,$Q$39:$Z$40,2)),0,HLOOKUP(J201,$Q$39:$Z$40,2))</f>
        <v>0</v>
      </c>
      <c r="E201" s="104">
        <f>IF(ISERROR(HLOOKUP(K201,$Q$39:$Z$40,2)),0,HLOOKUP(K201,$Q$39:$Z$40,2))</f>
        <v>0</v>
      </c>
      <c r="F201" s="104">
        <f>IF(ISERROR(HLOOKUP(L201,$Q$39:$Z$40,2)),0,HLOOKUP(L201,$Q$39:$Z$40,2))</f>
        <v>0</v>
      </c>
      <c r="G201" s="396">
        <f>SUM($F$30:$F$32)</f>
        <v>0</v>
      </c>
      <c r="H201" s="103">
        <f>SUM($F$30:$F$32)+$J$51</f>
        <v>0</v>
      </c>
      <c r="I201" s="103">
        <f>SUM($F$30:$F$32)+$J$51+$J$60</f>
        <v>0</v>
      </c>
      <c r="J201" s="21">
        <f t="shared" si="15"/>
        <v>0</v>
      </c>
      <c r="K201" s="21">
        <f t="shared" si="16"/>
        <v>0</v>
      </c>
      <c r="L201" s="21">
        <f t="shared" si="17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69"/>
    </row>
    <row r="202" spans="1:33" ht="13.5" hidden="1" x14ac:dyDescent="0.15">
      <c r="A202" s="259">
        <v>70</v>
      </c>
      <c r="B202" s="345" t="s">
        <v>653</v>
      </c>
      <c r="C202" s="21" t="s">
        <v>613</v>
      </c>
      <c r="D202" s="104">
        <f>IF(ISERROR(HLOOKUP(J202,$Q$48:$AB$49,2)),0,HLOOKUP(J202,$Q$48:$AB$49,2))</f>
        <v>0</v>
      </c>
      <c r="E202" s="104">
        <f>IF(ISERROR(HLOOKUP(K202,$Q$48:$AB$49,2)),0,HLOOKUP(K202,$Q$48:$AB$49,2))</f>
        <v>0</v>
      </c>
      <c r="F202" s="104">
        <f>IF(ISERROR(HLOOKUP(L202,$Q$48:$AB$49,2)),0,HLOOKUP(L202,$Q$48:$AB$49,2))</f>
        <v>0</v>
      </c>
      <c r="G202" s="396">
        <f>SUM($F$30:$F$32)</f>
        <v>0</v>
      </c>
      <c r="H202" s="103">
        <f>SUM($F$30:$F$32)+$J$51</f>
        <v>0</v>
      </c>
      <c r="I202" s="103">
        <f>SUM($F$30:$F$32)+$J$51+$J$60</f>
        <v>0</v>
      </c>
      <c r="J202" s="21">
        <f t="shared" si="15"/>
        <v>0</v>
      </c>
      <c r="K202" s="21">
        <f t="shared" si="16"/>
        <v>0</v>
      </c>
      <c r="L202" s="21">
        <f t="shared" si="17"/>
        <v>0</v>
      </c>
      <c r="M202" s="346" t="s">
        <v>662</v>
      </c>
      <c r="P202" s="44"/>
      <c r="Q202" s="44"/>
    </row>
    <row r="203" spans="1:33" ht="13.5" hidden="1" x14ac:dyDescent="0.15">
      <c r="A203" s="259">
        <v>71</v>
      </c>
      <c r="B203" s="345" t="s">
        <v>654</v>
      </c>
      <c r="C203" s="21" t="s">
        <v>613</v>
      </c>
      <c r="D203" s="104">
        <f>IF(ISERROR(HLOOKUP(J203,$Q$48:$AA$49,2)),0,HLOOKUP(J203,$Q$48:$AA$49,2))</f>
        <v>0</v>
      </c>
      <c r="E203" s="104">
        <f>IF(ISERROR(HLOOKUP(K203,$Q$48:$AA$49,2)),0,HLOOKUP(K203,$Q$48:$AA$49,2))</f>
        <v>0</v>
      </c>
      <c r="F203" s="104">
        <f>IF(ISERROR(HLOOKUP(L203,$Q$48:$AA$49,2)),0,HLOOKUP(L203,$Q$48:$AA$49,2))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15"/>
        <v>0</v>
      </c>
      <c r="K203" s="21">
        <f t="shared" si="16"/>
        <v>0</v>
      </c>
      <c r="L203" s="21">
        <f t="shared" si="17"/>
        <v>0</v>
      </c>
      <c r="M203" s="346" t="s">
        <v>662</v>
      </c>
      <c r="P203" s="44"/>
      <c r="Q203" s="44"/>
    </row>
    <row r="204" spans="1:33" ht="13.5" hidden="1" x14ac:dyDescent="0.15">
      <c r="A204" s="259">
        <v>72</v>
      </c>
      <c r="B204" s="345" t="s">
        <v>655</v>
      </c>
      <c r="C204" s="21" t="s">
        <v>527</v>
      </c>
      <c r="D204" s="104">
        <f>IF(ISERROR(HLOOKUP(J204,$Q$54:$AR$55,2)),0,HLOOKUP(J204,$Q$54:$AR$55,2))</f>
        <v>0</v>
      </c>
      <c r="E204" s="104">
        <f>IF(ISERROR(HLOOKUP(K204,$Q$54:$AR$55,2)),0,HLOOKUP(K204,$Q$54:$AR$55,2))</f>
        <v>0</v>
      </c>
      <c r="F204" s="104">
        <f>IF(ISERROR(HLOOKUP(L204,$Q$54:$AR$55,2)),0,HLOOKUP(L204,$Q$54:$AR$55,2))</f>
        <v>0</v>
      </c>
      <c r="G204" s="396">
        <f>SUM($F$27:$F$32)</f>
        <v>0</v>
      </c>
      <c r="H204" s="103">
        <f>SUM($F$27:$F$32)+$J$51</f>
        <v>0</v>
      </c>
      <c r="I204" s="103">
        <f>SUM($F$27:$F$32)+$J$51+$J$60</f>
        <v>0</v>
      </c>
      <c r="J204" s="21">
        <f t="shared" si="15"/>
        <v>0</v>
      </c>
      <c r="K204" s="21">
        <f t="shared" si="16"/>
        <v>0</v>
      </c>
      <c r="L204" s="21">
        <f t="shared" si="17"/>
        <v>0</v>
      </c>
      <c r="M204" s="346" t="s">
        <v>662</v>
      </c>
      <c r="P204" s="44"/>
      <c r="Q204" s="44"/>
    </row>
    <row r="205" spans="1:33" ht="13.5" hidden="1" x14ac:dyDescent="0.15">
      <c r="A205" s="259">
        <v>73</v>
      </c>
      <c r="B205" s="345" t="s">
        <v>663</v>
      </c>
      <c r="C205" s="21" t="s">
        <v>527</v>
      </c>
      <c r="D205" s="104">
        <f t="shared" ref="D205:F206" si="18">IF(ISERROR(HLOOKUP(J205,$Q$26:$AY$27,2)),0,HLOOKUP(J205,$Q$26:$AY$27,2))</f>
        <v>0</v>
      </c>
      <c r="E205" s="104">
        <f t="shared" si="18"/>
        <v>0</v>
      </c>
      <c r="F205" s="104">
        <f t="shared" si="18"/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15"/>
        <v>0</v>
      </c>
      <c r="K205" s="21">
        <f t="shared" si="16"/>
        <v>0</v>
      </c>
      <c r="L205" s="21">
        <f t="shared" si="17"/>
        <v>0</v>
      </c>
      <c r="M205" s="346" t="s">
        <v>662</v>
      </c>
      <c r="P205" s="44"/>
      <c r="Q205" s="44"/>
    </row>
    <row r="206" spans="1:33" ht="13.5" hidden="1" x14ac:dyDescent="0.15">
      <c r="A206" s="259">
        <v>74</v>
      </c>
      <c r="B206" s="345" t="s">
        <v>664</v>
      </c>
      <c r="C206" s="21" t="s">
        <v>527</v>
      </c>
      <c r="D206" s="104">
        <f t="shared" si="18"/>
        <v>0</v>
      </c>
      <c r="E206" s="104">
        <f t="shared" si="18"/>
        <v>0</v>
      </c>
      <c r="F206" s="104">
        <f t="shared" si="18"/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15"/>
        <v>0</v>
      </c>
      <c r="K206" s="21">
        <f t="shared" si="16"/>
        <v>0</v>
      </c>
      <c r="L206" s="21">
        <f t="shared" si="17"/>
        <v>0</v>
      </c>
      <c r="M206" s="346" t="s">
        <v>662</v>
      </c>
      <c r="P206" s="44"/>
      <c r="Q206" s="44"/>
    </row>
    <row r="207" spans="1:33" ht="13.5" hidden="1" x14ac:dyDescent="0.15">
      <c r="A207" s="259">
        <v>75</v>
      </c>
      <c r="B207" s="345" t="s">
        <v>665</v>
      </c>
      <c r="C207" s="21" t="s">
        <v>547</v>
      </c>
      <c r="D207" s="104">
        <f>IF(ISERROR(HLOOKUP(J207,$Q$73:$W$74,2)),0,HLOOKUP(J207,$Q$73:$W$74,2))</f>
        <v>0</v>
      </c>
      <c r="E207" s="104">
        <f>IF(ISERROR(HLOOKUP(K207,$Q$73:$W$74,2)),0,HLOOKUP(K207,$Q$73:$W$74,2))</f>
        <v>0</v>
      </c>
      <c r="F207" s="104">
        <f>IF(ISERROR(HLOOKUP(L207,$Q$73:$W$74,2)),0,HLOOKUP(L207,$Q$73:$W$74,2))</f>
        <v>0</v>
      </c>
      <c r="G207" s="396">
        <f>SUM($F$27:$F$32)</f>
        <v>0</v>
      </c>
      <c r="H207" s="103">
        <f>SUM($F$27:$F$32)+$J$51</f>
        <v>0</v>
      </c>
      <c r="I207" s="103">
        <f>SUM($F$27:$F$32)+$J$51+$J$60</f>
        <v>0</v>
      </c>
      <c r="J207" s="21">
        <f t="shared" si="15"/>
        <v>0</v>
      </c>
      <c r="K207" s="21">
        <f t="shared" si="16"/>
        <v>0</v>
      </c>
      <c r="L207" s="21">
        <f t="shared" si="17"/>
        <v>0</v>
      </c>
      <c r="M207" s="346" t="s">
        <v>662</v>
      </c>
      <c r="P207" s="44"/>
      <c r="Q207" s="44"/>
    </row>
    <row r="208" spans="1:33" ht="13.5" hidden="1" x14ac:dyDescent="0.15">
      <c r="A208" s="259">
        <v>76</v>
      </c>
      <c r="B208" s="345" t="s">
        <v>689</v>
      </c>
      <c r="C208" s="21" t="s">
        <v>613</v>
      </c>
      <c r="D208" s="104">
        <f>IF(ISERROR(HLOOKUP(J208,$Q$48:$AB$49,2)),0,HLOOKUP(J208,$Q$48:$AB$49,2))</f>
        <v>0</v>
      </c>
      <c r="E208" s="104">
        <f>IF(ISERROR(HLOOKUP(K208,$Q$48:$AB$49,2)),0,HLOOKUP(K208,$Q$48:$AB$49,2))</f>
        <v>0</v>
      </c>
      <c r="F208" s="104">
        <f>IF(ISERROR(HLOOKUP(L208,$Q$48:$AB$49,2)),0,HLOOKUP(L208,$Q$48:$AB$49,2))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15"/>
        <v>0</v>
      </c>
      <c r="K208" s="21">
        <f t="shared" si="16"/>
        <v>0</v>
      </c>
      <c r="L208" s="21">
        <f t="shared" si="17"/>
        <v>0</v>
      </c>
      <c r="M208" s="346" t="s">
        <v>662</v>
      </c>
      <c r="P208" s="44"/>
      <c r="Q208" s="44"/>
    </row>
    <row r="209" spans="1:32" ht="13.5" hidden="1" x14ac:dyDescent="0.15">
      <c r="A209" s="259">
        <v>77</v>
      </c>
      <c r="B209" s="345" t="s">
        <v>666</v>
      </c>
      <c r="C209" s="21" t="s">
        <v>613</v>
      </c>
      <c r="D209" s="104">
        <f>IF(ISERROR(HLOOKUP(J209,$Q$48:$AA$49,2)),0,HLOOKUP(J209,$Q$48:$AA$49,2))</f>
        <v>0</v>
      </c>
      <c r="E209" s="104">
        <f>IF(ISERROR(HLOOKUP(K209,$Q$48:$AA$49,2)),0,HLOOKUP(K209,$Q$48:$AA$49,2))</f>
        <v>0</v>
      </c>
      <c r="F209" s="104">
        <f>IF(ISERROR(HLOOKUP(L209,$Q$48:$AA$49,2)),0,HLOOKUP(L209,$Q$48:$AA$49,2))</f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15"/>
        <v>0</v>
      </c>
      <c r="K209" s="21">
        <f t="shared" si="16"/>
        <v>0</v>
      </c>
      <c r="L209" s="21">
        <f t="shared" si="17"/>
        <v>0</v>
      </c>
      <c r="M209" s="346" t="s">
        <v>662</v>
      </c>
      <c r="P209" s="44"/>
      <c r="Q209" s="44"/>
    </row>
    <row r="210" spans="1:32" ht="13.5" hidden="1" x14ac:dyDescent="0.15">
      <c r="A210" s="259">
        <v>78</v>
      </c>
      <c r="B210" s="345" t="s">
        <v>667</v>
      </c>
      <c r="C210" s="21" t="s">
        <v>613</v>
      </c>
      <c r="D210" s="104">
        <f>IF(ISERROR(HLOOKUP(J210,$Q$57:$AA$58,2)),0,HLOOKUP(J210,$Q$57:$AA$58,2))</f>
        <v>0</v>
      </c>
      <c r="E210" s="104">
        <f>IF(ISERROR(HLOOKUP(K210,$Q$57:$AA$58,2)),0,HLOOKUP(K210,$Q$57:$AA$58,2))</f>
        <v>0</v>
      </c>
      <c r="F210" s="104">
        <f>IF(ISERROR(HLOOKUP(L210,$Q$57:$AA$58,2)),0,HLOOKUP(L210,$Q$57:$AA$58,2))</f>
        <v>0</v>
      </c>
      <c r="G210" s="396">
        <f>SUM($F$29:$F$32)</f>
        <v>0</v>
      </c>
      <c r="H210" s="103">
        <f>SUM($F$29:$F$32)+$J$51</f>
        <v>0</v>
      </c>
      <c r="I210" s="103">
        <f>SUM($F$29:$F$32)+$J$51+$J$60</f>
        <v>0</v>
      </c>
      <c r="J210" s="21">
        <f t="shared" si="15"/>
        <v>0</v>
      </c>
      <c r="K210" s="21">
        <f t="shared" si="16"/>
        <v>0</v>
      </c>
      <c r="L210" s="21">
        <f t="shared" si="17"/>
        <v>0</v>
      </c>
      <c r="M210" s="346" t="s">
        <v>662</v>
      </c>
      <c r="P210" s="44"/>
      <c r="Q210" s="44"/>
    </row>
    <row r="211" spans="1:32" s="308" customFormat="1" ht="13.5" hidden="1" x14ac:dyDescent="0.15">
      <c r="A211" s="304">
        <v>79</v>
      </c>
      <c r="B211" s="349" t="s">
        <v>668</v>
      </c>
      <c r="C211" s="308" t="s">
        <v>613</v>
      </c>
      <c r="D211" s="305">
        <f>IF(ISERROR(HLOOKUP(J211,$Q$39:$AA$40,2)),0,HLOOKUP(J211,$Q$39:$AA$40,2))</f>
        <v>0</v>
      </c>
      <c r="E211" s="305">
        <f>IF(ISERROR(HLOOKUP(K211,$Q$39:$AA$40,2)),0,HLOOKUP(K211,$Q$39:$AA$40,2))</f>
        <v>0</v>
      </c>
      <c r="F211" s="305">
        <f>IF(ISERROR(HLOOKUP(L211,$Q$39:$AA$40,2)),0,HLOOKUP(L211,$Q$39:$AA$40,2))</f>
        <v>0</v>
      </c>
      <c r="G211" s="399">
        <f>$N$211+$F$33</f>
        <v>0</v>
      </c>
      <c r="H211" s="307">
        <f>$G$211+$J$51</f>
        <v>0</v>
      </c>
      <c r="I211" s="307">
        <f>$N$211+$J$51+$J$60</f>
        <v>0</v>
      </c>
      <c r="J211" s="308">
        <f t="shared" si="15"/>
        <v>0</v>
      </c>
      <c r="K211" s="308">
        <f t="shared" si="16"/>
        <v>0</v>
      </c>
      <c r="L211" s="308">
        <f t="shared" si="17"/>
        <v>0</v>
      </c>
      <c r="M211" s="352" t="s">
        <v>662</v>
      </c>
      <c r="N211" s="308">
        <f>IF($C$30&gt;=$A$36,$E$30-$C$30+1,IF($C$31&gt;=$A$36,$E$31-$C$31+1,IF($C$32&gt;=$A$36,$E$32-$C$32+1,IF($E$30&lt;&gt;0,$E$30-$A$36+1,IF($E$31&lt;&gt;0,$E$31-$A$36+1,IF($E$32&lt;&gt;0,$E$32-$A$36+1,0))))))</f>
        <v>0</v>
      </c>
      <c r="O211" s="309"/>
      <c r="P211" s="353"/>
      <c r="Q211" s="353"/>
      <c r="AD211" s="310"/>
      <c r="AE211" s="310"/>
      <c r="AF211" s="310"/>
    </row>
    <row r="212" spans="1:32" ht="13.5" hidden="1" x14ac:dyDescent="0.15">
      <c r="A212" s="259">
        <v>80</v>
      </c>
      <c r="B212" s="345" t="s">
        <v>669</v>
      </c>
      <c r="C212" s="21" t="s">
        <v>547</v>
      </c>
      <c r="D212" s="104">
        <f>IF(ISERROR(HLOOKUP(J212,$Q$73:$V$74,2)),0,HLOOKUP(J212,$Q$73:$V$74,2))</f>
        <v>0</v>
      </c>
      <c r="E212" s="104">
        <f>IF(ISERROR(HLOOKUP(K212,$Q$73:$V$74,2)),0,HLOOKUP(K212,$Q$73:$V$74,2))</f>
        <v>0</v>
      </c>
      <c r="F212" s="104">
        <f>IF(ISERROR(HLOOKUP(L212,$Q$73:$V$74,2)),0,HLOOKUP(L212,$Q$73:$V$74,2))</f>
        <v>0</v>
      </c>
      <c r="G212" s="396">
        <f>SUM($F$27:$F$32)</f>
        <v>0</v>
      </c>
      <c r="H212" s="103">
        <f>SUM($F$27:$F$32)+$J$51</f>
        <v>0</v>
      </c>
      <c r="I212" s="103">
        <f>SUM($F$27:$F$32)+$J$51+$J$60</f>
        <v>0</v>
      </c>
      <c r="J212" s="21">
        <f t="shared" si="15"/>
        <v>0</v>
      </c>
      <c r="K212" s="21">
        <f t="shared" si="16"/>
        <v>0</v>
      </c>
      <c r="L212" s="21">
        <f t="shared" si="17"/>
        <v>0</v>
      </c>
      <c r="M212" s="346" t="s">
        <v>662</v>
      </c>
      <c r="P212" s="44"/>
      <c r="Q212" s="44"/>
    </row>
    <row r="213" spans="1:32" ht="13.5" hidden="1" x14ac:dyDescent="0.15">
      <c r="A213" s="259" t="s">
        <v>703</v>
      </c>
      <c r="B213" s="345" t="s">
        <v>701</v>
      </c>
      <c r="C213" s="21" t="s">
        <v>702</v>
      </c>
      <c r="D213" s="148">
        <f>IF(J213&lt;=10,0.1,IF(J213&lt;=20,0.2,0.3))</f>
        <v>0.1</v>
      </c>
      <c r="E213" s="148">
        <f>IF(K213&lt;=10,0.1,IF(K213&lt;=20,0.2,0.3))</f>
        <v>0.1</v>
      </c>
      <c r="F213" s="148">
        <f>IF(L213&lt;=10,0.1,IF(L213&lt;=20,0.2,0.3))</f>
        <v>0.1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15"/>
        <v>0</v>
      </c>
      <c r="K213" s="21">
        <f t="shared" si="16"/>
        <v>0</v>
      </c>
      <c r="L213" s="21">
        <f t="shared" si="17"/>
        <v>0</v>
      </c>
      <c r="M213" s="346" t="s">
        <v>662</v>
      </c>
      <c r="P213" s="44"/>
      <c r="Q213" s="44"/>
    </row>
    <row r="214" spans="1:32" ht="13.5" hidden="1" x14ac:dyDescent="0.15">
      <c r="A214" s="259">
        <v>81</v>
      </c>
      <c r="B214" s="345" t="s">
        <v>670</v>
      </c>
      <c r="C214" s="21" t="s">
        <v>547</v>
      </c>
      <c r="D214" s="104">
        <f>IF(ISERROR(HLOOKUP(J214,$Q$73:$W$74,2)),0,HLOOKUP(J214,$Q$73:$W$74,2))</f>
        <v>0</v>
      </c>
      <c r="E214" s="104">
        <f>IF(ISERROR(HLOOKUP(K214,$Q$73:$W$74,2)),0,HLOOKUP(K214,$Q$73:$W$74,2))</f>
        <v>0</v>
      </c>
      <c r="F214" s="104">
        <f>IF(ISERROR(HLOOKUP(L214,$Q$73:$W$74,2)),0,HLOOKUP(L214,$Q$73:$W$74,2))</f>
        <v>0</v>
      </c>
      <c r="G214" s="396">
        <f>SUM($F$27:$F$33)</f>
        <v>0</v>
      </c>
      <c r="H214" s="103">
        <f>SUM($F$27:$F$33)+$J$51</f>
        <v>0</v>
      </c>
      <c r="I214" s="103">
        <f>SUM($F$27:$F$33)+$J$51+$J$60</f>
        <v>0</v>
      </c>
      <c r="J214" s="21">
        <f t="shared" si="15"/>
        <v>0</v>
      </c>
      <c r="K214" s="21">
        <f t="shared" si="16"/>
        <v>0</v>
      </c>
      <c r="L214" s="21">
        <f t="shared" si="17"/>
        <v>0</v>
      </c>
      <c r="M214" s="346" t="s">
        <v>662</v>
      </c>
      <c r="P214" s="44"/>
      <c r="Q214" s="44"/>
    </row>
    <row r="215" spans="1:32" ht="13.5" hidden="1" x14ac:dyDescent="0.15">
      <c r="A215" s="259">
        <v>82</v>
      </c>
      <c r="B215" s="345" t="s">
        <v>671</v>
      </c>
      <c r="C215" s="21" t="s">
        <v>613</v>
      </c>
      <c r="D215" s="104">
        <f>IF(ISERROR(HLOOKUP(J215,$Q$42:$AA$43,2)),0,HLOOKUP(J215,$Q$42:$AA$43,2))</f>
        <v>0</v>
      </c>
      <c r="E215" s="104">
        <f>IF(ISERROR(HLOOKUP(K215,$Q$42:$AA$43,2)),0,HLOOKUP(K215,$Q$42:$AA$43,2))</f>
        <v>0</v>
      </c>
      <c r="F215" s="104">
        <f>IF(ISERROR(HLOOKUP(L215,$Q$42:$AA$43,2)),0,HLOOKUP(L215,$Q$42:$AA$43,2))</f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15"/>
        <v>0</v>
      </c>
      <c r="K215" s="21">
        <f t="shared" si="16"/>
        <v>0</v>
      </c>
      <c r="L215" s="21">
        <f t="shared" si="17"/>
        <v>0</v>
      </c>
      <c r="M215" s="346" t="s">
        <v>662</v>
      </c>
      <c r="P215" s="44"/>
      <c r="Q215" s="44"/>
    </row>
    <row r="216" spans="1:32" ht="13.5" hidden="1" x14ac:dyDescent="0.15">
      <c r="A216" s="259">
        <v>83</v>
      </c>
      <c r="B216" s="345" t="s">
        <v>672</v>
      </c>
      <c r="C216" s="21"/>
      <c r="E216" s="40"/>
      <c r="J216" s="21">
        <f t="shared" si="15"/>
        <v>0</v>
      </c>
      <c r="K216" s="21">
        <f t="shared" si="16"/>
        <v>0</v>
      </c>
      <c r="L216" s="21">
        <f t="shared" si="17"/>
        <v>0</v>
      </c>
      <c r="M216" s="346" t="s">
        <v>662</v>
      </c>
      <c r="P216" s="44"/>
      <c r="Q216" s="44"/>
    </row>
    <row r="217" spans="1:32" ht="13.5" hidden="1" x14ac:dyDescent="0.15">
      <c r="A217" s="259">
        <v>84</v>
      </c>
      <c r="B217" s="108" t="s">
        <v>673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15"/>
        <v>0</v>
      </c>
      <c r="K217" s="21">
        <f t="shared" si="16"/>
        <v>0</v>
      </c>
      <c r="L217" s="21">
        <f t="shared" si="17"/>
        <v>0</v>
      </c>
      <c r="M217" s="346" t="s">
        <v>662</v>
      </c>
      <c r="N217" s="104">
        <f>IF(ISERROR(HLOOKUP(L217,$Q$48:$AB$49,2)),0,HLOOKUP(L217,$Q$48:$AB$49,2))</f>
        <v>0</v>
      </c>
      <c r="P217" s="44"/>
      <c r="Q217" s="44"/>
    </row>
    <row r="218" spans="1:32" ht="13.5" hidden="1" x14ac:dyDescent="0.15">
      <c r="A218" s="259">
        <v>85</v>
      </c>
      <c r="B218" s="108" t="s">
        <v>674</v>
      </c>
      <c r="C218" s="21" t="s">
        <v>527</v>
      </c>
      <c r="D218" s="104">
        <f>IF(ISERROR(HLOOKUP(J218,$Q$35:$AY$36,2)),0,HLOOKUP(J218,$Q$35:$AY$36,2))</f>
        <v>0</v>
      </c>
      <c r="E218" s="104">
        <f>IF(ISERROR(HLOOKUP(K218,$Q$35:$AY$36,2)),0,HLOOKUP(K218,$Q$35:$AY$36,2))</f>
        <v>0</v>
      </c>
      <c r="F218" s="104">
        <f>IF(ISERROR(HLOOKUP(L218,$Q$35:$AY$36,2)),0,HLOOKUP(L218,$Q$35:$AY$36,2))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ref="J218:J225" si="19">ROUNDDOWN(G218/365,0)</f>
        <v>0</v>
      </c>
      <c r="K218" s="21">
        <f t="shared" ref="K218:K225" si="20">ROUNDDOWN(H218/365,0)</f>
        <v>0</v>
      </c>
      <c r="L218" s="21">
        <f t="shared" ref="L218:L225" si="21">ROUNDDOWN(I218/365,0)</f>
        <v>0</v>
      </c>
      <c r="M218" s="346" t="s">
        <v>662</v>
      </c>
      <c r="P218" s="44"/>
      <c r="Q218" s="44"/>
    </row>
    <row r="219" spans="1:32" ht="13.5" hidden="1" x14ac:dyDescent="0.15">
      <c r="A219" s="259">
        <v>86</v>
      </c>
      <c r="B219" s="108" t="s">
        <v>675</v>
      </c>
      <c r="C219" s="21" t="s">
        <v>613</v>
      </c>
      <c r="D219" s="104">
        <f>IF(ISERROR(HLOOKUP(J219,$Q$60:$AC$61,2)),0,HLOOKUP(J219,$Q$60:$AC$61,2))</f>
        <v>0</v>
      </c>
      <c r="E219" s="104">
        <f>IF(ISERROR(HLOOKUP(K219,$Q$60:$AC$61,2)),0,HLOOKUP(K219,$Q$60:$AC$61,2))</f>
        <v>0</v>
      </c>
      <c r="F219" s="104">
        <f>IF(ISERROR(HLOOKUP(L219,$Q$60:$AC$61,2)),0,HLOOKUP(L219,$Q$60:$AC$61,2))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19"/>
        <v>0</v>
      </c>
      <c r="K219" s="21">
        <f t="shared" si="20"/>
        <v>0</v>
      </c>
      <c r="L219" s="21">
        <f t="shared" si="21"/>
        <v>0</v>
      </c>
      <c r="M219" s="346" t="s">
        <v>662</v>
      </c>
      <c r="P219" s="44"/>
      <c r="Q219" s="44"/>
    </row>
    <row r="220" spans="1:32" ht="13.5" hidden="1" x14ac:dyDescent="0.15">
      <c r="A220" s="259">
        <v>87</v>
      </c>
      <c r="B220" s="108" t="s">
        <v>677</v>
      </c>
      <c r="C220" s="21"/>
      <c r="D220" s="21"/>
      <c r="J220" s="21">
        <f t="shared" si="19"/>
        <v>0</v>
      </c>
      <c r="K220" s="21">
        <f t="shared" si="20"/>
        <v>0</v>
      </c>
      <c r="L220" s="21">
        <f t="shared" si="21"/>
        <v>0</v>
      </c>
      <c r="M220" s="346" t="s">
        <v>662</v>
      </c>
      <c r="P220" s="44"/>
      <c r="Q220" s="44"/>
    </row>
    <row r="221" spans="1:32" ht="13.5" hidden="1" x14ac:dyDescent="0.15">
      <c r="A221" s="259">
        <v>88</v>
      </c>
      <c r="B221" s="108" t="s">
        <v>678</v>
      </c>
      <c r="C221" s="21" t="s">
        <v>613</v>
      </c>
      <c r="D221" s="104">
        <f>IF(ISERROR(HLOOKUP(J221,$Q$39:$AA$40,2)),0,HLOOKUP(J221,$Q$39:$AA$40,2))</f>
        <v>0</v>
      </c>
      <c r="E221" s="104">
        <f>IF(ISERROR(HLOOKUP(K221,$Q$39:$AA$40,2)),0,HLOOKUP(K221,$Q$39:$AA$40,2))</f>
        <v>0</v>
      </c>
      <c r="F221" s="104">
        <f>IF(ISERROR(HLOOKUP(L221,$Q$39:$AA$40,2)),0,HLOOKUP(L221,$Q$39:$AA$40,2))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19"/>
        <v>0</v>
      </c>
      <c r="K221" s="21">
        <f t="shared" si="20"/>
        <v>0</v>
      </c>
      <c r="L221" s="21">
        <f t="shared" si="21"/>
        <v>0</v>
      </c>
      <c r="M221" s="346" t="s">
        <v>662</v>
      </c>
      <c r="P221" s="44"/>
      <c r="Q221" s="44"/>
    </row>
    <row r="222" spans="1:32" ht="13.5" hidden="1" x14ac:dyDescent="0.15">
      <c r="A222" s="259">
        <v>89</v>
      </c>
      <c r="B222" s="108" t="s">
        <v>679</v>
      </c>
      <c r="C222" s="21" t="s">
        <v>613</v>
      </c>
      <c r="D222" s="104">
        <f>IF(ISERROR(HLOOKUP(J222,$Q$48:$V$49,2)),0,HLOOKUP(J222,$Q$48:$V$49,2))</f>
        <v>0</v>
      </c>
      <c r="E222" s="104">
        <f>IF(ISERROR(HLOOKUP(K222,$Q$48:$V$49,2)),0,HLOOKUP(K222,$Q$48:$V$49,2))</f>
        <v>0</v>
      </c>
      <c r="F222" s="104">
        <f>IF(ISERROR(HLOOKUP(L222,$Q$48:$V$49,2)),0,HLOOKUP(L222,$Q$48:$V$49,2))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19"/>
        <v>0</v>
      </c>
      <c r="K222" s="21">
        <f t="shared" si="20"/>
        <v>0</v>
      </c>
      <c r="L222" s="21">
        <f t="shared" si="21"/>
        <v>0</v>
      </c>
      <c r="M222" s="346" t="s">
        <v>662</v>
      </c>
      <c r="P222" s="44"/>
      <c r="Q222" s="44"/>
    </row>
    <row r="223" spans="1:32" ht="13.5" hidden="1" x14ac:dyDescent="0.15">
      <c r="A223" s="259">
        <v>90</v>
      </c>
      <c r="B223" s="108" t="s">
        <v>680</v>
      </c>
      <c r="C223" s="21" t="s">
        <v>527</v>
      </c>
      <c r="D223" s="104">
        <f>IF(ISERROR(HLOOKUP(J223,$Q$26:$AY$27,2)),0,HLOOKUP(J223,$Q$26:$AY$27,2))</f>
        <v>0</v>
      </c>
      <c r="E223" s="104">
        <f>IF(ISERROR(HLOOKUP(K223,$Q$26:$AY$27,2)),0,HLOOKUP(K223,$Q$26:$AY$27,2))</f>
        <v>0</v>
      </c>
      <c r="F223" s="104">
        <f>IF(ISERROR(HLOOKUP(L223,$Q$26:$AY$27,2)),0,HLOOKUP(L223,$Q$26:$AY$27,2))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19"/>
        <v>0</v>
      </c>
      <c r="K223" s="21">
        <f t="shared" si="20"/>
        <v>0</v>
      </c>
      <c r="L223" s="21">
        <f t="shared" si="21"/>
        <v>0</v>
      </c>
      <c r="M223" s="346" t="s">
        <v>662</v>
      </c>
      <c r="P223" s="44"/>
      <c r="Q223" s="44"/>
    </row>
    <row r="224" spans="1:32" ht="13.5" hidden="1" x14ac:dyDescent="0.15">
      <c r="A224" s="259">
        <v>91</v>
      </c>
      <c r="B224" s="108" t="s">
        <v>681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19"/>
        <v>0</v>
      </c>
      <c r="K224" s="21">
        <f t="shared" si="20"/>
        <v>0</v>
      </c>
      <c r="L224" s="21">
        <f t="shared" si="21"/>
        <v>0</v>
      </c>
      <c r="M224" s="346" t="s">
        <v>662</v>
      </c>
      <c r="P224" s="44"/>
      <c r="Q224" s="44"/>
    </row>
    <row r="225" spans="1:40" ht="13.5" hidden="1" x14ac:dyDescent="0.15">
      <c r="A225" s="259">
        <v>92</v>
      </c>
      <c r="B225" s="108" t="s">
        <v>682</v>
      </c>
      <c r="C225" s="21" t="s">
        <v>613</v>
      </c>
      <c r="D225" s="104">
        <f>IF(ISERROR(HLOOKUP(J225,$Q$42:$Z$43,2)),0,HLOOKUP(J225,$Q$42:$Z$43,2))</f>
        <v>0</v>
      </c>
      <c r="E225" s="104">
        <f>IF(ISERROR(HLOOKUP(K225,$Q$42:$Z$43,2)),0,HLOOKUP(K225,$Q$42:$Z$43,2))</f>
        <v>0</v>
      </c>
      <c r="F225" s="104">
        <f>IF(ISERROR(HLOOKUP(L225,$Q$42:$Z$43,2)),0,HLOOKUP(L225,$Q$42:$Z$43,2))</f>
        <v>0</v>
      </c>
      <c r="G225" s="396">
        <f>SUM($F$30:$F$32)</f>
        <v>0</v>
      </c>
      <c r="H225" s="103">
        <f>SUM($F$30:$F$32)+$J$51</f>
        <v>0</v>
      </c>
      <c r="I225" s="103">
        <f>SUM($F$30:$F$32)+$J$51+$J$60</f>
        <v>0</v>
      </c>
      <c r="J225" s="21">
        <f t="shared" si="19"/>
        <v>0</v>
      </c>
      <c r="K225" s="21">
        <f t="shared" si="20"/>
        <v>0</v>
      </c>
      <c r="L225" s="21">
        <f t="shared" si="21"/>
        <v>0</v>
      </c>
      <c r="M225" s="346" t="s">
        <v>662</v>
      </c>
      <c r="P225" s="44"/>
      <c r="Q225" s="44"/>
    </row>
    <row r="226" spans="1:40" ht="13.5" hidden="1" x14ac:dyDescent="0.15">
      <c r="B226" s="10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357"/>
      <c r="N226" s="54"/>
      <c r="O226" s="258"/>
      <c r="P226" s="44"/>
      <c r="Q226" s="44"/>
    </row>
    <row r="227" spans="1:40" ht="13.5" hidden="1" x14ac:dyDescent="0.15">
      <c r="B227" s="248" t="s">
        <v>720</v>
      </c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258"/>
    </row>
    <row r="228" spans="1:40" ht="13.5" hidden="1" x14ac:dyDescent="0.15">
      <c r="A228" s="259">
        <v>1</v>
      </c>
      <c r="B228" s="51" t="s">
        <v>550</v>
      </c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258"/>
    </row>
    <row r="229" spans="1:40" ht="13.5" hidden="1" x14ac:dyDescent="0.15">
      <c r="A229" s="259" t="s">
        <v>721</v>
      </c>
      <c r="B229" s="51" t="s">
        <v>615</v>
      </c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58"/>
    </row>
    <row r="230" spans="1:40" ht="13.5" hidden="1" x14ac:dyDescent="0.15">
      <c r="A230" s="259">
        <v>2</v>
      </c>
      <c r="B230" s="338" t="s">
        <v>617</v>
      </c>
      <c r="C230" s="109"/>
      <c r="D230" s="109"/>
      <c r="E230" s="110"/>
      <c r="F230" s="358"/>
      <c r="G230" s="111"/>
      <c r="H230" s="111"/>
      <c r="I230" s="111"/>
      <c r="J230" s="46"/>
      <c r="K230" s="46"/>
      <c r="L230" s="46"/>
      <c r="M230" s="46"/>
      <c r="N230" s="9"/>
      <c r="O230" s="258"/>
    </row>
    <row r="231" spans="1:40" ht="13.5" hidden="1" x14ac:dyDescent="0.15">
      <c r="A231" s="259">
        <v>3</v>
      </c>
      <c r="B231" s="345" t="s">
        <v>645</v>
      </c>
      <c r="C231" s="104"/>
      <c r="D231" s="105"/>
      <c r="E231" s="106"/>
      <c r="F231" s="47"/>
      <c r="G231" s="47"/>
      <c r="H231" s="47"/>
      <c r="I231" s="47"/>
      <c r="J231" s="46"/>
      <c r="K231" s="46"/>
      <c r="L231" s="46"/>
      <c r="M231" s="46"/>
      <c r="N231" s="46"/>
      <c r="O231" s="258"/>
    </row>
    <row r="232" spans="1:40" ht="13.5" hidden="1" x14ac:dyDescent="0.15">
      <c r="A232" s="259">
        <v>4</v>
      </c>
      <c r="B232" s="338" t="s">
        <v>618</v>
      </c>
      <c r="C232" s="104"/>
      <c r="D232" s="104"/>
      <c r="E232" s="104"/>
      <c r="F232" s="112"/>
      <c r="G232" s="112"/>
      <c r="H232" s="112"/>
      <c r="I232" s="112"/>
      <c r="J232" s="46"/>
      <c r="K232" s="46"/>
      <c r="L232" s="46"/>
      <c r="M232" s="46"/>
      <c r="N232" s="46"/>
      <c r="O232" s="258"/>
    </row>
    <row r="233" spans="1:40" ht="13.5" hidden="1" x14ac:dyDescent="0.15">
      <c r="A233" s="259">
        <v>5</v>
      </c>
      <c r="B233" s="345" t="s">
        <v>646</v>
      </c>
      <c r="C233" s="104"/>
      <c r="D233" s="104"/>
      <c r="E233" s="104"/>
      <c r="F233" s="112"/>
      <c r="G233" s="112"/>
      <c r="H233" s="112"/>
      <c r="I233" s="112"/>
      <c r="J233" s="46"/>
      <c r="K233" s="46"/>
      <c r="L233" s="46"/>
      <c r="M233" s="46"/>
      <c r="N233" s="46"/>
      <c r="O233" s="258"/>
    </row>
    <row r="234" spans="1:40" ht="13.5" hidden="1" x14ac:dyDescent="0.15">
      <c r="A234" s="259">
        <v>6</v>
      </c>
      <c r="B234" s="345" t="s">
        <v>647</v>
      </c>
      <c r="C234" s="104"/>
      <c r="D234" s="104"/>
      <c r="E234" s="104"/>
      <c r="F234" s="112"/>
      <c r="G234" s="112"/>
      <c r="H234" s="112"/>
      <c r="I234" s="112"/>
      <c r="J234" s="46"/>
      <c r="K234" s="46"/>
      <c r="L234" s="46"/>
      <c r="M234" s="46"/>
      <c r="N234" s="46"/>
      <c r="O234" s="258"/>
    </row>
    <row r="235" spans="1:40" ht="13.5" hidden="1" x14ac:dyDescent="0.15">
      <c r="A235" s="259">
        <v>7</v>
      </c>
      <c r="B235" s="51" t="s">
        <v>551</v>
      </c>
      <c r="C235" s="104"/>
      <c r="D235" s="104"/>
      <c r="E235" s="104"/>
      <c r="F235" s="112"/>
      <c r="G235" s="112"/>
      <c r="H235" s="112"/>
      <c r="I235" s="112"/>
      <c r="J235" s="46"/>
      <c r="K235" s="46"/>
      <c r="L235" s="46"/>
      <c r="M235" s="46"/>
      <c r="N235" s="46"/>
      <c r="O235" s="258"/>
    </row>
    <row r="236" spans="1:40" ht="13.5" hidden="1" x14ac:dyDescent="0.15">
      <c r="A236" s="259">
        <v>8</v>
      </c>
      <c r="B236" s="51" t="s">
        <v>552</v>
      </c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258"/>
    </row>
    <row r="237" spans="1:40" ht="13.5" hidden="1" x14ac:dyDescent="0.15">
      <c r="A237" s="259">
        <v>9</v>
      </c>
      <c r="B237" s="51" t="s">
        <v>553</v>
      </c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58"/>
      <c r="AH237" s="69"/>
      <c r="AI237" s="69"/>
      <c r="AJ237" s="69"/>
      <c r="AK237" s="69"/>
      <c r="AL237" s="69"/>
      <c r="AM237" s="69"/>
      <c r="AN237" s="69"/>
    </row>
    <row r="238" spans="1:40" ht="13.5" hidden="1" x14ac:dyDescent="0.15">
      <c r="A238" s="259" t="s">
        <v>722</v>
      </c>
      <c r="B238" s="51" t="s">
        <v>616</v>
      </c>
      <c r="C238" s="109"/>
      <c r="D238" s="109"/>
      <c r="E238" s="110"/>
      <c r="F238" s="358"/>
      <c r="G238" s="111"/>
      <c r="H238" s="111"/>
      <c r="I238" s="111"/>
      <c r="J238" s="46"/>
      <c r="K238" s="46"/>
      <c r="L238" s="46"/>
      <c r="M238" s="46"/>
      <c r="N238" s="9"/>
      <c r="O238" s="258"/>
      <c r="AH238" s="69"/>
      <c r="AI238" s="69"/>
      <c r="AJ238" s="69"/>
      <c r="AK238" s="69"/>
      <c r="AL238" s="69"/>
      <c r="AM238" s="69"/>
      <c r="AN238" s="69"/>
    </row>
    <row r="239" spans="1:40" ht="13.5" hidden="1" x14ac:dyDescent="0.15">
      <c r="A239" s="259">
        <v>10</v>
      </c>
      <c r="B239" s="338" t="s">
        <v>619</v>
      </c>
      <c r="C239" s="104"/>
      <c r="D239" s="105"/>
      <c r="E239" s="106"/>
      <c r="F239" s="46"/>
      <c r="G239" s="46"/>
      <c r="H239" s="46"/>
      <c r="I239" s="46"/>
      <c r="J239" s="46"/>
      <c r="K239" s="46"/>
      <c r="L239" s="46"/>
      <c r="M239" s="46"/>
      <c r="N239" s="46"/>
      <c r="O239" s="258"/>
      <c r="AH239" s="69"/>
      <c r="AI239" s="69"/>
      <c r="AJ239" s="69"/>
      <c r="AK239" s="69"/>
      <c r="AL239" s="69"/>
      <c r="AM239" s="69"/>
      <c r="AN239" s="69"/>
    </row>
    <row r="240" spans="1:40" ht="13.5" hidden="1" x14ac:dyDescent="0.15">
      <c r="A240" s="259">
        <v>11</v>
      </c>
      <c r="B240" s="345" t="s">
        <v>648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  <c r="AH240" s="69"/>
      <c r="AI240" s="69"/>
      <c r="AJ240" s="69"/>
      <c r="AK240" s="69"/>
      <c r="AL240" s="69"/>
      <c r="AM240" s="69"/>
      <c r="AN240" s="69"/>
    </row>
    <row r="241" spans="1:40" ht="13.5" hidden="1" x14ac:dyDescent="0.15">
      <c r="A241" s="259">
        <v>12</v>
      </c>
      <c r="B241" s="345" t="s">
        <v>649</v>
      </c>
      <c r="C241" s="104"/>
      <c r="D241" s="105"/>
      <c r="E241" s="106"/>
      <c r="F241" s="47"/>
      <c r="G241" s="111"/>
      <c r="H241" s="47"/>
      <c r="I241" s="47"/>
      <c r="J241" s="46"/>
      <c r="K241" s="46"/>
      <c r="L241" s="46"/>
      <c r="M241" s="46"/>
      <c r="N241" s="46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>
        <v>13</v>
      </c>
      <c r="B242" s="338" t="s">
        <v>620</v>
      </c>
      <c r="C242" s="104"/>
      <c r="D242" s="105"/>
      <c r="E242" s="106"/>
      <c r="F242" s="47"/>
      <c r="G242" s="111"/>
      <c r="H242" s="47"/>
      <c r="I242" s="47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14</v>
      </c>
      <c r="B243" s="345" t="s">
        <v>650</v>
      </c>
      <c r="C243" s="104"/>
      <c r="D243" s="105"/>
      <c r="E243" s="106"/>
      <c r="F243" s="47"/>
      <c r="G243" s="111"/>
      <c r="H243" s="47"/>
      <c r="I243" s="47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15</v>
      </c>
      <c r="B244" s="345" t="s">
        <v>651</v>
      </c>
      <c r="C244" s="104"/>
      <c r="D244" s="105"/>
      <c r="E244" s="106"/>
      <c r="F244" s="47"/>
      <c r="G244" s="111"/>
      <c r="H244" s="47"/>
      <c r="I244" s="47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16</v>
      </c>
      <c r="B245" s="339" t="s">
        <v>621</v>
      </c>
      <c r="C245" s="104"/>
      <c r="D245" s="105"/>
      <c r="E245" s="106"/>
      <c r="F245" s="112"/>
      <c r="G245" s="112"/>
      <c r="H245" s="112"/>
      <c r="I245" s="112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17</v>
      </c>
      <c r="B246" s="345" t="s">
        <v>652</v>
      </c>
      <c r="C246" s="104"/>
      <c r="D246" s="105"/>
      <c r="E246" s="106"/>
      <c r="F246" s="112"/>
      <c r="G246" s="112"/>
      <c r="H246" s="112"/>
      <c r="I246" s="112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18</v>
      </c>
      <c r="B247" s="345" t="s">
        <v>653</v>
      </c>
      <c r="C247" s="104"/>
      <c r="D247" s="104"/>
      <c r="E247" s="104"/>
      <c r="F247" s="112"/>
      <c r="G247" s="112"/>
      <c r="H247" s="112"/>
      <c r="I247" s="112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19</v>
      </c>
      <c r="B248" s="340" t="s">
        <v>622</v>
      </c>
      <c r="C248" s="104"/>
      <c r="D248" s="104"/>
      <c r="E248" s="104"/>
      <c r="F248" s="112"/>
      <c r="G248" s="112"/>
      <c r="H248" s="112"/>
      <c r="I248" s="112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20</v>
      </c>
      <c r="B249" s="345" t="s">
        <v>654</v>
      </c>
      <c r="C249" s="104"/>
      <c r="D249" s="104"/>
      <c r="E249" s="104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21</v>
      </c>
      <c r="B250" s="340" t="s">
        <v>623</v>
      </c>
      <c r="C250" s="104"/>
      <c r="D250" s="104"/>
      <c r="E250" s="104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22</v>
      </c>
      <c r="B251" s="345" t="s">
        <v>655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23</v>
      </c>
      <c r="B252" s="340" t="s">
        <v>624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24</v>
      </c>
      <c r="B253" s="340" t="s">
        <v>625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25</v>
      </c>
      <c r="B254" s="340" t="s">
        <v>626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26</v>
      </c>
      <c r="B255" s="51" t="s">
        <v>556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27</v>
      </c>
      <c r="B256" s="107" t="s">
        <v>549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28</v>
      </c>
      <c r="B257" s="340" t="s">
        <v>627</v>
      </c>
      <c r="C257" s="359"/>
      <c r="D257" s="111"/>
      <c r="E257" s="360"/>
      <c r="F257" s="112"/>
      <c r="G257" s="112"/>
      <c r="H257" s="112"/>
      <c r="I257" s="112"/>
      <c r="J257" s="46"/>
      <c r="K257" s="46"/>
      <c r="L257" s="46"/>
      <c r="M257" s="46"/>
      <c r="N257" s="361"/>
      <c r="O257" s="258"/>
    </row>
    <row r="258" spans="1:15" ht="13.5" hidden="1" x14ac:dyDescent="0.15">
      <c r="A258" s="259">
        <v>29</v>
      </c>
      <c r="B258" s="345" t="s">
        <v>663</v>
      </c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58"/>
    </row>
    <row r="259" spans="1:15" ht="13.5" hidden="1" x14ac:dyDescent="0.15">
      <c r="A259" s="259">
        <v>30</v>
      </c>
      <c r="B259" s="340" t="s">
        <v>628</v>
      </c>
      <c r="C259" s="109"/>
      <c r="D259" s="109"/>
      <c r="E259" s="110"/>
      <c r="F259" s="358"/>
      <c r="G259" s="111"/>
      <c r="H259" s="111"/>
      <c r="I259" s="111"/>
      <c r="J259" s="46"/>
      <c r="K259" s="46"/>
      <c r="L259" s="46"/>
      <c r="M259" s="46"/>
      <c r="N259" s="9"/>
      <c r="O259" s="258"/>
    </row>
    <row r="260" spans="1:15" ht="13.5" hidden="1" x14ac:dyDescent="0.15">
      <c r="A260" s="259">
        <v>31</v>
      </c>
      <c r="B260" s="51" t="s">
        <v>557</v>
      </c>
      <c r="C260" s="104"/>
      <c r="D260" s="105"/>
      <c r="E260" s="106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 t="s">
        <v>723</v>
      </c>
      <c r="B261" s="51" t="s">
        <v>614</v>
      </c>
      <c r="C261" s="104"/>
      <c r="D261" s="105"/>
      <c r="E261" s="106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32</v>
      </c>
      <c r="B262" s="345" t="s">
        <v>664</v>
      </c>
      <c r="C262" s="104"/>
      <c r="D262" s="105"/>
      <c r="E262" s="106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33</v>
      </c>
      <c r="B263" s="340" t="s">
        <v>629</v>
      </c>
      <c r="C263" s="104"/>
      <c r="D263" s="105"/>
      <c r="E263" s="106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34</v>
      </c>
      <c r="B264" s="345" t="s">
        <v>665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35</v>
      </c>
      <c r="B265" s="51" t="s">
        <v>559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36</v>
      </c>
      <c r="B266" s="51" t="s">
        <v>560</v>
      </c>
      <c r="C266" s="104"/>
      <c r="D266" s="104"/>
      <c r="E266" s="104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37</v>
      </c>
      <c r="B267" s="345" t="s">
        <v>689</v>
      </c>
      <c r="C267" s="104"/>
      <c r="D267" s="104"/>
      <c r="E267" s="104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38</v>
      </c>
      <c r="B268" s="345" t="s">
        <v>666</v>
      </c>
      <c r="C268" s="104"/>
      <c r="D268" s="104"/>
      <c r="E268" s="104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39</v>
      </c>
      <c r="B269" s="340" t="s">
        <v>630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40</v>
      </c>
      <c r="B270" s="340" t="s">
        <v>631</v>
      </c>
      <c r="C270" s="9"/>
      <c r="D270" s="9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41</v>
      </c>
      <c r="B271" s="51" t="s">
        <v>561</v>
      </c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42</v>
      </c>
      <c r="B272" s="345" t="s">
        <v>667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43</v>
      </c>
      <c r="B273" s="51" t="s">
        <v>562</v>
      </c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44</v>
      </c>
      <c r="B274" s="51" t="s">
        <v>563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45</v>
      </c>
      <c r="B275" s="51" t="s">
        <v>686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46</v>
      </c>
      <c r="B276" s="345" t="s">
        <v>668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47</v>
      </c>
      <c r="B277" s="345" t="s">
        <v>669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 t="s">
        <v>724</v>
      </c>
      <c r="B278" s="345" t="s">
        <v>701</v>
      </c>
      <c r="C278" s="9"/>
      <c r="D278" s="9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48</v>
      </c>
      <c r="B279" s="51" t="s">
        <v>564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49</v>
      </c>
      <c r="B280" s="345" t="s">
        <v>670</v>
      </c>
      <c r="C280" s="9"/>
      <c r="D280" s="9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50</v>
      </c>
      <c r="B281" s="340" t="s">
        <v>632</v>
      </c>
      <c r="C281" s="9"/>
      <c r="D281" s="9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51</v>
      </c>
      <c r="B282" s="51" t="s">
        <v>565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52</v>
      </c>
      <c r="B283" s="51" t="s">
        <v>566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53</v>
      </c>
      <c r="B284" s="51" t="s">
        <v>567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54</v>
      </c>
      <c r="B285" s="51" t="s">
        <v>568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55</v>
      </c>
      <c r="B286" s="51" t="s">
        <v>569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56</v>
      </c>
      <c r="B287" s="340" t="s">
        <v>633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57</v>
      </c>
      <c r="B288" s="51" t="s">
        <v>570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58</v>
      </c>
      <c r="B289" s="51" t="s">
        <v>571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59</v>
      </c>
      <c r="B290" s="345" t="s">
        <v>671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60</v>
      </c>
      <c r="B291" s="51" t="s">
        <v>572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61</v>
      </c>
      <c r="B292" s="51" t="s">
        <v>573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62</v>
      </c>
      <c r="B293" s="51" t="s">
        <v>574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63</v>
      </c>
      <c r="B294" s="345" t="s">
        <v>672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64</v>
      </c>
      <c r="B295" s="51" t="s">
        <v>580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65</v>
      </c>
      <c r="B296" s="51" t="s">
        <v>583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258"/>
    </row>
    <row r="297" spans="1:15" ht="13.5" hidden="1" x14ac:dyDescent="0.15">
      <c r="A297" s="259">
        <v>66</v>
      </c>
      <c r="B297" s="340" t="s">
        <v>634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258"/>
    </row>
    <row r="298" spans="1:15" ht="13.5" hidden="1" x14ac:dyDescent="0.15">
      <c r="A298" s="259">
        <v>67</v>
      </c>
      <c r="B298" s="51" t="s">
        <v>581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258"/>
    </row>
    <row r="299" spans="1:15" ht="13.5" hidden="1" x14ac:dyDescent="0.15">
      <c r="A299" s="259" t="s">
        <v>725</v>
      </c>
      <c r="B299" s="51" t="s">
        <v>684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258"/>
    </row>
    <row r="300" spans="1:15" ht="13.5" hidden="1" x14ac:dyDescent="0.15">
      <c r="A300" s="259">
        <v>68</v>
      </c>
      <c r="B300" s="108" t="s">
        <v>673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69</v>
      </c>
      <c r="B301" s="340" t="s">
        <v>635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70</v>
      </c>
      <c r="B302" s="108" t="s">
        <v>674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>
        <v>71</v>
      </c>
      <c r="B303" s="108" t="s">
        <v>675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72</v>
      </c>
      <c r="B304" s="108" t="s">
        <v>677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73</v>
      </c>
      <c r="B305" s="340" t="s">
        <v>636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74</v>
      </c>
      <c r="B306" s="108" t="s">
        <v>678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75</v>
      </c>
      <c r="B307" s="340" t="s">
        <v>637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76</v>
      </c>
      <c r="B308" s="108" t="s">
        <v>679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77</v>
      </c>
      <c r="B309" s="340" t="s">
        <v>638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78</v>
      </c>
      <c r="B310" s="108" t="s">
        <v>680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79</v>
      </c>
      <c r="B311" s="340" t="s">
        <v>639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80</v>
      </c>
      <c r="B312" s="340" t="s">
        <v>640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81</v>
      </c>
      <c r="B313" s="108" t="s">
        <v>681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82</v>
      </c>
      <c r="B314" s="51" t="s">
        <v>584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83</v>
      </c>
      <c r="B315" s="340" t="s">
        <v>683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84</v>
      </c>
      <c r="B316" s="340" t="s">
        <v>699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85</v>
      </c>
      <c r="B317" s="340" t="s">
        <v>641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86</v>
      </c>
      <c r="B318" s="340" t="s">
        <v>642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87</v>
      </c>
      <c r="B319" s="340" t="s">
        <v>643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88</v>
      </c>
      <c r="B320" s="340" t="s">
        <v>644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89</v>
      </c>
      <c r="B321" s="51" t="s">
        <v>585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90</v>
      </c>
      <c r="B322" s="108" t="s">
        <v>682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91</v>
      </c>
      <c r="B323" s="51" t="s">
        <v>586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 t="s">
        <v>726</v>
      </c>
      <c r="B324" s="51" t="s">
        <v>685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92</v>
      </c>
      <c r="B325" s="51" t="s">
        <v>588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B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B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B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B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</sheetData>
  <sheetProtection password="F44E" sheet="1" objects="1" scenarios="1"/>
  <mergeCells count="30">
    <mergeCell ref="B97:E97"/>
    <mergeCell ref="B126:N126"/>
    <mergeCell ref="C119:E119"/>
    <mergeCell ref="F119:H119"/>
    <mergeCell ref="K106:S106"/>
    <mergeCell ref="B106:J106"/>
    <mergeCell ref="I119:J119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J96">
    <cfRule type="cellIs" dxfId="363" priority="1" stopIfTrue="1" operator="equal">
      <formula>"ATENDE TEMPO NO CARGO"</formula>
    </cfRule>
    <cfRule type="cellIs" dxfId="362" priority="2" stopIfTrue="1" operator="equal">
      <formula>"NÃO CUMPRE TEMPO NO CARGO"</formula>
    </cfRule>
  </conditionalFormatting>
  <conditionalFormatting sqref="M239:M257 M229:M235 M260:M283 C217:C219 C128:C173 N172:N173 C175:C194 C214:C215 C221:C225 C196:C212">
    <cfRule type="cellIs" dxfId="361" priority="3" stopIfTrue="1" operator="equal">
      <formula>"ANUÊNIO"</formula>
    </cfRule>
    <cfRule type="cellIs" dxfId="360" priority="4" stopIfTrue="1" operator="equal">
      <formula>"TRIÊNIO"</formula>
    </cfRule>
    <cfRule type="cellIs" dxfId="359" priority="5" stopIfTrue="1" operator="equal">
      <formula>"QUINQUÊNIO"</formula>
    </cfRule>
  </conditionalFormatting>
  <conditionalFormatting sqref="F72:F74">
    <cfRule type="cellIs" dxfId="358" priority="6" stopIfTrue="1" operator="equal">
      <formula>"NADA A CUMPRIR"</formula>
    </cfRule>
    <cfRule type="cellIs" dxfId="357" priority="7" stopIfTrue="1" operator="equal">
      <formula>"NÃO CABE"</formula>
    </cfRule>
    <cfRule type="cellIs" dxfId="356" priority="8" stopIfTrue="1" operator="greaterThanOrEqual">
      <formula>0</formula>
    </cfRule>
  </conditionalFormatting>
  <conditionalFormatting sqref="E71">
    <cfRule type="cellIs" dxfId="355" priority="9" stopIfTrue="1" operator="equal">
      <formula>"NÃO ATENDE LIMITE MÍNIMO DE IDADE"</formula>
    </cfRule>
    <cfRule type="cellIs" dxfId="354" priority="10" stopIfTrue="1" operator="equal">
      <formula>"REANALISAR FUNDAMENTAÇÃO E/OU MODALIDADE"</formula>
    </cfRule>
    <cfRule type="cellIs" dxfId="353" priority="11" stopIfTrue="1" operator="equal">
      <formula>"ATENDE LIMITE MÍNIMO DE IDADE"</formula>
    </cfRule>
  </conditionalFormatting>
  <conditionalFormatting sqref="N69 N71">
    <cfRule type="cellIs" dxfId="352" priority="12" stopIfTrue="1" operator="equal">
      <formula>0</formula>
    </cfRule>
  </conditionalFormatting>
  <conditionalFormatting sqref="K8">
    <cfRule type="expression" dxfId="351" priority="13" stopIfTrue="1">
      <formula>"SE($N$8=0)"</formula>
    </cfRule>
  </conditionalFormatting>
  <conditionalFormatting sqref="C73">
    <cfRule type="cellIs" dxfId="350" priority="14" stopIfTrue="1" operator="equal">
      <formula>"FALTA DATA"</formula>
    </cfRule>
  </conditionalFormatting>
  <conditionalFormatting sqref="M74">
    <cfRule type="cellIs" dxfId="349" priority="15" stopIfTrue="1" operator="equal">
      <formula>"ATENDE"</formula>
    </cfRule>
    <cfRule type="cellIs" dxfId="348" priority="16" stopIfTrue="1" operator="equal">
      <formula>"NÃO ATENDE"</formula>
    </cfRule>
    <cfRule type="cellIs" dxfId="347" priority="17" stopIfTrue="1" operator="equal">
      <formula>"NÃO CABE"</formula>
    </cfRule>
  </conditionalFormatting>
  <conditionalFormatting sqref="M73">
    <cfRule type="cellIs" dxfId="346" priority="18" stopIfTrue="1" operator="equal">
      <formula>"ATENDE"</formula>
    </cfRule>
    <cfRule type="cellIs" dxfId="345" priority="19" stopIfTrue="1" operator="equal">
      <formula>"NÃO ATENDE"</formula>
    </cfRule>
    <cfRule type="cellIs" dxfId="344" priority="20" stopIfTrue="1" operator="equal">
      <formula>"NÃO CABE"</formula>
    </cfRule>
  </conditionalFormatting>
  <conditionalFormatting sqref="M75:M76 L77:M77 L78:L82">
    <cfRule type="cellIs" dxfId="343" priority="21" stopIfTrue="1" operator="equal">
      <formula>"ATENDE"</formula>
    </cfRule>
    <cfRule type="cellIs" dxfId="342" priority="22" stopIfTrue="1" operator="equal">
      <formula>"NÃO ATENDE"</formula>
    </cfRule>
    <cfRule type="cellIs" dxfId="341" priority="23" stopIfTrue="1" operator="equal">
      <formula>"OK"</formula>
    </cfRule>
  </conditionalFormatting>
  <conditionalFormatting sqref="K42">
    <cfRule type="expression" dxfId="340" priority="24" stopIfTrue="1">
      <formula>$E$42&lt;=0</formula>
    </cfRule>
  </conditionalFormatting>
  <conditionalFormatting sqref="M42">
    <cfRule type="expression" dxfId="339" priority="25" stopIfTrue="1">
      <formula>$E$42&lt;=0</formula>
    </cfRule>
  </conditionalFormatting>
  <conditionalFormatting sqref="O70 I67">
    <cfRule type="cellIs" dxfId="338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800-000000000000}">
      <formula1>$O$2:$O$7</formula1>
    </dataValidation>
    <dataValidation type="list" allowBlank="1" showInputMessage="1" showErrorMessage="1" sqref="E2:I2" xr:uid="{00000000-0002-0000-0800-000001000000}">
      <formula1>$B$86:$B$94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820"/>
  <sheetViews>
    <sheetView showGridLines="0" zoomScale="75" zoomScaleNormal="75" workbookViewId="0" xr3:uid="{7BE570AB-09E9-518F-B8F7-3F91B7162CA9}">
      <selection activeCell="A77" sqref="A77:A65536"/>
    </sheetView>
  </sheetViews>
  <sheetFormatPr defaultColWidth="0" defaultRowHeight="14.25" zeroHeight="1" x14ac:dyDescent="0.2"/>
  <cols>
    <col min="1" max="1" width="1.7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9.16796875" style="21" hidden="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450</v>
      </c>
      <c r="F2" s="1850"/>
      <c r="G2" s="1850"/>
      <c r="H2" s="1850"/>
      <c r="I2" s="1850"/>
      <c r="J2" s="652" t="s">
        <v>462</v>
      </c>
      <c r="K2" s="1939" t="s">
        <v>465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IF(OR($E$2=$B$86,$E$2=$B$87,E2=B88),IF($M$13&gt;=5,"ATENDE","NÃO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IF(OR($E$2=$B$86,$E$2=$B$87,E2=B88),IF($M$15&gt;=10,"ATENDE","NÃO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58">
        <f>CRÍTICA_IGP1!J8</f>
        <v>0</v>
      </c>
      <c r="K8" s="153" t="s">
        <v>542</v>
      </c>
      <c r="L8" s="154"/>
      <c r="M8" s="45"/>
      <c r="N8" s="758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58">
        <f>CRÍTICA_IGP1!J9</f>
        <v>0</v>
      </c>
      <c r="K9" s="153" t="s">
        <v>443</v>
      </c>
      <c r="L9" s="154"/>
      <c r="M9" s="155"/>
      <c r="N9" s="758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055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055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055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065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062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062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062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062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060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254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1041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675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675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675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CRÍTICA_IGP1!E32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IF(E2=B94,IF(D12="X",IF(G10="X",ROUNDDOWN(SUM(F26:F34)*0.2,0),ROUNDDOWN(SUM(F26:F34)*0.17,0)),0),0)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IF(N8&gt;=37986,0,IF(AND(N8&lt;37986,F38&lt;&gt;0),SUM(F26:F35),0))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B41" s="177" t="s">
        <v>493</v>
      </c>
      <c r="C41" s="178">
        <f>IF(E41&gt;0,IF(E2=B86,E41,IF(E2=B87,E41,IF(E2=B93,E41,))),0)</f>
        <v>12775</v>
      </c>
      <c r="D41" s="178" t="b">
        <f>IF(E41&gt;0,IF(K2=O5,IF(E2=B94,E41,0)),0)</f>
        <v>0</v>
      </c>
      <c r="E41" s="179">
        <f>IF($E$2=B93,IF($G$10="X",(25*365)-$F$37,(30*365)-$F$37),IF($G$10="X",(30*365)-$F$37,(35*365)-$F$37))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92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CUMPRIR",IF(K2=O5,IF(E2=B94,"HÁ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92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IF(E42&gt;0,IF(E2=B93,ROUNDUP(E42*0.4,0),ROUNDUP(E42*0.2,0)),0)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92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92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IF(N8&gt;=37986,0,IF(F46&lt;&gt;0,F46,IF(K2=O2,0,IF(K2=O3,A42,IF(K2=O4,A43,A44)))))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92"/>
      <c r="B46" s="234"/>
      <c r="C46" s="1066"/>
      <c r="D46" s="1262"/>
      <c r="F46" s="1257">
        <f>SUM(F47:F50)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1041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CRÍTICA_IGP1!E50</f>
        <v>25567</v>
      </c>
      <c r="F50" s="1268">
        <f>'MTS - MAPA DE TEMPO DE SERVIÇO'!$H$40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92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92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92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1041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92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92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92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1317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B58" s="1265"/>
      <c r="C58" s="1066" t="str">
        <f>IF(C54&gt;0,C54,IF(C55&gt;0,C55,IF(C56&gt;0,C56,IF(C57&gt;0,C57,"REVER"))))</f>
        <v>REVER</v>
      </c>
      <c r="D58" s="387"/>
      <c r="E58" s="1210" t="str">
        <f>IF(E57&gt;0,E57,IF(E56&gt;0,E56,IF(E55&gt;0,E55,IF(E54&gt;0,E54,"REVER"))))</f>
        <v>REVER</v>
      </c>
      <c r="F58" s="1318">
        <f>IF(C59&gt;=Q12,A52,0)</f>
        <v>0</v>
      </c>
      <c r="G58" s="385"/>
      <c r="H58" s="385"/>
      <c r="I58" s="389"/>
      <c r="J58" s="391"/>
      <c r="K58" s="1266"/>
      <c r="L58" s="74"/>
      <c r="M58" s="1267"/>
      <c r="N58" s="7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92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1318">
        <f>IF(N8&gt;=37986,0,F58)</f>
        <v>0</v>
      </c>
      <c r="G59" s="280" t="s">
        <v>353</v>
      </c>
      <c r="H59" s="280"/>
      <c r="I59" s="280"/>
      <c r="J59" s="280"/>
      <c r="K59" s="280">
        <f>ROUNDDOWN(F58/365,0)</f>
        <v>0</v>
      </c>
      <c r="L59" s="280" t="s">
        <v>354</v>
      </c>
      <c r="M59" s="293">
        <f>(F58/365-K59)*365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>
        <f>IF(E2=B88,"NÃO CABE",IF(E2=B90,"NÃO CABE",IF(E2=B91,"NÃO CABE",IF(E2=B92,"NÃO CABE",IF(C65&gt;0,C65,"NADA A CUMPRIR")))))</f>
        <v>12775</v>
      </c>
      <c r="D64" s="198"/>
      <c r="E64" s="199"/>
      <c r="F64" s="200"/>
      <c r="G64" s="198"/>
      <c r="H64" s="201">
        <f>IF($C$64="NÃO CABE",0,IF($C$65&gt;0,ROUNDDOWN($C$65/365,0),0))</f>
        <v>35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>
        <f>IF(K2=O2,IF(E2=B93,R119,R118),IF(K2=O3,Q117,IF(K2=O6,Q117,IF(K2=O4,Q116,IF(K2=O5,Q116,IF($K$2=O7,Q120,0))))))</f>
        <v>12775</v>
      </c>
      <c r="D65" s="205"/>
      <c r="E65" s="206"/>
      <c r="F65" s="207"/>
      <c r="G65" s="205"/>
      <c r="H65" s="207">
        <f>IF($C$64="NÃO CABE",0,IF($C$65&gt;0,ROUNDDOWN($C$65/365,0),0))</f>
        <v>35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IF($O$10&lt;$D$127,VLOOKUP($E$6,$B$128:$Q$225,3,FALSE),IF($O$10&lt;$E$127,VLOOKUP($E$6,$B$128:$Q$225,4,FALSE),VLOOKUP($E$6,$B$128:$Q$225,5,FALSE)))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$86&lt;=$BC$82,VLOOKUP($C$8,$BB$87:$BH$126,2,FALSE),IF($BC$86&lt;=$BD$82,VLOOKUP($C$8,$BB$87:$BH$126,3,FALSE),IF($BC$86&lt;=$BE$82,VLOOKUP($C$8,$BB$87:$BH$126,4,FALSE),IF($BC$86&lt;=$BF$82,VLOOKUP($C$8,$BB$87:$BH$126,5,FALSE),IF($BC$86&lt;=$BG$82,VLOOKUP($C$8,$BB$87:$BH$126,6,FALSE),VLOOKUP($C$8,$BB$87:$BH$126,7,FALSE))))))</f>
        <v>#N/A</v>
      </c>
      <c r="F68" s="150"/>
      <c r="G68" s="150"/>
      <c r="H68" s="150"/>
      <c r="I68" s="221"/>
      <c r="J68" s="222" t="e">
        <f>IF($BC$81&lt;=$BC$82,VLOOKUP($C$8,$BB$87:$BH$126,2,FALSE),IF($BC$81&lt;=$BD$82,VLOOKUP($C$8,$BB$87:$BH$126,3,FALSE),IF($BC$81&lt;=$BE$82,VLOOKUP($C$8,$BB$87:$BH$126,4,FALSE),IF($BC$81&lt;=$BF$82,VLOOKUP($C$8,$BB$87:$BH$126,5,FALSE),IF($BC$81&lt;=$BG$82,VLOOKUP($C$8,$BB$87:$BH$126,6,FALSE),VLOOKUP($C$8,$BB$87:$BH$126,7,FALSE))))))</f>
        <v>#N/A</v>
      </c>
      <c r="K68" s="150" t="s">
        <v>448</v>
      </c>
      <c r="L68" s="153"/>
      <c r="M68" s="150"/>
      <c r="N68" s="223" t="str">
        <f>IF($K$2=$O$2,J98,IF($K$2=$O$3,J99,IF($K$2=$O$4,J100,IF($K$2=$O$5,J101,"NÃO CABE"))))</f>
        <v>NÃO CABE</v>
      </c>
      <c r="O68" s="254" t="str">
        <f>VLOOKUP($E$6,$B$128:$C$225,2,FALSE)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TRANSIÇÃO_ART. 6º_EC41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INTEGRAL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IF(K2=O3,IF(M100&gt;=N100,N99,"NÃO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IF($E$2=$L$107,$O$107,IF($E$2=$L$108,$O$108,IF($E$2=$L$109,$O$109,IF($E$2=$L$110,$O$110,IF($E$2=$L$111,$O$111,$O$112)))))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>
        <f>C64</f>
        <v>12775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ATENDE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ATENDE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IF(OR(E6=B196,E6=B208,E6=B219),IF(L208&gt;=25,"FAZ JUS A 1/6 DA REMUNERAÇÃO",IF(L219&gt;=25,"FAZ JUS A 1/6 DA REMUNERAÇÃO",IF(L196&gt;=25,"FAZ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ATENDE</v>
      </c>
      <c r="N75" s="242"/>
      <c r="O75" s="255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IF(ISERROR(HLOOKUP($J$173,$Q$73:$W$74,2)),0,HLOOKUP($J$173,$Q$73:$W$74,2))</f>
        <v>0</v>
      </c>
      <c r="T75" s="133" t="s">
        <v>451</v>
      </c>
      <c r="U75" s="132"/>
      <c r="V75" s="133"/>
      <c r="W75" s="132">
        <f>IF(ISERROR(HLOOKUP($K$173,$Q$73:$W$74,2)),0,HLOOKUP($K$173,$Q$73:$W$74,2))</f>
        <v>0</v>
      </c>
      <c r="X75" s="134" t="s">
        <v>507</v>
      </c>
      <c r="Y75" s="135"/>
      <c r="Z75" s="136"/>
      <c r="AA75" s="134"/>
      <c r="AB75" s="137">
        <f>IF(ISERROR(HLOOKUP($L$173,$Q$73:$W$74,2)),0,HLOOKUP($L$173,$Q$73:$W$74,2))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2" t="str">
        <f>IF($F$72="NADA A CUMPRIR","OK",IF($F$72="NÃO CABE","NÃO CABE","NÃO CUMPRE"))</f>
        <v>NÃO CUMPRE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>IF(OR($F$72="NADA A CUMPRIR",$F$72="NÃO CABE"),"SIM","NÃO")</f>
        <v>NÃO</v>
      </c>
      <c r="I78" s="413" t="str">
        <f>IF(N78="SIM","SIM","NÃO")</f>
        <v>NÃO</v>
      </c>
      <c r="J78" s="414" t="str">
        <f>IF(OR($M$73="NÃO CABE",$M$73="ATENDE"),"SIM","NÃO")</f>
        <v>NÃO</v>
      </c>
      <c r="K78" s="414" t="str">
        <f>IF(OR($M$74="NÃO CABE",$M$74="ATENDE"),"SIM","NÃO")</f>
        <v>NÃO</v>
      </c>
      <c r="L78" s="412"/>
      <c r="M78" s="414" t="str">
        <f>IF(OR($M$75="ATENDE",$M$75="OK"),"SIM","NÃO")</f>
        <v>NÃO</v>
      </c>
      <c r="N78" s="414" t="str">
        <f>IF(AND(C78="SIM",H78="SIM",J78="SIM",K78="SIM",M78="SIM"),"SIM","NÃO")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>IF(OR($E$71="NADA A CRITICAR",$E$71="ATENDE LIMITE MÍNIMO DE IDADE"),"SIM","NÃO")</f>
        <v>NÃO</v>
      </c>
      <c r="D79" s="415"/>
      <c r="E79" s="18" t="s">
        <v>485</v>
      </c>
      <c r="F79" s="18"/>
      <c r="G79" s="18"/>
      <c r="H79" s="414" t="str">
        <f>IF(OR($F$72="NADA A CUMPRIR",$F$72="NÃO CABE"),"SIM","NÃO")</f>
        <v>NÃO</v>
      </c>
      <c r="I79" s="413" t="str">
        <f>IF($D$14="X",IF($N$79="SIM","SIM","NÃO"),"NÃO")</f>
        <v>NÃO</v>
      </c>
      <c r="J79" s="414" t="str">
        <f>IF(OR($M$73="NÃO CABE",$M$73="ATENDE"),"SIM","NÃO")</f>
        <v>NÃO</v>
      </c>
      <c r="K79" s="414" t="str">
        <f>IF(OR($M$74="NÃO CABE",$M$74="ATENDE"),"SIM","NÃO")</f>
        <v>NÃO</v>
      </c>
      <c r="L79" s="412"/>
      <c r="M79" s="414" t="str">
        <f>IF(OR($M$75="ATENDE",$M$75="OK"),"SIM","NÃO")</f>
        <v>NÃO</v>
      </c>
      <c r="N79" s="414" t="str">
        <f>IF(AND(C79="SIM",H79="SIM",J79="SIM",K79="SIM",M79="SIM"),"SIM","NÃO")</f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53" hidden="1" thickBot="1" x14ac:dyDescent="0.2">
      <c r="B80" s="610" t="s">
        <v>450</v>
      </c>
      <c r="C80" s="588" t="str">
        <f>IF(OR($E$71="NADA A CRITICAR",$E$71="ATENDE LIMITE MÍNIMO DE IDADE"),"SIM","NÃO")</f>
        <v>NÃO</v>
      </c>
      <c r="D80" s="587"/>
      <c r="E80" s="611" t="s">
        <v>752</v>
      </c>
      <c r="F80" s="612">
        <f>I67</f>
        <v>0</v>
      </c>
      <c r="G80" s="611"/>
      <c r="H80" s="588" t="str">
        <f>IF(OR($F$72="NADA A CUMPRIR",$F$72="NÃO CABE"),"SIM","NÃO")</f>
        <v>NÃO</v>
      </c>
      <c r="I80" s="613" t="str">
        <f>IF(N80="SIM","SIM","NÃO")</f>
        <v>NÃO</v>
      </c>
      <c r="J80" s="588" t="str">
        <f>IF(OR($M$73="NÃO CABE",$M$73="ATENDE"),"SIM","NÃO")</f>
        <v>NÃO</v>
      </c>
      <c r="K80" s="588" t="str">
        <f>IF(OR($M$74="NÃO CABE",$M$74="ATENDE"),"SIM","NÃO")</f>
        <v>NÃO</v>
      </c>
      <c r="L80" s="614"/>
      <c r="M80" s="588" t="str">
        <f>IF(OR($M$75="ATENDE",$M$75="OK"),"SIM","NÃO")</f>
        <v>NÃO</v>
      </c>
      <c r="N80" s="588" t="str">
        <f>IF(OR(N8&gt;=37986,N10&lt;37986),"NÃO",IF(AND(C80="SIM",H80="SIM",J80="SIM",K80="SIM",M80="SIM"),"SIM","NÃO"))</f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AC80" s="69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X80" s="11"/>
      <c r="AY80" s="11"/>
      <c r="AZ80" s="11"/>
      <c r="BA80" s="85"/>
    </row>
    <row r="81" spans="2:64" ht="15.95" hidden="1" customHeight="1" thickTop="1" x14ac:dyDescent="0.15">
      <c r="B81" s="35" t="s">
        <v>450</v>
      </c>
      <c r="C81" s="414" t="str">
        <f>IF(OR($E$71="NADA A CRITICAR",$E$71="ATENDE LIMITE MÍNIMO DE IDADE"),"SIM","NÃO")</f>
        <v>NÃO</v>
      </c>
      <c r="D81" s="415"/>
      <c r="E81" s="18" t="s">
        <v>753</v>
      </c>
      <c r="F81" s="18"/>
      <c r="G81" s="18"/>
      <c r="H81" s="414" t="str">
        <f>IF(OR($F$72="NADA A CUMPRIR",$F$72="NÃO CABE"),"SIM","NÃO")</f>
        <v>NÃO</v>
      </c>
      <c r="I81" s="413" t="str">
        <f>IF(N81="SIM","SIM","NÃO")</f>
        <v>NÃO</v>
      </c>
      <c r="J81" s="414" t="str">
        <f>IF(OR($M$73="NÃO CABE",$M$73="ATENDE"),"SIM","NÃO")</f>
        <v>NÃO</v>
      </c>
      <c r="K81" s="414" t="str">
        <f>IF(OR($M$74="NÃO CABE",$M$74="ATENDE"),"SIM","NÃO")</f>
        <v>NÃO</v>
      </c>
      <c r="L81" s="412"/>
      <c r="M81" s="414" t="str">
        <f>IF(OR($M$75="ATENDE",$M$75="OK"),"SIM","NÃO")</f>
        <v>NÃO</v>
      </c>
      <c r="N81" s="414" t="str">
        <f>IF(AND(C81="SIM",H81="SIM",J81="SIM",K81="SIM",M81="SIM"),"SIM","NÃO")</f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AC81" s="69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Z81" s="11"/>
      <c r="BA81" s="85"/>
      <c r="BB81" s="686"/>
      <c r="BC81" s="687">
        <f>SUM(F30:F32)</f>
        <v>0</v>
      </c>
      <c r="BD81" s="687"/>
      <c r="BE81" s="687"/>
      <c r="BF81" s="688"/>
      <c r="BG81" s="688"/>
      <c r="BH81" s="688"/>
      <c r="BI81" s="688" t="s">
        <v>361</v>
      </c>
      <c r="BJ81" s="689" t="s">
        <v>362</v>
      </c>
      <c r="BK81" s="690" t="s">
        <v>362</v>
      </c>
      <c r="BL81" s="691" t="s">
        <v>363</v>
      </c>
    </row>
    <row r="82" spans="2:64" ht="15.95" hidden="1" customHeight="1" x14ac:dyDescent="0.15">
      <c r="B82" s="35" t="s">
        <v>450</v>
      </c>
      <c r="C82" s="414" t="str">
        <f>IF(OR($E$71="NADA A CRITICAR",$E$71="ATENDE LIMITE MÍNIMO DE IDADE"),"SIM","NÃO")</f>
        <v>NÃO</v>
      </c>
      <c r="D82" s="415"/>
      <c r="E82" s="18" t="s">
        <v>754</v>
      </c>
      <c r="F82" s="18"/>
      <c r="G82" s="18"/>
      <c r="H82" s="414" t="str">
        <f>IF(OR($F$72="NADA A CUMPRIR",$F$72="NÃO CABE"),"SIM","NÃO")</f>
        <v>NÃO</v>
      </c>
      <c r="I82" s="413" t="str">
        <f>IF(N82="SIM","SIM","NÃO")</f>
        <v>NÃO</v>
      </c>
      <c r="J82" s="414" t="str">
        <f>IF(OR($M$73="NÃO CABE",$M$73="ATENDE"),"SIM","NÃO")</f>
        <v>NÃO</v>
      </c>
      <c r="K82" s="414" t="str">
        <f>IF(OR($M$74="NÃO CABE",$M$74="ATENDE"),"SIM","NÃO")</f>
        <v>NÃO</v>
      </c>
      <c r="L82" s="412"/>
      <c r="M82" s="414" t="str">
        <f>IF(OR($M$75="ATENDE",$M$75="OK"),"SIM","NÃO")</f>
        <v>NÃO</v>
      </c>
      <c r="N82" s="414" t="str">
        <f>IF(AND(C82="SIM",H82="SIM",J82="SIM",K82="SIM",M82="SIM"),"SIM","NÃO")</f>
        <v>NÃO</v>
      </c>
      <c r="O82" s="255"/>
      <c r="AC82" s="69"/>
      <c r="AD82" s="70"/>
      <c r="AE82" s="70"/>
      <c r="AF82" s="70"/>
      <c r="AG82" s="69"/>
      <c r="AZ82" s="11"/>
      <c r="BA82" s="85"/>
      <c r="BB82" s="692" t="s">
        <v>364</v>
      </c>
      <c r="BC82" s="693">
        <v>5</v>
      </c>
      <c r="BD82" s="693">
        <v>10</v>
      </c>
      <c r="BE82" s="693">
        <v>15</v>
      </c>
      <c r="BF82" s="693">
        <v>20</v>
      </c>
      <c r="BG82" s="694">
        <v>25</v>
      </c>
      <c r="BH82" s="694" t="s">
        <v>365</v>
      </c>
      <c r="BI82" s="695" t="s">
        <v>366</v>
      </c>
      <c r="BJ82" s="696" t="s">
        <v>367</v>
      </c>
      <c r="BK82" s="697">
        <v>34820</v>
      </c>
      <c r="BL82" s="698">
        <v>34851</v>
      </c>
    </row>
    <row r="83" spans="2:64" ht="15.95" hidden="1" customHeight="1" x14ac:dyDescent="0.15">
      <c r="B83" s="35"/>
      <c r="C83" s="414"/>
      <c r="D83" s="415"/>
      <c r="E83" s="18"/>
      <c r="F83" s="18"/>
      <c r="G83" s="18"/>
      <c r="H83" s="414"/>
      <c r="I83" s="413"/>
      <c r="J83" s="414"/>
      <c r="K83" s="414"/>
      <c r="L83" s="412"/>
      <c r="M83" s="414"/>
      <c r="N83" s="414"/>
      <c r="O83" s="255"/>
      <c r="AC83" s="69"/>
      <c r="AD83" s="70"/>
      <c r="AE83" s="70"/>
      <c r="AF83" s="70"/>
      <c r="AG83" s="69"/>
      <c r="AZ83" s="11"/>
      <c r="BA83" s="85"/>
      <c r="BB83" s="692"/>
      <c r="BC83" s="693"/>
      <c r="BD83" s="693"/>
      <c r="BE83" s="693"/>
      <c r="BF83" s="693"/>
      <c r="BG83" s="694"/>
      <c r="BH83" s="694"/>
      <c r="BI83" s="695"/>
      <c r="BJ83" s="696"/>
      <c r="BK83" s="697"/>
      <c r="BL83" s="698"/>
    </row>
    <row r="84" spans="2:64" ht="15.95" hidden="1" customHeight="1" thickBot="1" x14ac:dyDescent="0.2">
      <c r="B84" s="35"/>
      <c r="C84" s="414"/>
      <c r="D84" s="415"/>
      <c r="E84" s="18"/>
      <c r="F84" s="18"/>
      <c r="G84" s="18"/>
      <c r="H84" s="414"/>
      <c r="I84" s="413"/>
      <c r="J84" s="414"/>
      <c r="K84" s="414"/>
      <c r="L84" s="412"/>
      <c r="M84" s="414"/>
      <c r="N84" s="414"/>
      <c r="O84" s="255"/>
      <c r="AC84" s="69"/>
      <c r="AD84" s="70"/>
      <c r="AE84" s="70"/>
      <c r="AF84" s="70"/>
      <c r="AG84" s="69"/>
      <c r="AZ84" s="11"/>
      <c r="BA84" s="85"/>
      <c r="BB84" s="692"/>
      <c r="BC84" s="693"/>
      <c r="BD84" s="693"/>
      <c r="BE84" s="693"/>
      <c r="BF84" s="693"/>
      <c r="BG84" s="694"/>
      <c r="BH84" s="694"/>
      <c r="BI84" s="695"/>
      <c r="BJ84" s="696"/>
      <c r="BK84" s="697"/>
      <c r="BL84" s="698"/>
    </row>
    <row r="85" spans="2:64" ht="15.95" hidden="1" customHeight="1" thickBot="1" x14ac:dyDescent="0.2">
      <c r="B85" s="88" t="s">
        <v>449</v>
      </c>
      <c r="C85" s="89"/>
      <c r="D85" s="97" t="s">
        <v>546</v>
      </c>
      <c r="E85" s="98"/>
      <c r="F85" s="99"/>
      <c r="G85" s="5"/>
      <c r="H85" s="5"/>
      <c r="I85" s="5"/>
      <c r="J85" s="5"/>
      <c r="K85" s="5"/>
      <c r="L85" s="5"/>
      <c r="M85" s="2"/>
      <c r="N85" s="5"/>
      <c r="O85" s="255"/>
      <c r="X85" s="5"/>
      <c r="Y85" s="5"/>
      <c r="Z85" s="5"/>
      <c r="AA85" s="5"/>
      <c r="AB85" s="5"/>
      <c r="AC85" s="69"/>
      <c r="AD85" s="70"/>
      <c r="AE85" s="70"/>
      <c r="AF85" s="70"/>
      <c r="AG85" s="69"/>
      <c r="AZ85" s="11"/>
      <c r="BA85" s="85"/>
      <c r="BB85" s="692"/>
      <c r="BC85" s="693"/>
      <c r="BD85" s="693"/>
      <c r="BE85" s="693"/>
      <c r="BF85" s="693"/>
      <c r="BG85" s="694"/>
      <c r="BH85" s="694"/>
      <c r="BI85" s="695"/>
      <c r="BJ85" s="696"/>
      <c r="BK85" s="697"/>
      <c r="BL85" s="698"/>
    </row>
    <row r="86" spans="2:64" ht="15.95" hidden="1" customHeight="1" thickBot="1" x14ac:dyDescent="0.2">
      <c r="B86" s="91" t="s">
        <v>450</v>
      </c>
      <c r="C86" s="90"/>
      <c r="D86" s="90"/>
      <c r="E86" s="90"/>
      <c r="F86" s="92"/>
      <c r="G86" s="5"/>
      <c r="H86" s="5"/>
      <c r="I86" s="5"/>
      <c r="J86" s="5"/>
      <c r="K86" s="5"/>
      <c r="L86" s="5"/>
      <c r="M86" s="2"/>
      <c r="N86" s="5"/>
      <c r="O86" s="255"/>
      <c r="X86" s="26"/>
      <c r="Y86" s="26"/>
      <c r="Z86" s="26"/>
      <c r="AA86" s="26"/>
      <c r="AB86" s="26"/>
      <c r="AC86" s="69"/>
      <c r="AD86" s="21"/>
      <c r="AE86" s="21"/>
      <c r="AF86" s="21"/>
      <c r="AZ86" s="11"/>
      <c r="BA86" s="85"/>
      <c r="BB86" s="699"/>
      <c r="BC86" s="700">
        <f>(BC81+F45+F58)/365</f>
        <v>0</v>
      </c>
      <c r="BD86" s="701"/>
      <c r="BE86" s="701"/>
      <c r="BF86" s="701"/>
      <c r="BG86" s="701"/>
      <c r="BH86" s="701"/>
      <c r="BI86" s="702">
        <v>0.45</v>
      </c>
      <c r="BJ86" s="703"/>
      <c r="BK86" s="704"/>
      <c r="BL86" s="705" t="s">
        <v>368</v>
      </c>
    </row>
    <row r="87" spans="2:64" ht="15.95" hidden="1" customHeight="1" x14ac:dyDescent="0.15">
      <c r="B87" s="91" t="s">
        <v>455</v>
      </c>
      <c r="C87" s="90"/>
      <c r="D87" s="90"/>
      <c r="E87" s="90"/>
      <c r="F87" s="92"/>
      <c r="G87" s="5"/>
      <c r="H87" s="5"/>
      <c r="I87" s="5"/>
      <c r="J87" s="5"/>
      <c r="K87" s="5"/>
      <c r="L87" s="5"/>
      <c r="M87" s="2"/>
      <c r="N87" s="5"/>
      <c r="O87" s="255"/>
      <c r="AD87" s="70"/>
      <c r="AE87" s="70"/>
      <c r="AF87" s="70"/>
      <c r="AG87" s="69"/>
      <c r="AZ87" s="11"/>
      <c r="BA87" s="85"/>
      <c r="BB87" s="706" t="s">
        <v>369</v>
      </c>
      <c r="BC87" s="707" t="s">
        <v>370</v>
      </c>
      <c r="BD87" s="708" t="s">
        <v>371</v>
      </c>
      <c r="BE87" s="708" t="s">
        <v>372</v>
      </c>
      <c r="BF87" s="708" t="s">
        <v>373</v>
      </c>
      <c r="BG87" s="708" t="s">
        <v>374</v>
      </c>
      <c r="BH87" s="709" t="s">
        <v>375</v>
      </c>
      <c r="BI87" s="710" t="e">
        <f>#REF!*1.45</f>
        <v>#REF!</v>
      </c>
      <c r="BJ87" s="711">
        <v>80.64</v>
      </c>
      <c r="BK87" s="712">
        <v>100</v>
      </c>
      <c r="BL87" s="713">
        <v>112</v>
      </c>
    </row>
    <row r="88" spans="2:64" ht="15.95" hidden="1" customHeight="1" x14ac:dyDescent="0.15">
      <c r="B88" s="91" t="s">
        <v>467</v>
      </c>
      <c r="C88" s="90"/>
      <c r="D88" s="90"/>
      <c r="E88" s="90"/>
      <c r="F88" s="92"/>
      <c r="G88" s="5"/>
      <c r="H88" s="5"/>
      <c r="I88" s="5"/>
      <c r="J88" s="5"/>
      <c r="K88" s="5"/>
      <c r="L88" s="5"/>
      <c r="M88" s="2"/>
      <c r="N88" s="5"/>
      <c r="O88" s="255"/>
      <c r="AD88" s="70"/>
      <c r="AE88" s="70"/>
      <c r="AF88" s="70"/>
      <c r="AG88" s="69"/>
      <c r="AZ88" s="11"/>
      <c r="BA88" s="85"/>
      <c r="BB88" s="714" t="s">
        <v>376</v>
      </c>
      <c r="BC88" s="715" t="s">
        <v>370</v>
      </c>
      <c r="BD88" s="716" t="s">
        <v>371</v>
      </c>
      <c r="BE88" s="716" t="s">
        <v>372</v>
      </c>
      <c r="BF88" s="716" t="s">
        <v>373</v>
      </c>
      <c r="BG88" s="716" t="s">
        <v>374</v>
      </c>
      <c r="BH88" s="717" t="s">
        <v>375</v>
      </c>
      <c r="BI88" s="718" t="e">
        <f>#REF!*1.45</f>
        <v>#REF!</v>
      </c>
      <c r="BJ88" s="719">
        <v>90.32</v>
      </c>
      <c r="BK88" s="720">
        <v>100</v>
      </c>
      <c r="BL88" s="721">
        <v>125.44</v>
      </c>
    </row>
    <row r="89" spans="2:64" ht="15.95" hidden="1" customHeight="1" x14ac:dyDescent="0.15">
      <c r="B89" s="91" t="s">
        <v>468</v>
      </c>
      <c r="C89" s="90"/>
      <c r="D89" s="90"/>
      <c r="E89" s="90"/>
      <c r="F89" s="92"/>
      <c r="G89" s="5"/>
      <c r="H89" s="5"/>
      <c r="I89" s="5"/>
      <c r="J89" s="5"/>
      <c r="K89" s="5"/>
      <c r="L89" s="5"/>
      <c r="M89" s="2"/>
      <c r="N89" s="5"/>
      <c r="O89" s="255"/>
      <c r="AD89" s="70"/>
      <c r="AE89" s="70"/>
      <c r="AF89" s="70"/>
      <c r="AG89" s="69"/>
      <c r="AZ89" s="11"/>
      <c r="BA89" s="85"/>
      <c r="BB89" s="714" t="s">
        <v>377</v>
      </c>
      <c r="BC89" s="715" t="s">
        <v>371</v>
      </c>
      <c r="BD89" s="716" t="s">
        <v>372</v>
      </c>
      <c r="BE89" s="716" t="s">
        <v>373</v>
      </c>
      <c r="BF89" s="716" t="s">
        <v>374</v>
      </c>
      <c r="BG89" s="716" t="s">
        <v>375</v>
      </c>
      <c r="BH89" s="717" t="s">
        <v>378</v>
      </c>
      <c r="BI89" s="718" t="e">
        <f>#REF!*1.45</f>
        <v>#REF!</v>
      </c>
      <c r="BJ89" s="719">
        <v>101.15</v>
      </c>
      <c r="BK89" s="720">
        <v>101.15</v>
      </c>
      <c r="BL89" s="721">
        <v>140.4</v>
      </c>
    </row>
    <row r="90" spans="2:64" ht="15.95" hidden="1" customHeight="1" x14ac:dyDescent="0.15">
      <c r="B90" s="91" t="s">
        <v>470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D90" s="70"/>
      <c r="AE90" s="70"/>
      <c r="AF90" s="70"/>
      <c r="AG90" s="69"/>
      <c r="AZ90" s="11"/>
      <c r="BA90" s="85"/>
      <c r="BB90" s="714" t="s">
        <v>379</v>
      </c>
      <c r="BC90" s="715" t="s">
        <v>371</v>
      </c>
      <c r="BD90" s="716" t="s">
        <v>372</v>
      </c>
      <c r="BE90" s="716" t="s">
        <v>373</v>
      </c>
      <c r="BF90" s="716" t="s">
        <v>374</v>
      </c>
      <c r="BG90" s="716" t="s">
        <v>375</v>
      </c>
      <c r="BH90" s="717" t="s">
        <v>378</v>
      </c>
      <c r="BI90" s="718" t="e">
        <f>#REF!*1.45</f>
        <v>#REF!</v>
      </c>
      <c r="BJ90" s="719">
        <v>113.29</v>
      </c>
      <c r="BK90" s="720">
        <v>113.29</v>
      </c>
      <c r="BL90" s="721">
        <v>157.35</v>
      </c>
    </row>
    <row r="91" spans="2:64" ht="15.95" hidden="1" customHeight="1" x14ac:dyDescent="0.15">
      <c r="B91" s="91" t="s">
        <v>471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14" t="s">
        <v>380</v>
      </c>
      <c r="BC91" s="715" t="s">
        <v>372</v>
      </c>
      <c r="BD91" s="716" t="s">
        <v>373</v>
      </c>
      <c r="BE91" s="716" t="s">
        <v>374</v>
      </c>
      <c r="BF91" s="716" t="s">
        <v>375</v>
      </c>
      <c r="BG91" s="716" t="s">
        <v>378</v>
      </c>
      <c r="BH91" s="717" t="s">
        <v>381</v>
      </c>
      <c r="BI91" s="718" t="e">
        <f>#REF!*1.45</f>
        <v>#REF!</v>
      </c>
      <c r="BJ91" s="719">
        <v>126.89</v>
      </c>
      <c r="BK91" s="720">
        <v>129.88999999999999</v>
      </c>
      <c r="BL91" s="721">
        <v>176.23</v>
      </c>
    </row>
    <row r="92" spans="2:64" ht="15.95" hidden="1" customHeight="1" x14ac:dyDescent="0.15">
      <c r="B92" s="93" t="s">
        <v>472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328</v>
      </c>
      <c r="BC92" s="715" t="s">
        <v>372</v>
      </c>
      <c r="BD92" s="716" t="s">
        <v>373</v>
      </c>
      <c r="BE92" s="716" t="s">
        <v>374</v>
      </c>
      <c r="BF92" s="716" t="s">
        <v>375</v>
      </c>
      <c r="BG92" s="716" t="s">
        <v>378</v>
      </c>
      <c r="BH92" s="717" t="s">
        <v>381</v>
      </c>
      <c r="BI92" s="718">
        <f>A125*1.45</f>
        <v>0</v>
      </c>
      <c r="BJ92" s="719">
        <v>80.64</v>
      </c>
      <c r="BK92" s="720">
        <v>100</v>
      </c>
      <c r="BL92" s="721">
        <v>112</v>
      </c>
    </row>
    <row r="93" spans="2:64" ht="15.95" hidden="1" customHeight="1" x14ac:dyDescent="0.15">
      <c r="B93" s="93" t="s">
        <v>487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382</v>
      </c>
      <c r="BC93" s="715" t="s">
        <v>372</v>
      </c>
      <c r="BD93" s="716" t="s">
        <v>373</v>
      </c>
      <c r="BE93" s="716" t="s">
        <v>374</v>
      </c>
      <c r="BF93" s="716" t="s">
        <v>375</v>
      </c>
      <c r="BG93" s="716" t="s">
        <v>378</v>
      </c>
      <c r="BH93" s="717" t="s">
        <v>381</v>
      </c>
      <c r="BI93" s="718">
        <f>A126*1.45</f>
        <v>0</v>
      </c>
      <c r="BJ93" s="719">
        <v>90.32</v>
      </c>
      <c r="BK93" s="720">
        <v>100</v>
      </c>
      <c r="BL93" s="721">
        <v>125.44</v>
      </c>
    </row>
    <row r="94" spans="2:64" ht="15.95" hidden="1" customHeight="1" thickBot="1" x14ac:dyDescent="0.2">
      <c r="B94" s="94" t="s">
        <v>484</v>
      </c>
      <c r="C94" s="95"/>
      <c r="D94" s="95"/>
      <c r="E94" s="95"/>
      <c r="F94" s="96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383</v>
      </c>
      <c r="BC94" s="715" t="s">
        <v>372</v>
      </c>
      <c r="BD94" s="716" t="s">
        <v>373</v>
      </c>
      <c r="BE94" s="716" t="s">
        <v>374</v>
      </c>
      <c r="BF94" s="716" t="s">
        <v>375</v>
      </c>
      <c r="BG94" s="716" t="s">
        <v>378</v>
      </c>
      <c r="BH94" s="717" t="s">
        <v>381</v>
      </c>
      <c r="BI94" s="718">
        <f>A127*1.45</f>
        <v>0</v>
      </c>
      <c r="BJ94" s="719">
        <v>101.15</v>
      </c>
      <c r="BK94" s="720">
        <v>101.15</v>
      </c>
      <c r="BL94" s="721">
        <v>140.4</v>
      </c>
    </row>
    <row r="95" spans="2:64" ht="15.95" hidden="1" customHeight="1" x14ac:dyDescent="0.15">
      <c r="B95" s="30"/>
      <c r="C95" s="5"/>
      <c r="D95" s="5"/>
      <c r="E95" s="5"/>
      <c r="F95" s="5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384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>
        <f>A128*1.45</f>
        <v>1.45</v>
      </c>
      <c r="BJ95" s="719">
        <v>113.29</v>
      </c>
      <c r="BK95" s="720">
        <v>113.29</v>
      </c>
      <c r="BL95" s="721">
        <v>157.35</v>
      </c>
    </row>
    <row r="96" spans="2:64" ht="13.5" hidden="1" x14ac:dyDescent="0.15">
      <c r="B96" s="30"/>
      <c r="C96" s="5"/>
      <c r="D96" s="5"/>
      <c r="E96" s="5"/>
      <c r="F96" s="5"/>
      <c r="G96" s="5"/>
      <c r="H96" s="5"/>
      <c r="I96" s="5"/>
      <c r="J96" s="74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385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A128*1.45</f>
        <v>1.45</v>
      </c>
      <c r="BJ96" s="719">
        <v>126.89</v>
      </c>
      <c r="BK96" s="720">
        <v>126.89</v>
      </c>
      <c r="BL96" s="721">
        <v>176.23</v>
      </c>
    </row>
    <row r="97" spans="2:64" ht="13.5" hidden="1" x14ac:dyDescent="0.15">
      <c r="B97" s="1849" t="s">
        <v>508</v>
      </c>
      <c r="C97" s="1849"/>
      <c r="D97" s="1849"/>
      <c r="E97" s="1849"/>
      <c r="H97" s="5"/>
      <c r="I97" s="37"/>
      <c r="J97" s="5"/>
      <c r="K97" s="27"/>
      <c r="L97" s="6"/>
      <c r="M97" s="27"/>
      <c r="N97" s="60"/>
      <c r="O97" s="255"/>
      <c r="AD97" s="70"/>
      <c r="AE97" s="70"/>
      <c r="AF97" s="70"/>
      <c r="AG97" s="69"/>
      <c r="AZ97" s="11"/>
      <c r="BA97" s="85"/>
      <c r="BB97" s="714" t="s">
        <v>386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A129*1.45</f>
        <v>2.9</v>
      </c>
      <c r="BJ97" s="719">
        <v>126.89</v>
      </c>
      <c r="BK97" s="720">
        <v>126.89</v>
      </c>
      <c r="BL97" s="721">
        <v>176.23</v>
      </c>
    </row>
    <row r="98" spans="2:64" hidden="1" thickBot="1" x14ac:dyDescent="0.2">
      <c r="B98" s="34" t="s">
        <v>463</v>
      </c>
      <c r="C98" s="17"/>
      <c r="D98" s="21"/>
      <c r="E98" s="36"/>
      <c r="F98" s="5"/>
      <c r="G98" s="28"/>
      <c r="H98" s="5"/>
      <c r="I98" s="17" t="s">
        <v>463</v>
      </c>
      <c r="J98" s="5" t="str">
        <f>IF(E2=B88,H99,IF(E2=B90,H99,IF(E2=B92,H99,IF(E2=B93,H99,"NÃO CABE"))))</f>
        <v>NÃO CABE</v>
      </c>
      <c r="K98" s="27"/>
      <c r="L98" s="6" t="s">
        <v>510</v>
      </c>
      <c r="M98" s="27"/>
      <c r="N98" s="60"/>
      <c r="O98" s="255"/>
      <c r="X98" s="11"/>
      <c r="Y98" s="11"/>
      <c r="Z98" s="11"/>
      <c r="AA98" s="11"/>
      <c r="AB98" s="11"/>
      <c r="AC98" s="69"/>
      <c r="AD98" s="70"/>
      <c r="AE98" s="70"/>
      <c r="AF98" s="70"/>
      <c r="AG98" s="69"/>
      <c r="AZ98" s="11"/>
      <c r="BA98" s="85"/>
      <c r="BB98" s="714" t="s">
        <v>387</v>
      </c>
      <c r="BC98" s="715" t="s">
        <v>373</v>
      </c>
      <c r="BD98" s="716" t="s">
        <v>374</v>
      </c>
      <c r="BE98" s="716" t="s">
        <v>375</v>
      </c>
      <c r="BF98" s="716" t="s">
        <v>378</v>
      </c>
      <c r="BG98" s="716" t="s">
        <v>381</v>
      </c>
      <c r="BH98" s="717" t="s">
        <v>388</v>
      </c>
      <c r="BI98" s="718" t="e">
        <f>A130*1.45</f>
        <v>#VALUE!</v>
      </c>
      <c r="BJ98" s="719">
        <v>142.12</v>
      </c>
      <c r="BK98" s="720">
        <v>142.12</v>
      </c>
      <c r="BL98" s="721">
        <v>197.38</v>
      </c>
    </row>
    <row r="99" spans="2:64" hidden="1" thickBot="1" x14ac:dyDescent="0.2">
      <c r="B99" s="34" t="s">
        <v>485</v>
      </c>
      <c r="C99" s="17"/>
      <c r="D99" s="16"/>
      <c r="E99" s="57" t="str">
        <f>IF($F$99="NÃO CABE","NÃO CABE",IF($G$10="X",$F$99/30,$F$99/35))</f>
        <v>NÃO CABE</v>
      </c>
      <c r="F99" s="10" t="str">
        <f>IF(E2="VOLUNTÁRIA ESPECIAL","NÃO CABE",IF(E2="VOLUNTÁRIA INTEGRAL","NÃO CABE",IF(E2="COMPULSÓRIA INTEGRAL","NÃO CABE",IF(E2="INVALIDEZ INTEGRAL","NÃO CABE",ROUNDDOWN(F61/365,0)))))</f>
        <v>NÃO CABE</v>
      </c>
      <c r="G99" s="28"/>
      <c r="H99" s="14">
        <f>IF(E99&gt;1,1,E99)</f>
        <v>1</v>
      </c>
      <c r="I99" s="17" t="s">
        <v>485</v>
      </c>
      <c r="J99" s="5" t="str">
        <f>IF($E$2=$B$88,H99,IF($E$2=$B$90,H99,IF($E$2=$B$92,H99,"NÃO CABE")))</f>
        <v>NÃO CABE</v>
      </c>
      <c r="K99" s="27"/>
      <c r="L99" s="57" t="str">
        <f>IF($F$99="NÃO CABE","NÃO CABE",IF($G$10="X",$F$61/10950,$F$61/12775))</f>
        <v>NÃO CABE</v>
      </c>
      <c r="M99" s="14">
        <f>IF(L99&gt;1,1,L99)</f>
        <v>1</v>
      </c>
      <c r="N99" s="5" t="str">
        <f>IF($E$2=$B$88,M99,IF($E$2=$B$90,M99,IF($E$2=$B$92,M99,"NÃO CABE")))</f>
        <v>NÃO CABE</v>
      </c>
      <c r="O99" s="255"/>
      <c r="X99" s="11"/>
      <c r="Y99" s="11"/>
      <c r="Z99" s="11"/>
      <c r="AA99" s="11"/>
      <c r="AB99" s="11"/>
      <c r="AC99" s="69"/>
      <c r="AD99" s="70"/>
      <c r="AE99" s="70"/>
      <c r="AF99" s="70"/>
      <c r="AG99" s="69"/>
      <c r="AZ99" s="11"/>
      <c r="BA99" s="85"/>
      <c r="BB99" s="714" t="s">
        <v>389</v>
      </c>
      <c r="BC99" s="715" t="s">
        <v>373</v>
      </c>
      <c r="BD99" s="716" t="s">
        <v>374</v>
      </c>
      <c r="BE99" s="716" t="s">
        <v>375</v>
      </c>
      <c r="BF99" s="716" t="s">
        <v>378</v>
      </c>
      <c r="BG99" s="716" t="s">
        <v>381</v>
      </c>
      <c r="BH99" s="717" t="s">
        <v>388</v>
      </c>
      <c r="BI99" s="718">
        <f>A132*1.45</f>
        <v>5.8</v>
      </c>
      <c r="BJ99" s="719">
        <v>90.32</v>
      </c>
      <c r="BK99" s="720">
        <v>100</v>
      </c>
      <c r="BL99" s="721">
        <v>125.44</v>
      </c>
    </row>
    <row r="100" spans="2:64" hidden="1" thickBot="1" x14ac:dyDescent="0.2">
      <c r="B100" s="34" t="s">
        <v>476</v>
      </c>
      <c r="C100" s="17"/>
      <c r="D100" s="16"/>
      <c r="E100" s="58" t="str">
        <f>IF(E2=B93,IF(C65&gt;0,"TEMPO A CUMPRIR",IF(F100=1,75%,IF(F100=2,80%,IF(F100=3,85%,IF(F100=4,90%,IF(F100=5,95%,IF(F100&gt;=6,100%,70%))))))),"NÃO CABE")</f>
        <v>NÃO CABE</v>
      </c>
      <c r="F100" s="10">
        <f>IF(G10="X",ROUNDDOWN((F61-(25*365+E43))/365,0),ROUNDDOWN((F61-(30*365+E43))/365,0))</f>
        <v>-30</v>
      </c>
      <c r="G100" s="28"/>
      <c r="I100" s="17" t="s">
        <v>476</v>
      </c>
      <c r="J100" s="5" t="str">
        <f>IF(E2=B93,E100,"NÃO CABE")</f>
        <v>NÃO CABE</v>
      </c>
      <c r="K100" s="27"/>
      <c r="L100" s="65"/>
      <c r="M100" s="66">
        <f>O10</f>
        <v>0</v>
      </c>
      <c r="N100" s="60">
        <v>38037</v>
      </c>
      <c r="O100" s="255"/>
      <c r="X100" s="11"/>
      <c r="Y100" s="11"/>
      <c r="Z100" s="11"/>
      <c r="AA100" s="11"/>
      <c r="AB100" s="11"/>
      <c r="AC100" s="69"/>
      <c r="AD100" s="70"/>
      <c r="AE100" s="70"/>
      <c r="AF100" s="70"/>
      <c r="AG100" s="69"/>
      <c r="AZ100" s="11"/>
      <c r="BA100" s="85"/>
      <c r="BB100" s="714" t="s">
        <v>390</v>
      </c>
      <c r="BC100" s="715" t="s">
        <v>373</v>
      </c>
      <c r="BD100" s="716" t="s">
        <v>374</v>
      </c>
      <c r="BE100" s="716" t="s">
        <v>375</v>
      </c>
      <c r="BF100" s="716" t="s">
        <v>378</v>
      </c>
      <c r="BG100" s="716" t="s">
        <v>381</v>
      </c>
      <c r="BH100" s="717" t="s">
        <v>388</v>
      </c>
      <c r="BI100" s="718"/>
      <c r="BJ100" s="719"/>
      <c r="BK100" s="720"/>
      <c r="BL100" s="721"/>
    </row>
    <row r="101" spans="2:64" hidden="1" thickBot="1" x14ac:dyDescent="0.2">
      <c r="B101" s="35" t="s">
        <v>464</v>
      </c>
      <c r="C101" s="33"/>
      <c r="D101" s="16"/>
      <c r="E101" s="36" t="s">
        <v>457</v>
      </c>
      <c r="F101" s="5">
        <f>IF($D$12="X",50-$N$11,55-$N$11)</f>
        <v>55</v>
      </c>
      <c r="G101" s="28"/>
      <c r="H101" s="59" t="str">
        <f>IF($G$10="X",IF($O$9&gt;=17532,IF($O$10&gt;=38718,1-($F$101*0.05),1-($F$101*0.035)),"NÃO CABE"),IF($O$9&gt;=19359,IF($O$10&gt;=38718,1-($F$102*0.05),1-($F$102*0.035)),"NÃO CABE"))</f>
        <v>NÃO CABE</v>
      </c>
      <c r="I101" s="33" t="s">
        <v>464</v>
      </c>
      <c r="J101" s="61" t="str">
        <f>IF(E2=B94,H102,"NÃO CABE")</f>
        <v>NÃO CABE</v>
      </c>
      <c r="K101" s="27"/>
      <c r="L101" s="6"/>
      <c r="M101" s="27"/>
      <c r="N101" s="60"/>
      <c r="O101" s="255"/>
      <c r="X101" s="11"/>
      <c r="Y101" s="11"/>
      <c r="Z101" s="11"/>
      <c r="AA101" s="11"/>
      <c r="AB101" s="11"/>
      <c r="AC101" s="69"/>
      <c r="AD101" s="70"/>
      <c r="AE101" s="70"/>
      <c r="AF101" s="70"/>
      <c r="AG101" s="69"/>
      <c r="AX101" s="11"/>
      <c r="AY101" s="11"/>
      <c r="AZ101" s="11"/>
      <c r="BA101" s="85"/>
      <c r="BB101" s="714" t="s">
        <v>391</v>
      </c>
      <c r="BC101" s="715" t="s">
        <v>373</v>
      </c>
      <c r="BD101" s="716" t="s">
        <v>374</v>
      </c>
      <c r="BE101" s="716" t="s">
        <v>375</v>
      </c>
      <c r="BF101" s="716" t="s">
        <v>378</v>
      </c>
      <c r="BG101" s="716" t="s">
        <v>381</v>
      </c>
      <c r="BH101" s="717" t="s">
        <v>388</v>
      </c>
      <c r="BI101" s="718" t="e">
        <f>A134*1.45</f>
        <v>#VALUE!</v>
      </c>
      <c r="BJ101" s="719">
        <v>101.15</v>
      </c>
      <c r="BK101" s="720">
        <v>101.15</v>
      </c>
      <c r="BL101" s="721">
        <v>140.4</v>
      </c>
    </row>
    <row r="102" spans="2:64" ht="13.5" hidden="1" x14ac:dyDescent="0.15">
      <c r="B102" s="39">
        <v>38717</v>
      </c>
      <c r="C102" s="11">
        <v>38717</v>
      </c>
      <c r="D102" s="16"/>
      <c r="E102" s="36" t="s">
        <v>456</v>
      </c>
      <c r="F102" s="5">
        <f>IF($D$12="X",55-$N$11,60-$N$11)</f>
        <v>60</v>
      </c>
      <c r="G102" s="28"/>
      <c r="H102" s="14">
        <f>IF(H101="NÃO CABE",0,IF(H101&gt;1,1,H101))</f>
        <v>0</v>
      </c>
      <c r="I102" s="18"/>
      <c r="J102" s="5"/>
      <c r="K102" s="27"/>
      <c r="L102" s="6"/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S102" s="69"/>
      <c r="AX102" s="11"/>
      <c r="AY102" s="11"/>
      <c r="AZ102" s="11"/>
      <c r="BA102" s="85"/>
      <c r="BB102" s="714" t="s">
        <v>392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/>
      <c r="BJ102" s="719"/>
      <c r="BK102" s="720"/>
      <c r="BL102" s="721"/>
    </row>
    <row r="103" spans="2:64" ht="13.5" hidden="1" x14ac:dyDescent="0.15">
      <c r="B103" s="39">
        <v>38718</v>
      </c>
      <c r="C103" s="11">
        <v>38718</v>
      </c>
      <c r="D103" s="8"/>
      <c r="E103" s="63"/>
      <c r="F103" s="6"/>
      <c r="G103" s="6"/>
      <c r="H103" s="6"/>
      <c r="I103" s="18"/>
      <c r="J103" s="9"/>
      <c r="K103" s="5"/>
      <c r="L103" s="6"/>
      <c r="M103" s="10"/>
      <c r="N103" s="11"/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X103" s="11"/>
      <c r="AY103" s="11"/>
      <c r="AZ103" s="11"/>
      <c r="BA103" s="85"/>
      <c r="BB103" s="714" t="s">
        <v>393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A135*1.45</f>
        <v>8.6999999999999993</v>
      </c>
      <c r="BJ103" s="719">
        <v>113.29</v>
      </c>
      <c r="BK103" s="720">
        <v>113.29</v>
      </c>
      <c r="BL103" s="721">
        <v>157.35</v>
      </c>
    </row>
    <row r="104" spans="2:64" ht="13.5" hidden="1" x14ac:dyDescent="0.15">
      <c r="B104" s="62"/>
      <c r="C104" s="38">
        <v>38097</v>
      </c>
      <c r="D104" s="8"/>
      <c r="E104" s="5"/>
      <c r="F104" s="6"/>
      <c r="G104" s="6"/>
      <c r="H104" s="6"/>
      <c r="I104" s="6"/>
      <c r="J104" s="9"/>
      <c r="K104" s="5"/>
      <c r="L104" s="6"/>
      <c r="M104" s="10"/>
      <c r="N104" s="11"/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X104" s="11"/>
      <c r="AY104" s="11"/>
      <c r="AZ104" s="11"/>
      <c r="BA104" s="85"/>
      <c r="BB104" s="714" t="s">
        <v>394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>
        <f>A136*1.45</f>
        <v>10.15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6"/>
      <c r="C105" s="38"/>
      <c r="D105" s="8"/>
      <c r="E105" s="5"/>
      <c r="F105" s="6"/>
      <c r="G105" s="6"/>
      <c r="H105" s="6"/>
      <c r="I105" s="6"/>
      <c r="J105" s="9"/>
      <c r="K105" s="5"/>
      <c r="L105" s="6"/>
      <c r="M105" s="10"/>
      <c r="N105" s="11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395</v>
      </c>
      <c r="BC105" s="715" t="s">
        <v>396</v>
      </c>
      <c r="BD105" s="716" t="s">
        <v>397</v>
      </c>
      <c r="BE105" s="716" t="s">
        <v>397</v>
      </c>
      <c r="BF105" s="716" t="s">
        <v>398</v>
      </c>
      <c r="BG105" s="716" t="s">
        <v>398</v>
      </c>
      <c r="BH105" s="716" t="s">
        <v>398</v>
      </c>
      <c r="BI105" s="718"/>
      <c r="BJ105" s="719"/>
      <c r="BK105" s="720"/>
      <c r="BL105" s="721"/>
    </row>
    <row r="106" spans="2:64" ht="13.5" hidden="1" x14ac:dyDescent="0.15">
      <c r="B106" s="1849" t="s">
        <v>477</v>
      </c>
      <c r="C106" s="1849"/>
      <c r="D106" s="1849"/>
      <c r="E106" s="1849"/>
      <c r="F106" s="1849"/>
      <c r="G106" s="1849"/>
      <c r="H106" s="1849"/>
      <c r="I106" s="1849"/>
      <c r="J106" s="1849"/>
      <c r="K106" s="1849" t="s">
        <v>477</v>
      </c>
      <c r="L106" s="1849"/>
      <c r="M106" s="1849"/>
      <c r="N106" s="1849"/>
      <c r="O106" s="1849"/>
      <c r="P106" s="1849"/>
      <c r="Q106" s="1849"/>
      <c r="R106" s="1849"/>
      <c r="S106" s="1849"/>
      <c r="T106" s="11"/>
      <c r="U106" s="11"/>
      <c r="V106" s="11"/>
      <c r="W106" s="11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X106" s="11"/>
      <c r="AY106" s="11"/>
      <c r="AZ106" s="11"/>
      <c r="BA106" s="85"/>
      <c r="BB106" s="714" t="s">
        <v>399</v>
      </c>
      <c r="BC106" s="715" t="s">
        <v>396</v>
      </c>
      <c r="BD106" s="716" t="s">
        <v>397</v>
      </c>
      <c r="BE106" s="716" t="s">
        <v>397</v>
      </c>
      <c r="BF106" s="716" t="s">
        <v>398</v>
      </c>
      <c r="BG106" s="716" t="s">
        <v>398</v>
      </c>
      <c r="BH106" s="716" t="s">
        <v>398</v>
      </c>
      <c r="BI106" s="718">
        <f>A139*1.45</f>
        <v>13.049999999999999</v>
      </c>
      <c r="BJ106" s="719">
        <v>126.89</v>
      </c>
      <c r="BK106" s="720">
        <v>126.89</v>
      </c>
      <c r="BL106" s="721">
        <v>176.23</v>
      </c>
    </row>
    <row r="107" spans="2:64" ht="13.5" hidden="1" x14ac:dyDescent="0.15">
      <c r="B107" s="19" t="s">
        <v>480</v>
      </c>
      <c r="C107" s="8"/>
      <c r="D107" s="8"/>
      <c r="E107" s="5"/>
      <c r="F107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07" s="6"/>
      <c r="H107" s="6"/>
      <c r="I107" s="6"/>
      <c r="J107" s="9"/>
      <c r="K107" s="5"/>
      <c r="L107" s="41" t="s">
        <v>450</v>
      </c>
      <c r="M107" s="10"/>
      <c r="N107" s="11"/>
      <c r="O107" s="255" t="str">
        <f>IF(E2=L107,IF(K2=O3,F107,IF(K2=O4,F109,IF(K2=O6,F107,IF(K2=O7,F108,IF(K2=O2,"NADA A CRITICAR","REANALISAR FUNDAMENTAÇÃO E/OU MODALIDADE"))))))</f>
        <v>NÃO ATENDE LIMITE MÍNIMO DE IDADE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400</v>
      </c>
      <c r="BC107" s="715" t="s">
        <v>396</v>
      </c>
      <c r="BD107" s="716" t="s">
        <v>397</v>
      </c>
      <c r="BE107" s="716" t="s">
        <v>397</v>
      </c>
      <c r="BF107" s="716" t="s">
        <v>398</v>
      </c>
      <c r="BG107" s="716" t="s">
        <v>398</v>
      </c>
      <c r="BH107" s="716" t="s">
        <v>398</v>
      </c>
      <c r="BI107" s="718"/>
      <c r="BJ107" s="719"/>
      <c r="BK107" s="720"/>
      <c r="BL107" s="721"/>
    </row>
    <row r="108" spans="2:64" ht="13.5" hidden="1" x14ac:dyDescent="0.15">
      <c r="B108" s="6" t="s">
        <v>481</v>
      </c>
      <c r="D108" s="10"/>
      <c r="E108" s="11"/>
      <c r="F108" s="6" t="str">
        <f>IF(G10="X",IF(O9&gt;=I121,"ATENDE LIMITE MÍNIMO DE IDADE","NÃO ATENDE LIMITE MÍNIMO DE IDADE"),IF(O9&gt;=J121,"ATENDE LIMITE MÍNIMO DE IDADE","NÃO ATENDE LIMITE MÍNIMO DE IDADE"))</f>
        <v>NÃO ATENDE LIMITE MÍNIMO DE IDADE</v>
      </c>
      <c r="G108" s="6"/>
      <c r="H108" s="6"/>
      <c r="I108" s="6"/>
      <c r="J108" s="9"/>
      <c r="L108" s="41" t="s">
        <v>455</v>
      </c>
      <c r="O108" s="255" t="str">
        <f>IF(E2=L108,IF(K2=O3,F110,IF(K2=O4,F113,IF(K2=O6,F110,IF(K2=O2,"NADA A CRITICAR","REANALISAR FUNDAMENTAÇÃO E/OU MODALIDADE")))),"REANALISAR FUNDAMENTAÇÃO E/OU MODALIDADE")</f>
        <v>REANALISAR FUNDAMENTAÇÃO E/OU MODALIDADE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401</v>
      </c>
      <c r="BC108" s="715" t="s">
        <v>396</v>
      </c>
      <c r="BD108" s="716" t="s">
        <v>397</v>
      </c>
      <c r="BE108" s="716" t="s">
        <v>397</v>
      </c>
      <c r="BF108" s="716" t="s">
        <v>398</v>
      </c>
      <c r="BG108" s="716" t="s">
        <v>398</v>
      </c>
      <c r="BH108" s="716" t="s">
        <v>398</v>
      </c>
      <c r="BI108" s="718">
        <f>A141*1.45</f>
        <v>15.95</v>
      </c>
      <c r="BJ108" s="719">
        <v>142.12</v>
      </c>
      <c r="BK108" s="720">
        <v>142.12</v>
      </c>
      <c r="BL108" s="721">
        <v>197.38</v>
      </c>
    </row>
    <row r="109" spans="2:64" ht="13.5" hidden="1" x14ac:dyDescent="0.15">
      <c r="B109" s="20" t="s">
        <v>482</v>
      </c>
      <c r="F109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09" s="5"/>
      <c r="L109" s="41" t="s">
        <v>467</v>
      </c>
      <c r="O109" s="254" t="str">
        <f>IF(E2=L109,IF(K2=O3,F111,IF(K2=O2,F111,"REANALISAR FUNDAMENTAÇÃO E/OU MODALIDADE")),"REANALISAR FUNDAMENTAÇÃO E/OU MODALIDADE")</f>
        <v>REANALISAR FUNDAMENTAÇÃO E/OU MODALIDADE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22" t="s">
        <v>402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6" t="s">
        <v>478</v>
      </c>
      <c r="C110" s="8"/>
      <c r="D110" s="8"/>
      <c r="E110" s="5"/>
      <c r="F110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0" s="6"/>
      <c r="H110" s="6"/>
      <c r="I110" s="6"/>
      <c r="J110" s="9"/>
      <c r="K110" s="5"/>
      <c r="L110" s="11" t="s">
        <v>487</v>
      </c>
      <c r="M110" s="10"/>
      <c r="N110" s="11"/>
      <c r="O110" s="255" t="str">
        <f>IF(E2=L110,IF(K2=O4,F112,IF(K2=O2,"NADA A CRITICAR","REANALISAR FUNDAMENTAÇÃO E/OU MODALIDADE")),"REANALISAR FUNDAMENTAÇÃO E/OU MODALIDADE")</f>
        <v>REANALISAR FUNDAMENTAÇÃO E/OU MODALIDADE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403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18.849999999999998</v>
      </c>
      <c r="BJ110" s="719">
        <v>159.16999999999999</v>
      </c>
      <c r="BK110" s="720">
        <v>159.16999999999999</v>
      </c>
      <c r="BL110" s="721">
        <v>221.06</v>
      </c>
    </row>
    <row r="111" spans="2:64" ht="13.5" hidden="1" x14ac:dyDescent="0.15">
      <c r="B111" s="6" t="s">
        <v>479</v>
      </c>
      <c r="C111" s="8"/>
      <c r="D111" s="8"/>
      <c r="E111" s="5"/>
      <c r="F111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2" t="s">
        <v>484</v>
      </c>
      <c r="M111" s="10"/>
      <c r="N111" s="11"/>
      <c r="O111" s="255" t="str">
        <f>IF(E2=L111,IF(K2=O5,F109,"REANALISAR FUNDAMENTAÇÃO E/OU MODALIDADE"),"REANALISAR FUNDAMENTAÇÃO E/OU MODALIDADE")</f>
        <v>REANALISAR FUNDAMENTAÇÃO E/OU MODALIDADE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404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>
        <f>A144*1.45</f>
        <v>20.3</v>
      </c>
      <c r="BJ111" s="719">
        <v>101.15</v>
      </c>
      <c r="BK111" s="720">
        <v>101.15</v>
      </c>
      <c r="BL111" s="721">
        <v>140.4</v>
      </c>
    </row>
    <row r="112" spans="2:64" hidden="1" x14ac:dyDescent="0.15">
      <c r="B112" s="20" t="s">
        <v>483</v>
      </c>
      <c r="C112" s="43"/>
      <c r="D112" s="43"/>
      <c r="E112" s="44"/>
      <c r="F112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2" s="44"/>
      <c r="H112" s="44"/>
      <c r="I112" s="44"/>
      <c r="J112" s="44"/>
      <c r="K112" s="45"/>
      <c r="L112" s="46" t="s">
        <v>488</v>
      </c>
      <c r="M112" s="46"/>
      <c r="N112" s="47"/>
      <c r="O112" s="255" t="b">
        <f>IF($K$2=$O$2,IF($E$2=$B$89,$F$114,IF(E2=$B$90,$F$114,IF($E$2=$B$91,"EX OFFICIO",IF($E$2=$B$92,"EX OFFICIO","REANALISAR FUNDAMENTAÇÃO E/OU MODALIDADE")))),IF($K$2=$O$3,IF($E$2=$B$89,$F$114,IF($E$2=$B$90,$F$114,IF($E$2=$B$91,"EX OFFICIO",IF($E$2=$B$92,"EX OFFICIO","REANALISAR FUNDAMENTAÇÃO E/OU MODADALIDADE"))))))</f>
        <v>0</v>
      </c>
      <c r="P112" s="3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405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/>
      <c r="BJ112" s="719"/>
      <c r="BK112" s="720"/>
      <c r="BL112" s="721"/>
    </row>
    <row r="113" spans="1:64" ht="13.5" hidden="1" x14ac:dyDescent="0.15">
      <c r="B113" s="20" t="s">
        <v>486</v>
      </c>
      <c r="C113" s="43"/>
      <c r="D113" s="43"/>
      <c r="E113" s="44"/>
      <c r="F113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3" s="44"/>
      <c r="H113" s="44"/>
      <c r="I113" s="44"/>
      <c r="J113" s="44"/>
      <c r="K113" s="46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3" t="s">
        <v>406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1:64" ht="13.5" hidden="1" x14ac:dyDescent="0.15">
      <c r="B114" s="44" t="s">
        <v>503</v>
      </c>
      <c r="C114" s="43"/>
      <c r="D114" s="43"/>
      <c r="E114" s="44"/>
      <c r="F114" s="44" t="str">
        <f>IF($N$11&gt;=70,"ATENDE LIMITE MÍNIMO DE IDADE","NÃO ATENDE LIMITE MÍNIMO DE IDADE")</f>
        <v>NÃO ATENDE LIMITE MÍNIMO DE IDADE</v>
      </c>
      <c r="G114" s="44"/>
      <c r="H114" s="44"/>
      <c r="I114" s="44"/>
      <c r="J114" s="44"/>
      <c r="K114" s="46"/>
      <c r="L114" s="48"/>
      <c r="M114" s="48"/>
      <c r="N114" s="47"/>
      <c r="O114" s="255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23" t="s">
        <v>407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1:64" ht="13.5" hidden="1" x14ac:dyDescent="0.15">
      <c r="B115" s="44"/>
      <c r="C115" s="43"/>
      <c r="D115" s="43"/>
      <c r="E115" s="44"/>
      <c r="F115" s="44"/>
      <c r="G115" s="44"/>
      <c r="H115" s="44"/>
      <c r="I115" s="44"/>
      <c r="J115" s="44"/>
      <c r="K115" s="46"/>
      <c r="L115" s="49" t="s">
        <v>498</v>
      </c>
      <c r="M115" s="11"/>
      <c r="N115" s="11"/>
      <c r="O115" s="255"/>
      <c r="P115" s="79"/>
      <c r="Q115" s="79"/>
      <c r="R115" s="79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23" t="s">
        <v>408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/>
      <c r="BJ115" s="719"/>
      <c r="BK115" s="720"/>
      <c r="BL115" s="721"/>
    </row>
    <row r="116" spans="1:64" ht="13.5" hidden="1" x14ac:dyDescent="0.15">
      <c r="B116" s="50"/>
      <c r="C116" s="50"/>
      <c r="D116" s="50"/>
      <c r="E116" s="50"/>
      <c r="F116" s="50"/>
      <c r="G116" s="50"/>
      <c r="H116" s="50"/>
      <c r="I116" s="50"/>
      <c r="J116" s="50"/>
      <c r="K116" s="51"/>
      <c r="L116" s="11" t="s">
        <v>499</v>
      </c>
      <c r="M116" s="11"/>
      <c r="N116" s="11"/>
      <c r="O116" s="255"/>
      <c r="P116" s="79"/>
      <c r="Q116" s="86" t="b">
        <f>IF(K2=O4,IF(E2=B86,R116,IF(E2=B87,R116,IF(E2=B93,R116,IF(G10="X",(30*365)-F61,(35*365)-F61)))),IF(K2=O5,IF(E2=B94,R116,IF(G10="X",(30*365)-F61,(35*365)-F61))))</f>
        <v>0</v>
      </c>
      <c r="R116" s="86" t="b">
        <f>IF($K$2=$O$4,IF($F$61&gt;=($F$37+$E$44),0,($F$37+$E$44)-$F$61),IF($K$2=$O$5,IF($F$61&gt;=($F$37+$E$44),0,($F$37+$E$44)-$F$61)))</f>
        <v>0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23" t="s">
        <v>409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1:64" ht="13.5" hidden="1" x14ac:dyDescent="0.15">
      <c r="B117" s="52"/>
      <c r="C117" s="52"/>
      <c r="D117" s="52"/>
      <c r="E117" s="52"/>
      <c r="F117" s="52"/>
      <c r="G117" s="52"/>
      <c r="H117" s="52"/>
      <c r="I117" s="52"/>
      <c r="J117" s="52"/>
      <c r="K117" s="53"/>
      <c r="L117" s="42" t="s">
        <v>500</v>
      </c>
      <c r="M117" s="11"/>
      <c r="N117" s="11"/>
      <c r="O117" s="255"/>
      <c r="P117" s="79"/>
      <c r="Q117" s="86">
        <f>IF(E2="VOLUNTÁRIA ESPECIAL",IF(D12="X",IF(G10="X",(25*365)-F61,(30*365)-F61)),IF(G10="X",(30*365)-F61,(35*365)-F61))</f>
        <v>12775</v>
      </c>
      <c r="R117" s="79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410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1:64" ht="13.5" hidden="1" x14ac:dyDescent="0.15"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17" t="s">
        <v>463</v>
      </c>
      <c r="M118" s="11"/>
      <c r="N118" s="11"/>
      <c r="O118" s="255" t="s">
        <v>504</v>
      </c>
      <c r="P118" s="79"/>
      <c r="Q118" s="87"/>
      <c r="R118" s="86">
        <f>IF(E2="VOLUNTÁRIA ESPECIAL",IF(D12="X",IF(G10="X",(25*365)-$F$37,(30*365)-$F$37)),IF(G10="X",(30*365)-$F$37,(35*365)-$F$37))</f>
        <v>12775</v>
      </c>
      <c r="S118" s="11"/>
      <c r="T118" s="5"/>
      <c r="U118" s="5"/>
      <c r="V118" s="5"/>
      <c r="W118" s="5"/>
      <c r="X118" s="5"/>
      <c r="Y118" s="5"/>
      <c r="Z118" s="5"/>
      <c r="AA118" s="5"/>
      <c r="AB118" s="5"/>
      <c r="AC118" s="69"/>
      <c r="AD118" s="70"/>
      <c r="AE118" s="70"/>
      <c r="AF118" s="70"/>
      <c r="AG118" s="69"/>
      <c r="AX118" s="11"/>
      <c r="AY118" s="11"/>
      <c r="AZ118" s="5"/>
      <c r="BA118" s="724"/>
      <c r="BB118" s="723" t="s">
        <v>411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1:64" ht="13.5" hidden="1" customHeight="1" x14ac:dyDescent="0.15">
      <c r="B119" s="6"/>
      <c r="C119" s="1943" t="s">
        <v>459</v>
      </c>
      <c r="D119" s="1943"/>
      <c r="E119" s="1943"/>
      <c r="F119" s="1943" t="s">
        <v>460</v>
      </c>
      <c r="G119" s="1943"/>
      <c r="H119" s="1943"/>
      <c r="I119" s="1943" t="s">
        <v>461</v>
      </c>
      <c r="J119" s="1943"/>
      <c r="K119" s="51"/>
      <c r="L119" s="51"/>
      <c r="M119" s="54"/>
      <c r="N119" s="54"/>
      <c r="O119" s="255" t="s">
        <v>487</v>
      </c>
      <c r="P119" s="78"/>
      <c r="Q119" s="78"/>
      <c r="R119" s="86">
        <f>IF(E2=B93,IF(G10="X",(25*365)-$F$37,(30*365)-$F$37),IF(G10="X",(30*365)-$F$37,(35*365)-$F$37))</f>
        <v>12775</v>
      </c>
      <c r="AX119" s="11"/>
      <c r="AY119" s="11"/>
      <c r="BB119" s="723" t="s">
        <v>412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1:64" ht="12.75" hidden="1" customHeight="1" x14ac:dyDescent="0.15">
      <c r="B120" s="40" t="s">
        <v>454</v>
      </c>
      <c r="C120" s="40" t="s">
        <v>457</v>
      </c>
      <c r="D120" s="8"/>
      <c r="E120" s="5" t="s">
        <v>456</v>
      </c>
      <c r="F120" s="6" t="s">
        <v>457</v>
      </c>
      <c r="G120" s="6"/>
      <c r="H120" s="6" t="s">
        <v>456</v>
      </c>
      <c r="I120" s="8" t="s">
        <v>457</v>
      </c>
      <c r="J120" s="8" t="s">
        <v>456</v>
      </c>
      <c r="K120" s="51"/>
      <c r="L120" s="18" t="s">
        <v>466</v>
      </c>
      <c r="M120" s="54"/>
      <c r="N120" s="54"/>
      <c r="O120" s="255" t="s">
        <v>509</v>
      </c>
      <c r="P120" s="78"/>
      <c r="Q120" s="86">
        <f>IF(K2=O7,IF($E$2=B86,IF($G$10="X",(30*365)-$F$61,(35*365)-$F$61)),IF($G$10="X",(30*365)-$F$61,(35*365)-$F$61))</f>
        <v>12775</v>
      </c>
      <c r="R120" s="78"/>
      <c r="AX120" s="11"/>
      <c r="AY120" s="11"/>
      <c r="BB120" s="723" t="s">
        <v>413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1:64" ht="13.5" hidden="1" customHeight="1" x14ac:dyDescent="0.15">
      <c r="B121" s="16" t="s">
        <v>450</v>
      </c>
      <c r="C121" s="55">
        <f>30*365</f>
        <v>10950</v>
      </c>
      <c r="D121" s="55"/>
      <c r="E121" s="55">
        <f>35*365</f>
        <v>12775</v>
      </c>
      <c r="F121" s="55">
        <v>20089</v>
      </c>
      <c r="G121" s="55"/>
      <c r="H121" s="55">
        <v>21914</v>
      </c>
      <c r="I121" s="55">
        <f>F121-C124</f>
        <v>31039</v>
      </c>
      <c r="J121" s="55">
        <f>H121-E124</f>
        <v>34689</v>
      </c>
      <c r="K121" s="51"/>
      <c r="L121" s="51"/>
      <c r="M121" s="54"/>
      <c r="N121" s="54"/>
      <c r="P121" s="78"/>
      <c r="Q121" s="78"/>
      <c r="R121" s="78"/>
      <c r="AX121" s="11"/>
      <c r="AY121" s="11"/>
      <c r="BB121" s="723" t="s">
        <v>414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1:64" ht="12.75" hidden="1" customHeight="1" x14ac:dyDescent="0.15">
      <c r="B122" s="16" t="s">
        <v>455</v>
      </c>
      <c r="C122" s="47">
        <f>25*365</f>
        <v>9125</v>
      </c>
      <c r="D122" s="47"/>
      <c r="E122" s="47">
        <f>30*365</f>
        <v>10950</v>
      </c>
      <c r="F122" s="55">
        <v>18264</v>
      </c>
      <c r="G122" s="55"/>
      <c r="H122" s="55">
        <v>20089</v>
      </c>
      <c r="I122" s="47">
        <f>ROUNDDOWN(I121/365,0)</f>
        <v>85</v>
      </c>
      <c r="J122" s="47">
        <f>ROUNDDOWN(J121/365,0)</f>
        <v>95</v>
      </c>
      <c r="K122" s="51"/>
      <c r="L122" s="51"/>
      <c r="M122" s="54"/>
      <c r="N122" s="54"/>
      <c r="P122" s="78"/>
      <c r="Q122" s="78"/>
      <c r="R122" s="78"/>
      <c r="AX122" s="11"/>
      <c r="AY122" s="11"/>
      <c r="BB122" s="723" t="s">
        <v>415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1:64" ht="12.75" hidden="1" customHeight="1" x14ac:dyDescent="0.15">
      <c r="B123" s="48"/>
      <c r="C123" s="48"/>
      <c r="D123" s="48"/>
      <c r="E123" s="46"/>
      <c r="F123" s="48"/>
      <c r="G123" s="48"/>
      <c r="H123" s="48"/>
      <c r="I123" s="48"/>
      <c r="J123" s="46"/>
      <c r="K123" s="51"/>
      <c r="L123" s="51"/>
      <c r="M123" s="54"/>
      <c r="N123" s="54"/>
      <c r="AX123" s="5"/>
      <c r="AY123" s="5"/>
      <c r="BB123" s="723" t="s">
        <v>416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1:64" ht="12.75" hidden="1" customHeight="1" x14ac:dyDescent="0.15">
      <c r="B124" s="48" t="s">
        <v>458</v>
      </c>
      <c r="C124" s="56">
        <f>ROUNDDOWN((F61-C121),0)</f>
        <v>-10950</v>
      </c>
      <c r="D124" s="48"/>
      <c r="E124" s="56">
        <f>ROUNDDOWN((F61-E121),0)</f>
        <v>-12775</v>
      </c>
      <c r="F124" s="48"/>
      <c r="G124" s="48"/>
      <c r="H124" s="48"/>
      <c r="I124" s="48"/>
      <c r="J124" s="46"/>
      <c r="K124" s="51"/>
      <c r="L124" s="51"/>
      <c r="M124" s="54"/>
      <c r="N124" s="54"/>
      <c r="BB124" s="723" t="s">
        <v>417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1:64" ht="12.75" hidden="1" customHeight="1" x14ac:dyDescent="0.15"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4"/>
      <c r="N125" s="54"/>
      <c r="BB125" s="723" t="s">
        <v>418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1:64" ht="12.75" hidden="1" customHeight="1" thickBot="1" x14ac:dyDescent="0.2">
      <c r="B126" s="1848" t="s">
        <v>548</v>
      </c>
      <c r="C126" s="1848"/>
      <c r="D126" s="1848"/>
      <c r="E126" s="1848"/>
      <c r="F126" s="1848"/>
      <c r="G126" s="1848"/>
      <c r="H126" s="1848"/>
      <c r="I126" s="1848"/>
      <c r="J126" s="1848"/>
      <c r="K126" s="1848"/>
      <c r="L126" s="1848"/>
      <c r="M126" s="1848"/>
      <c r="N126" s="1848"/>
      <c r="BB126" s="312"/>
      <c r="BC126" s="313"/>
      <c r="BD126" s="314"/>
      <c r="BE126" s="314"/>
      <c r="BF126" s="315"/>
      <c r="BG126" s="315"/>
      <c r="BH126" s="316"/>
      <c r="BI126" s="317">
        <f>A146*1.45</f>
        <v>23.2</v>
      </c>
      <c r="BJ126" s="318">
        <v>113.29</v>
      </c>
      <c r="BK126" s="319">
        <v>113.29</v>
      </c>
      <c r="BL126" s="320">
        <v>157.35</v>
      </c>
    </row>
    <row r="127" spans="1:64" ht="12.75" hidden="1" customHeight="1" x14ac:dyDescent="0.15">
      <c r="B127" s="51" t="s">
        <v>656</v>
      </c>
      <c r="C127" s="21" t="s">
        <v>657</v>
      </c>
      <c r="D127" s="101">
        <v>36145</v>
      </c>
      <c r="E127" s="101">
        <v>37986</v>
      </c>
      <c r="F127" s="102">
        <v>37986</v>
      </c>
      <c r="G127" s="246" t="s">
        <v>608</v>
      </c>
      <c r="H127" s="51" t="s">
        <v>609</v>
      </c>
      <c r="I127" s="51" t="s">
        <v>610</v>
      </c>
      <c r="J127" s="21" t="s">
        <v>612</v>
      </c>
      <c r="M127" s="40" t="s">
        <v>658</v>
      </c>
      <c r="P127" s="109"/>
      <c r="Q127" s="110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BB127" s="321"/>
      <c r="BC127" s="322"/>
      <c r="BD127" s="322"/>
      <c r="BE127" s="322"/>
      <c r="BF127" s="323"/>
      <c r="BG127" s="323"/>
      <c r="BH127" s="323"/>
      <c r="BI127" s="324"/>
      <c r="BJ127" s="325"/>
      <c r="BK127" s="326"/>
      <c r="BL127" s="327"/>
    </row>
    <row r="128" spans="1:64" ht="12.75" hidden="1" customHeight="1" x14ac:dyDescent="0.15">
      <c r="A128" s="259">
        <v>1</v>
      </c>
      <c r="B128" s="107" t="s">
        <v>549</v>
      </c>
      <c r="C128" s="21" t="s">
        <v>613</v>
      </c>
      <c r="D128" s="104">
        <f>IF(ISERROR(HLOOKUP($N$34,$Q$39:$AA$40,2)),0,HLOOKUP($N$34,$Q$39:$AA$40,2))</f>
        <v>0</v>
      </c>
      <c r="E128" s="105">
        <f>IF(ISERROR(HLOOKUP($O$34,$Q$39:$AA$40,2)),0,HLOOKUP($O$34,$Q$39:$AA$40,2))</f>
        <v>0</v>
      </c>
      <c r="F128" s="106">
        <f>IF(ISERROR(HLOOKUP($O$60,$Q$39:$AA$40,2)),0,HLOOKUP($O$60,$Q$39:$AA$40,2))</f>
        <v>0</v>
      </c>
      <c r="G128" s="21" t="s">
        <v>611</v>
      </c>
      <c r="J128" s="21" t="s">
        <v>611</v>
      </c>
      <c r="M128" s="21" t="s">
        <v>659</v>
      </c>
      <c r="P128" s="328"/>
      <c r="Q128" s="328"/>
      <c r="R128" s="5"/>
      <c r="S128" s="8"/>
      <c r="T128" s="5"/>
      <c r="U128" s="5"/>
      <c r="V128" s="5"/>
      <c r="W128" s="27"/>
      <c r="X128" s="5"/>
      <c r="Y128" s="5"/>
      <c r="Z128" s="100"/>
      <c r="AA128" s="5"/>
      <c r="AB128" s="5"/>
      <c r="BB128" s="321"/>
      <c r="BC128" s="322"/>
      <c r="BD128" s="322"/>
      <c r="BE128" s="322"/>
      <c r="BF128" s="323"/>
      <c r="BG128" s="323"/>
      <c r="BH128" s="323"/>
      <c r="BI128" s="324"/>
      <c r="BJ128" s="325"/>
      <c r="BK128" s="326"/>
      <c r="BL128" s="327"/>
    </row>
    <row r="129" spans="1:64" ht="12.75" hidden="1" customHeight="1" x14ac:dyDescent="0.15">
      <c r="A129" s="259">
        <v>2</v>
      </c>
      <c r="B129" s="51" t="s">
        <v>550</v>
      </c>
      <c r="C129" s="21" t="s">
        <v>527</v>
      </c>
      <c r="D129" s="104">
        <f>IF(ISERROR(HLOOKUP($J$129,$Q$26:$AT$27,2)),0,HLOOKUP($J$129,$Q$26:$AT$27,2))</f>
        <v>0</v>
      </c>
      <c r="E129" s="105">
        <f>IF(ISERROR(HLOOKUP($K$129,$Q$26:$AT$27,2)),0,HLOOKUP($K$129,$Q$26:$AT$27,2))</f>
        <v>0</v>
      </c>
      <c r="F129" s="106">
        <f>IF(ISERROR(HLOOKUP($L$129,$Q$26:$AT$27,2)),0,HLOOKUP($L$129,$Q$26:$AT$27,2))</f>
        <v>0</v>
      </c>
      <c r="G129" s="67">
        <f>SUM($F$27:$F$32)</f>
        <v>0</v>
      </c>
      <c r="H129" s="67">
        <f>SUM($F$27:$F$32)+$J$51</f>
        <v>0</v>
      </c>
      <c r="I129" s="67">
        <f>SUM($F$27:$F$32)+$J$51+$J$60</f>
        <v>0</v>
      </c>
      <c r="J129" s="21">
        <f t="shared" ref="J129:J151" si="0">ROUNDDOWN(G129/365,0)</f>
        <v>0</v>
      </c>
      <c r="K129" s="21">
        <f t="shared" ref="K129:K151" si="1">ROUNDDOWN(H129/365,0)</f>
        <v>0</v>
      </c>
      <c r="L129" s="21">
        <f t="shared" ref="L129:L151" si="2">ROUNDDOWN(I129/365,0)</f>
        <v>0</v>
      </c>
      <c r="M129" s="21" t="s">
        <v>660</v>
      </c>
      <c r="P129" s="328"/>
      <c r="Q129" s="328"/>
      <c r="BB129" s="321"/>
      <c r="BC129" s="322"/>
      <c r="BD129" s="322"/>
      <c r="BE129" s="322"/>
      <c r="BF129" s="323"/>
      <c r="BG129" s="323"/>
      <c r="BH129" s="323"/>
      <c r="BI129" s="324"/>
      <c r="BJ129" s="325"/>
      <c r="BK129" s="326"/>
      <c r="BL129" s="327"/>
    </row>
    <row r="130" spans="1:64" ht="12.75" hidden="1" customHeight="1" x14ac:dyDescent="0.15">
      <c r="A130" s="259" t="s">
        <v>554</v>
      </c>
      <c r="B130" s="51" t="s">
        <v>615</v>
      </c>
      <c r="C130" s="21" t="s">
        <v>613</v>
      </c>
      <c r="D130" s="104">
        <f>IF(ISERROR(HLOOKUP($J$130,$Q$45:$AB$46,2)),0,HLOOKUP($J$130,$Q$45:$AB$46,2))</f>
        <v>0</v>
      </c>
      <c r="E130" s="105">
        <f>IF(ISERROR(HLOOKUP($K$130,$Q$45:$AB$46,2)),0,HLOOKUP($K$130,$Q$45:$AB$46,2))</f>
        <v>0</v>
      </c>
      <c r="F130" s="106">
        <f>IF(ISERROR(HLOOKUP($L$130,$Q$45:$AB$46,2)),0,HLOOKUP($L$130,$Q$45:$AB$46,2))</f>
        <v>0</v>
      </c>
      <c r="G130" s="67">
        <f>SUM($F$27:$F$32)</f>
        <v>0</v>
      </c>
      <c r="H130" s="67">
        <f>SUM($F$27:$F$32)+$J$51</f>
        <v>0</v>
      </c>
      <c r="I130" s="67">
        <f>SUM($F$27:$F$32)+$J$51+$J$60</f>
        <v>0</v>
      </c>
      <c r="J130" s="21">
        <f t="shared" si="0"/>
        <v>0</v>
      </c>
      <c r="K130" s="21">
        <f t="shared" si="1"/>
        <v>0</v>
      </c>
      <c r="L130" s="21">
        <f t="shared" si="2"/>
        <v>0</v>
      </c>
      <c r="M130" s="21" t="s">
        <v>660</v>
      </c>
      <c r="P130" s="328"/>
      <c r="Q130" s="328"/>
      <c r="BB130" s="321"/>
      <c r="BC130" s="322"/>
      <c r="BD130" s="322"/>
      <c r="BE130" s="322"/>
      <c r="BF130" s="323"/>
      <c r="BG130" s="323"/>
      <c r="BH130" s="323"/>
      <c r="BI130" s="324"/>
      <c r="BJ130" s="325"/>
      <c r="BK130" s="326"/>
      <c r="BL130" s="327"/>
    </row>
    <row r="131" spans="1:64" ht="12.75" hidden="1" customHeight="1" x14ac:dyDescent="0.15">
      <c r="A131" s="259">
        <v>3</v>
      </c>
      <c r="B131" s="51" t="s">
        <v>551</v>
      </c>
      <c r="C131" s="21" t="s">
        <v>613</v>
      </c>
      <c r="D131" s="104">
        <f>IF(ISERROR(HLOOKUP($J$131,$Q$48:$AB$49,2)),0,HLOOKUP($J$131,$Q$48:$AB$49,2))</f>
        <v>0</v>
      </c>
      <c r="E131" s="105">
        <f>IF(ISERROR(HLOOKUP($K$131,$Q$48:$AB$49,2)),0,HLOOKUP($K$131,$Q$48:$AB$49,2))</f>
        <v>0</v>
      </c>
      <c r="F131" s="106">
        <f>IF(ISERROR(HLOOKUP($L$131,$Q$48:$AB$49,2)),0,HLOOKUP($L$131,$Q$48:$AB$49,2))</f>
        <v>0</v>
      </c>
      <c r="G131" s="67">
        <f>SUM($F$30:$F$32)</f>
        <v>0</v>
      </c>
      <c r="H131" s="67">
        <f>SUM($F$30:$F$32)+$J$51</f>
        <v>0</v>
      </c>
      <c r="I131" s="67">
        <f>SUM($F$30:$F$32)+$J$51+$J$60</f>
        <v>0</v>
      </c>
      <c r="J131" s="21">
        <f t="shared" si="0"/>
        <v>0</v>
      </c>
      <c r="K131" s="21">
        <f t="shared" si="1"/>
        <v>0</v>
      </c>
      <c r="L131" s="21">
        <f t="shared" si="2"/>
        <v>0</v>
      </c>
      <c r="M131" s="21" t="s">
        <v>660</v>
      </c>
      <c r="P131" s="328"/>
      <c r="Q131" s="328"/>
      <c r="BB131" s="69"/>
      <c r="BC131" s="69"/>
      <c r="BD131" s="69"/>
      <c r="BE131" s="69"/>
      <c r="BF131" s="69"/>
      <c r="BG131" s="69"/>
      <c r="BH131" s="69"/>
      <c r="BI131" s="69"/>
      <c r="BJ131" s="69"/>
      <c r="BK131" s="326"/>
      <c r="BL131" s="327"/>
    </row>
    <row r="132" spans="1:64" ht="12.75" hidden="1" customHeight="1" x14ac:dyDescent="0.15">
      <c r="A132" s="259">
        <v>4</v>
      </c>
      <c r="B132" s="51" t="s">
        <v>552</v>
      </c>
      <c r="C132" s="21" t="s">
        <v>613</v>
      </c>
      <c r="D132" s="104">
        <f>IF(ISERROR(HLOOKUP($J$132,$Q$48:$Z$49,2)),0,HLOOKUP($J$132,$Q$48:$Z$49,2))</f>
        <v>0</v>
      </c>
      <c r="E132" s="105">
        <f>IF(ISERROR(HLOOKUP($K$132,$Q$48:$Z$49,2)),0,HLOOKUP($K$132,$Q$48:$Z$49,2))</f>
        <v>0</v>
      </c>
      <c r="F132" s="106">
        <f>IF(ISERROR(HLOOKUP($L$132,$Q$48:$Z$49,2)),0,HLOOKUP($L$132,$Q$48:$Z$49,2))</f>
        <v>0</v>
      </c>
      <c r="G132" s="67">
        <f>SUM($F$27:$F$32)</f>
        <v>0</v>
      </c>
      <c r="H132" s="67">
        <f>SUM($F$27:$F$32)+$J$51</f>
        <v>0</v>
      </c>
      <c r="I132" s="67">
        <f>SUM($F$27:$F$32)+$J$51+$J$60</f>
        <v>0</v>
      </c>
      <c r="J132" s="21">
        <f t="shared" si="0"/>
        <v>0</v>
      </c>
      <c r="K132" s="21">
        <f t="shared" si="1"/>
        <v>0</v>
      </c>
      <c r="L132" s="21">
        <f t="shared" si="2"/>
        <v>0</v>
      </c>
      <c r="M132" s="21" t="s">
        <v>660</v>
      </c>
      <c r="P132" s="328"/>
      <c r="Q132" s="328"/>
      <c r="BB132" s="69"/>
      <c r="BC132" s="69"/>
      <c r="BD132" s="69" t="s">
        <v>349</v>
      </c>
      <c r="BE132" s="70">
        <v>5</v>
      </c>
      <c r="BF132" s="70">
        <v>10</v>
      </c>
      <c r="BG132" s="70">
        <v>15</v>
      </c>
      <c r="BH132" s="70">
        <v>20</v>
      </c>
      <c r="BI132" s="70">
        <v>25</v>
      </c>
      <c r="BJ132" s="329" t="s">
        <v>365</v>
      </c>
      <c r="BK132" s="326"/>
      <c r="BL132" s="327"/>
    </row>
    <row r="133" spans="1:64" ht="12.75" hidden="1" customHeight="1" x14ac:dyDescent="0.15">
      <c r="A133" s="259">
        <v>5</v>
      </c>
      <c r="B133" s="51" t="s">
        <v>553</v>
      </c>
      <c r="C133" s="21" t="s">
        <v>613</v>
      </c>
      <c r="D133" s="104">
        <f>IF(ISERROR(HLOOKUP($J$133,$Q$48:$AB$49,2)),0,HLOOKUP($J$133,$Q$48:$AB$49,2))</f>
        <v>0</v>
      </c>
      <c r="E133" s="105">
        <f>IF(ISERROR(HLOOKUP($K$133,$Q$48:$AB$49,2)),0,HLOOKUP($K$133,$Q$48:$AB$49,2))</f>
        <v>0</v>
      </c>
      <c r="F133" s="106">
        <f>IF(ISERROR(HLOOKUP($L$133,$Q$48:$AB$49,2)),0,HLOOKUP($L$133,$Q$48:$AB$49,2))</f>
        <v>0</v>
      </c>
      <c r="G133" s="67">
        <f>SUM($F$30:$F$32)</f>
        <v>0</v>
      </c>
      <c r="H133" s="67">
        <f>SUM($F$30:$F$32)+$J$51</f>
        <v>0</v>
      </c>
      <c r="I133" s="67">
        <f>SUM($F$30:$F$32)+$J$51+$J$60</f>
        <v>0</v>
      </c>
      <c r="J133" s="21">
        <f t="shared" si="0"/>
        <v>0</v>
      </c>
      <c r="K133" s="21">
        <f t="shared" si="1"/>
        <v>0</v>
      </c>
      <c r="L133" s="21">
        <f t="shared" si="2"/>
        <v>0</v>
      </c>
      <c r="M133" s="21" t="s">
        <v>660</v>
      </c>
      <c r="P133" s="328"/>
      <c r="Q133" s="328"/>
      <c r="BB133" s="69"/>
      <c r="BC133" s="330" t="s">
        <v>419</v>
      </c>
      <c r="BD133" s="330" t="s">
        <v>420</v>
      </c>
      <c r="BE133" s="69" t="s">
        <v>421</v>
      </c>
      <c r="BF133" s="69" t="s">
        <v>422</v>
      </c>
      <c r="BG133" s="69" t="s">
        <v>423</v>
      </c>
      <c r="BH133" s="69" t="s">
        <v>424</v>
      </c>
      <c r="BI133" s="69" t="s">
        <v>425</v>
      </c>
      <c r="BJ133" s="69" t="s">
        <v>426</v>
      </c>
      <c r="BK133" s="326"/>
      <c r="BL133" s="327"/>
    </row>
    <row r="134" spans="1:64" ht="12.75" hidden="1" customHeight="1" x14ac:dyDescent="0.15">
      <c r="A134" s="259" t="s">
        <v>555</v>
      </c>
      <c r="B134" s="51" t="s">
        <v>616</v>
      </c>
      <c r="C134" s="21" t="s">
        <v>613</v>
      </c>
      <c r="D134" s="104">
        <f>IF(ISERROR(HLOOKUP($J$134,$Q$48:$V$49,2)),0,HLOOKUP($J$134,$Q$48:$V$49,2))</f>
        <v>0</v>
      </c>
      <c r="E134" s="105">
        <f>IF(ISERROR(HLOOKUP($K$134,$Q$48:$V$49,2)),0,HLOOKUP($K$134,$Q$48:$V$49,2))</f>
        <v>0</v>
      </c>
      <c r="F134" s="106">
        <f>IF(ISERROR(HLOOKUP($L$134,$Q$48:$V$49,2)),0,HLOOKUP($L$134,$Q$48:$V$49,2))</f>
        <v>0</v>
      </c>
      <c r="G134" s="67">
        <f>SUM($F$30:$F$32)</f>
        <v>0</v>
      </c>
      <c r="H134" s="67">
        <f>SUM($F$30:$F$32)+$J$51</f>
        <v>0</v>
      </c>
      <c r="I134" s="67">
        <f>SUM($F$30:$F$32)+$J$51+$J$60</f>
        <v>0</v>
      </c>
      <c r="J134" s="21">
        <f t="shared" si="0"/>
        <v>0</v>
      </c>
      <c r="K134" s="21">
        <f t="shared" si="1"/>
        <v>0</v>
      </c>
      <c r="L134" s="21">
        <f t="shared" si="2"/>
        <v>0</v>
      </c>
      <c r="M134" s="21" t="s">
        <v>660</v>
      </c>
      <c r="P134" s="328"/>
      <c r="Q134" s="328"/>
      <c r="BB134" s="69"/>
      <c r="BC134" s="330" t="s">
        <v>427</v>
      </c>
      <c r="BD134" s="330" t="s">
        <v>428</v>
      </c>
      <c r="BE134" s="69" t="s">
        <v>421</v>
      </c>
      <c r="BF134" s="69" t="s">
        <v>422</v>
      </c>
      <c r="BG134" s="69" t="s">
        <v>423</v>
      </c>
      <c r="BH134" s="69" t="s">
        <v>424</v>
      </c>
      <c r="BI134" s="69" t="s">
        <v>425</v>
      </c>
      <c r="BJ134" s="69" t="s">
        <v>426</v>
      </c>
      <c r="BK134" s="326"/>
      <c r="BL134" s="327"/>
    </row>
    <row r="135" spans="1:64" ht="12.75" hidden="1" customHeight="1" x14ac:dyDescent="0.15">
      <c r="A135" s="259">
        <v>6</v>
      </c>
      <c r="B135" s="51" t="s">
        <v>556</v>
      </c>
      <c r="C135" s="21" t="s">
        <v>613</v>
      </c>
      <c r="D135" s="104">
        <f>IF(ISERROR(HLOOKUP($J$135,$Q$48:$AA$49,2)),0,HLOOKUP($J$135,$Q$48:$AA$49,2))</f>
        <v>0</v>
      </c>
      <c r="E135" s="105">
        <f>IF(ISERROR(HLOOKUP(K135,$Q$48:$AA$49,2)),0,HLOOKUP(K135,$Q$48:$AA$49,2))</f>
        <v>0</v>
      </c>
      <c r="F135" s="106">
        <f>IF(ISERROR(HLOOKUP(L135,$Q$48:$AA$49,2)),0,HLOOKUP(L135,$Q$48:$AA$49,2))</f>
        <v>0</v>
      </c>
      <c r="G135" s="396">
        <f>SUM($F$27:$F$33)</f>
        <v>0</v>
      </c>
      <c r="H135" s="103">
        <f>SUM($F$27:$F$33)+$J$51</f>
        <v>0</v>
      </c>
      <c r="I135" s="103">
        <f>SUM($F$27:$F$33)+$J$51+$J$60</f>
        <v>0</v>
      </c>
      <c r="J135" s="21">
        <f t="shared" si="0"/>
        <v>0</v>
      </c>
      <c r="K135" s="21">
        <f t="shared" si="1"/>
        <v>0</v>
      </c>
      <c r="L135" s="21">
        <f t="shared" si="2"/>
        <v>0</v>
      </c>
      <c r="M135" s="21" t="s">
        <v>660</v>
      </c>
      <c r="P135" s="328"/>
      <c r="Q135" s="328"/>
      <c r="BB135" s="69"/>
      <c r="BC135" s="330" t="s">
        <v>429</v>
      </c>
      <c r="BD135" s="330" t="s">
        <v>430</v>
      </c>
      <c r="BE135" s="69" t="s">
        <v>421</v>
      </c>
      <c r="BF135" s="69" t="s">
        <v>422</v>
      </c>
      <c r="BG135" s="69" t="s">
        <v>423</v>
      </c>
      <c r="BH135" s="69" t="s">
        <v>424</v>
      </c>
      <c r="BI135" s="69" t="s">
        <v>425</v>
      </c>
      <c r="BJ135" s="69" t="s">
        <v>426</v>
      </c>
      <c r="BK135" s="7"/>
      <c r="BL135" s="7"/>
    </row>
    <row r="136" spans="1:64" ht="12.75" hidden="1" customHeight="1" x14ac:dyDescent="0.15">
      <c r="A136" s="259">
        <v>7</v>
      </c>
      <c r="B136" s="51" t="s">
        <v>557</v>
      </c>
      <c r="C136" s="21" t="s">
        <v>547</v>
      </c>
      <c r="D136" s="104">
        <f>IF(ISERROR(HLOOKUP($J$136,$Q$77:$W$78,2)),0,HLOOKUP($J$136,$Q$77:$W$78,2))</f>
        <v>0</v>
      </c>
      <c r="E136" s="105">
        <f>IF(ISERROR(HLOOKUP(K136,$Q$77:$W$78,2)),0,HLOOKUP(K136,$Q$77:$W$78,2))</f>
        <v>0</v>
      </c>
      <c r="F136" s="106">
        <f>IF(ISERROR(HLOOKUP(L136,$Q$77:$W$78,2)),0,HLOOKUP(L136,$Q$77:$W$78,2))</f>
        <v>0</v>
      </c>
      <c r="G136" s="396">
        <f>SUM($F$30:$F$32)</f>
        <v>0</v>
      </c>
      <c r="H136" s="103">
        <f>SUM($F$30:$F$32)+$J$51</f>
        <v>0</v>
      </c>
      <c r="I136" s="103">
        <f>SUM($F$30:$F$32)+$J$51+$J$60</f>
        <v>0</v>
      </c>
      <c r="J136" s="21">
        <f t="shared" si="0"/>
        <v>0</v>
      </c>
      <c r="K136" s="21">
        <f t="shared" si="1"/>
        <v>0</v>
      </c>
      <c r="L136" s="21">
        <f t="shared" si="2"/>
        <v>0</v>
      </c>
      <c r="M136" s="21" t="s">
        <v>660</v>
      </c>
      <c r="P136" s="328"/>
      <c r="Q136" s="328"/>
      <c r="BB136" s="69"/>
      <c r="BC136" s="330" t="s">
        <v>431</v>
      </c>
      <c r="BD136" s="330" t="s">
        <v>430</v>
      </c>
      <c r="BE136" s="69" t="s">
        <v>421</v>
      </c>
      <c r="BF136" s="69" t="s">
        <v>422</v>
      </c>
      <c r="BG136" s="69" t="s">
        <v>423</v>
      </c>
      <c r="BH136" s="69" t="s">
        <v>424</v>
      </c>
      <c r="BI136" s="69" t="s">
        <v>425</v>
      </c>
      <c r="BJ136" s="69" t="s">
        <v>426</v>
      </c>
      <c r="BK136" s="5"/>
      <c r="BL136" s="5"/>
    </row>
    <row r="137" spans="1:64" ht="12.75" hidden="1" customHeight="1" x14ac:dyDescent="0.15">
      <c r="A137" s="259" t="s">
        <v>558</v>
      </c>
      <c r="B137" s="51" t="s">
        <v>614</v>
      </c>
      <c r="C137" s="21" t="s">
        <v>547</v>
      </c>
      <c r="D137" s="104">
        <f>IF(ISERROR(HLOOKUP($J$137,$Q$77:$W$78,2)),0,HLOOKUP($J$137,$Q$77:$W$78,2))</f>
        <v>0</v>
      </c>
      <c r="E137" s="105">
        <f>IF(ISERROR(HLOOKUP(K137,$Q$77:$W$78,2)),0,HLOOKUP(K137,$Q$77:$W$78,2))</f>
        <v>0</v>
      </c>
      <c r="F137" s="106">
        <f>IF(ISERROR(HLOOKUP(L137,$Q$77:$W$78,2)),0,HLOOKUP(L137,$Q$77:$W$78,2))</f>
        <v>0</v>
      </c>
      <c r="G137" s="396">
        <f>SUM($F$30:$F$32)</f>
        <v>0</v>
      </c>
      <c r="H137" s="103">
        <f>SUM($F$30:$F$32)+$J$51</f>
        <v>0</v>
      </c>
      <c r="I137" s="103">
        <f>SUM($F$30:$F$32)+$J$51+$J$60</f>
        <v>0</v>
      </c>
      <c r="J137" s="21">
        <f t="shared" si="0"/>
        <v>0</v>
      </c>
      <c r="K137" s="21">
        <f t="shared" si="1"/>
        <v>0</v>
      </c>
      <c r="L137" s="21">
        <f t="shared" si="2"/>
        <v>0</v>
      </c>
      <c r="M137" s="21" t="s">
        <v>660</v>
      </c>
      <c r="P137" s="328"/>
      <c r="Q137" s="328"/>
      <c r="BB137" s="69"/>
      <c r="BC137" s="69" t="s">
        <v>400</v>
      </c>
      <c r="BD137" s="69"/>
      <c r="BE137" s="69" t="s">
        <v>329</v>
      </c>
      <c r="BF137" s="69" t="s">
        <v>356</v>
      </c>
      <c r="BG137" s="69" t="s">
        <v>432</v>
      </c>
      <c r="BH137" s="69" t="s">
        <v>432</v>
      </c>
      <c r="BI137" s="69" t="s">
        <v>432</v>
      </c>
      <c r="BJ137" s="69" t="s">
        <v>432</v>
      </c>
      <c r="BK137" s="5"/>
      <c r="BL137" s="5"/>
    </row>
    <row r="138" spans="1:64" ht="12.75" hidden="1" customHeight="1" x14ac:dyDescent="0.15">
      <c r="A138" s="259">
        <v>8</v>
      </c>
      <c r="B138" s="51" t="s">
        <v>559</v>
      </c>
      <c r="C138" s="21" t="s">
        <v>547</v>
      </c>
      <c r="D138" s="104">
        <f>IF(ISERROR(HLOOKUP($J$138,$Q$73:$W$74,2)),0,HLOOKUP($J$138,$Q$73:$W$74,2))</f>
        <v>0</v>
      </c>
      <c r="E138" s="105">
        <f>IF(ISERROR(HLOOKUP(K138,$Q$73:$W$74,2)),0,HLOOKUP(K138,$Q$73:$W$74,2))</f>
        <v>0</v>
      </c>
      <c r="F138" s="106">
        <f>IF(ISERROR(HLOOKUP(L138,$Q$73:$W$74,2)),0,HLOOKUP(L138,$Q$73:$W$74,2))</f>
        <v>0</v>
      </c>
      <c r="G138" s="396">
        <f>SUM($F$27:$F$32)</f>
        <v>0</v>
      </c>
      <c r="H138" s="103">
        <f>SUM($F$27:$F$32)+$J$51</f>
        <v>0</v>
      </c>
      <c r="I138" s="103">
        <f>SUM($F$27:$F$32)+$J$51+$J$60</f>
        <v>0</v>
      </c>
      <c r="J138" s="21">
        <f t="shared" si="0"/>
        <v>0</v>
      </c>
      <c r="K138" s="21">
        <f t="shared" si="1"/>
        <v>0</v>
      </c>
      <c r="L138" s="21">
        <f t="shared" si="2"/>
        <v>0</v>
      </c>
      <c r="M138" s="21" t="s">
        <v>660</v>
      </c>
      <c r="P138" s="328"/>
      <c r="Q138" s="328"/>
      <c r="BB138" s="69">
        <v>26</v>
      </c>
      <c r="BC138" s="69"/>
      <c r="BD138" s="69"/>
      <c r="BE138" s="69"/>
      <c r="BF138" s="69"/>
      <c r="BG138" s="69"/>
      <c r="BH138" s="69"/>
      <c r="BI138" s="69"/>
      <c r="BJ138" s="69"/>
      <c r="BK138" s="5"/>
      <c r="BL138" s="5"/>
    </row>
    <row r="139" spans="1:64" ht="12.75" hidden="1" customHeight="1" x14ac:dyDescent="0.15">
      <c r="A139" s="259">
        <v>9</v>
      </c>
      <c r="B139" s="51" t="s">
        <v>560</v>
      </c>
      <c r="C139" s="21" t="s">
        <v>547</v>
      </c>
      <c r="D139" s="104">
        <f>IF(ISERROR(HLOOKUP($J$139,$Q$77:$W$78,2)),0,HLOOKUP($J$139,$Q$77:$W$78,2))</f>
        <v>0</v>
      </c>
      <c r="E139" s="105">
        <f>IF(ISERROR(HLOOKUP(K139,$Q$77:$W$78,2)),0,HLOOKUP(K139,$Q$77:$W$78,2))</f>
        <v>0</v>
      </c>
      <c r="F139" s="106">
        <f>IF(ISERROR(HLOOKUP(L139,$Q$77:$W$78,2)),0,HLOOKUP(L139,$Q$77:$W$78,2))</f>
        <v>0</v>
      </c>
      <c r="G139" s="396">
        <f>SUM($F$27:$F$32)</f>
        <v>0</v>
      </c>
      <c r="H139" s="103">
        <f>SUM($F$27:$F$32)+$J$51</f>
        <v>0</v>
      </c>
      <c r="I139" s="103">
        <f>SUM($F$27:$F$32)+$J$51+$J$60</f>
        <v>0</v>
      </c>
      <c r="J139" s="21">
        <f t="shared" si="0"/>
        <v>0</v>
      </c>
      <c r="K139" s="21">
        <f t="shared" si="1"/>
        <v>0</v>
      </c>
      <c r="L139" s="21">
        <f t="shared" si="2"/>
        <v>0</v>
      </c>
      <c r="M139" s="21" t="s">
        <v>660</v>
      </c>
      <c r="P139" s="328"/>
      <c r="Q139" s="328"/>
      <c r="BB139" s="69"/>
      <c r="BC139" s="331"/>
      <c r="BD139" s="116"/>
      <c r="BE139" s="69"/>
      <c r="BF139" s="69"/>
      <c r="BG139" s="69"/>
      <c r="BH139" s="69"/>
      <c r="BI139" s="69"/>
      <c r="BJ139" s="69"/>
      <c r="BK139" s="5"/>
      <c r="BL139" s="5"/>
    </row>
    <row r="140" spans="1:64" ht="12.75" hidden="1" customHeight="1" x14ac:dyDescent="0.15">
      <c r="A140" s="259">
        <v>10</v>
      </c>
      <c r="B140" s="51" t="s">
        <v>561</v>
      </c>
      <c r="C140" s="21" t="s">
        <v>613</v>
      </c>
      <c r="D140" s="104">
        <f>IF(ISERROR(HLOOKUP($J$140,$Q$39:$Y$40,2)),0,HLOOKUP($J$140,$Q$39:$Y$40,2))</f>
        <v>0</v>
      </c>
      <c r="E140" s="105">
        <f>IF(ISERROR(HLOOKUP(K140,$Q$39:$Y$40,2)),0,HLOOKUP(K140,$Q$39:$Y$40,2))</f>
        <v>0</v>
      </c>
      <c r="F140" s="106">
        <f>IF(ISERROR(HLOOKUP(L140,$Q$39:$Y$40,2)),0,HLOOKUP(L140,$Q$39:$Y$40,2))</f>
        <v>0</v>
      </c>
      <c r="G140" s="396">
        <f>SUM($F$27:$F$32)</f>
        <v>0</v>
      </c>
      <c r="H140" s="103">
        <f>SUM($F$27:$F$32)+$J$51</f>
        <v>0</v>
      </c>
      <c r="I140" s="103">
        <f>SUM($F$27:$F$32)+$J$51+$J$60</f>
        <v>0</v>
      </c>
      <c r="J140" s="21">
        <f t="shared" si="0"/>
        <v>0</v>
      </c>
      <c r="K140" s="21">
        <f t="shared" si="1"/>
        <v>0</v>
      </c>
      <c r="L140" s="21">
        <f t="shared" si="2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5"/>
      <c r="BL140" s="5"/>
    </row>
    <row r="141" spans="1:64" ht="12.75" hidden="1" customHeight="1" x14ac:dyDescent="0.15">
      <c r="A141" s="259">
        <v>11</v>
      </c>
      <c r="B141" s="51" t="s">
        <v>562</v>
      </c>
      <c r="C141" s="21" t="s">
        <v>547</v>
      </c>
      <c r="D141" s="104">
        <f>IF(ISERROR(HLOOKUP($J$141,$Q$73:$AB$74,2)),0,HLOOKUP($J$141,$Q$73:$AB$74,2))</f>
        <v>0</v>
      </c>
      <c r="E141" s="105">
        <f>IF(ISERROR(HLOOKUP(K141,$Q$73:$AB$74,2)),0,HLOOKUP(K141,$Q$73:$AB$74,2))</f>
        <v>0</v>
      </c>
      <c r="F141" s="106">
        <f>IF(ISERROR(HLOOKUP(L141,$Q$73:$AB$74,2)),0,HLOOKUP(L141,$Q$73:$AB$74,2))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0"/>
        <v>0</v>
      </c>
      <c r="K141" s="21">
        <f t="shared" si="1"/>
        <v>0</v>
      </c>
      <c r="L141" s="21">
        <f t="shared" si="2"/>
        <v>0</v>
      </c>
      <c r="M141" s="21" t="s">
        <v>660</v>
      </c>
      <c r="P141" s="328"/>
      <c r="Q141" s="328"/>
      <c r="BB141" s="69"/>
      <c r="BC141" s="69"/>
      <c r="BD141" s="69"/>
      <c r="BE141" s="69"/>
      <c r="BF141" s="69"/>
      <c r="BG141" s="69"/>
      <c r="BH141" s="69"/>
      <c r="BI141" s="69"/>
      <c r="BJ141" s="69"/>
      <c r="BK141" s="5"/>
      <c r="BL141" s="5"/>
    </row>
    <row r="142" spans="1:64" ht="12.75" hidden="1" customHeight="1" x14ac:dyDescent="0.15">
      <c r="A142" s="259">
        <v>12</v>
      </c>
      <c r="B142" s="51" t="s">
        <v>563</v>
      </c>
      <c r="C142" s="21"/>
      <c r="D142" s="104"/>
      <c r="E142" s="105"/>
      <c r="F142" s="106"/>
      <c r="G142" s="396">
        <f>SUM($F$30:$F$32)</f>
        <v>0</v>
      </c>
      <c r="H142" s="103">
        <f>SUM($F$30:$F$32)+$J$51</f>
        <v>0</v>
      </c>
      <c r="I142" s="103">
        <f>SUM($F$30:$F$32)+$J$51+$J$60</f>
        <v>0</v>
      </c>
      <c r="J142" s="21">
        <f t="shared" si="0"/>
        <v>0</v>
      </c>
      <c r="K142" s="21">
        <f t="shared" si="1"/>
        <v>0</v>
      </c>
      <c r="L142" s="21">
        <f t="shared" si="2"/>
        <v>0</v>
      </c>
      <c r="M142" s="21" t="s">
        <v>660</v>
      </c>
      <c r="P142" s="328"/>
      <c r="Q142" s="328"/>
      <c r="BB142" s="69"/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13</v>
      </c>
      <c r="B143" s="51" t="s">
        <v>686</v>
      </c>
      <c r="C143" s="21" t="s">
        <v>527</v>
      </c>
      <c r="D143" s="104">
        <f>IF(ISERROR(HLOOKUP($J$143,$Q$26:$AT$27,2)),0,HLOOKUP($J$143,$Q$26:$AT$27,2))</f>
        <v>0</v>
      </c>
      <c r="E143" s="104">
        <f>IF(ISERROR(HLOOKUP(K143,$Q$26:$AT$27,2)),0,HLOOKUP(K143,$Q$26:$AT$27,2))</f>
        <v>0</v>
      </c>
      <c r="F143" s="104">
        <f>IF(ISERROR(HLOOKUP(L143,$Q$26:$AT$27,2)),0,HLOOKUP(L143,$Q$26:$AT$27,2))</f>
        <v>0</v>
      </c>
      <c r="G143" s="396">
        <f>SUM($F$30:$F$32)</f>
        <v>0</v>
      </c>
      <c r="H143" s="103">
        <f>SUM($F$30:$F$32)+$J$51</f>
        <v>0</v>
      </c>
      <c r="I143" s="103">
        <f>SUM($F$30:$F$32)+$J$51+$J$60</f>
        <v>0</v>
      </c>
      <c r="J143" s="21">
        <f t="shared" si="0"/>
        <v>0</v>
      </c>
      <c r="K143" s="21">
        <f t="shared" si="1"/>
        <v>0</v>
      </c>
      <c r="L143" s="21">
        <f t="shared" si="2"/>
        <v>0</v>
      </c>
      <c r="M143" s="21" t="s">
        <v>660</v>
      </c>
      <c r="P143" s="328"/>
      <c r="Q143" s="328"/>
      <c r="BB143" s="69"/>
      <c r="BC143" s="69"/>
      <c r="BD143" s="69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14</v>
      </c>
      <c r="B144" s="51" t="s">
        <v>564</v>
      </c>
      <c r="C144" s="21" t="s">
        <v>613</v>
      </c>
      <c r="D144" s="104">
        <f>IF(ISERROR(HLOOKUP(J144,$Q$48:$AB$49,2)),0,HLOOKUP(J144,$Q$48:$AB$49,2))</f>
        <v>0</v>
      </c>
      <c r="E144" s="104">
        <f>IF(ISERROR(HLOOKUP(K144,$Q$48:$AB$49,2)),0,HLOOKUP(K144,$Q$48:$AB$49,2))</f>
        <v>0</v>
      </c>
      <c r="F144" s="104">
        <f>IF(ISERROR(HLOOKUP(L144,$Q$48:$AB$49,2)),0,HLOOKUP(L144,$Q$48:$AB$49,2))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0"/>
        <v>0</v>
      </c>
      <c r="K144" s="21">
        <f t="shared" si="1"/>
        <v>0</v>
      </c>
      <c r="L144" s="21">
        <f t="shared" si="2"/>
        <v>0</v>
      </c>
      <c r="M144" s="21" t="s">
        <v>660</v>
      </c>
      <c r="P144" s="328"/>
      <c r="Q144" s="328"/>
      <c r="AS144" s="5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15</v>
      </c>
      <c r="B145" s="51" t="s">
        <v>565</v>
      </c>
      <c r="C145" s="21" t="s">
        <v>613</v>
      </c>
      <c r="D145" s="104">
        <f>IF(ISERROR(HLOOKUP(J145,$Q$42:$AG$43,2)),0,HLOOKUP(J145,$Q$42:$AG$43,2))</f>
        <v>0</v>
      </c>
      <c r="E145" s="104">
        <f>IF(ISERROR(HLOOKUP(K145,$Q$42:$AG$43,2)),0,HLOOKUP(K145,$Q$42:$AG$43,2))</f>
        <v>0</v>
      </c>
      <c r="F145" s="104">
        <f>IF(ISERROR(HLOOKUP(L145,$Q$42:$AG$43,2)),0,HLOOKUP(L145,$Q$42:$AG$43,2))</f>
        <v>0</v>
      </c>
      <c r="G145" s="396">
        <f>SUM($F$27:$F$32)</f>
        <v>0</v>
      </c>
      <c r="H145" s="103">
        <f>SUM($F$27:$F$32)+$J$51</f>
        <v>0</v>
      </c>
      <c r="I145" s="103">
        <f>SUM($F$27:$F$32)+$J$51+$J$60</f>
        <v>0</v>
      </c>
      <c r="J145" s="21">
        <f t="shared" si="0"/>
        <v>0</v>
      </c>
      <c r="K145" s="21">
        <f t="shared" si="1"/>
        <v>0</v>
      </c>
      <c r="L145" s="21">
        <f t="shared" si="2"/>
        <v>0</v>
      </c>
      <c r="M145" s="21" t="s">
        <v>660</v>
      </c>
      <c r="P145" s="328"/>
      <c r="Q145" s="328"/>
      <c r="AS145" s="5"/>
      <c r="BB145" s="69" t="s">
        <v>427</v>
      </c>
      <c r="BC145" s="69"/>
      <c r="BD145" s="69"/>
      <c r="BE145" s="69"/>
      <c r="BF145" s="69"/>
      <c r="BG145" s="69"/>
      <c r="BH145" s="69"/>
      <c r="BI145" s="69"/>
      <c r="BJ145" s="69"/>
      <c r="BK145" s="116"/>
      <c r="BL145" s="332"/>
    </row>
    <row r="146" spans="1:64" ht="12.75" hidden="1" customHeight="1" x14ac:dyDescent="0.15">
      <c r="A146" s="259">
        <v>16</v>
      </c>
      <c r="B146" s="51" t="s">
        <v>566</v>
      </c>
      <c r="C146" s="21" t="s">
        <v>527</v>
      </c>
      <c r="D146" s="104">
        <f>IF(ISERROR(HLOOKUP(J146,$Q$26:$AT$27,2)),0,HLOOKUP(J146,$Q$26:$AT$27,2))</f>
        <v>0</v>
      </c>
      <c r="E146" s="104">
        <f>IF(ISERROR(HLOOKUP(K146,$Q$26:$AT$27,2)),0,HLOOKUP(K146,$Q$26:$AT$27,2))</f>
        <v>0</v>
      </c>
      <c r="F146" s="104">
        <f>IF(ISERROR(HLOOKUP(L146,$Q$26:$AT$27,2)),0,HLOOKUP(L146,$Q$26:$AT$27,2))</f>
        <v>0</v>
      </c>
      <c r="G146" s="396">
        <f t="shared" ref="G146:G151" si="3">SUM($F$30:$F$32)</f>
        <v>0</v>
      </c>
      <c r="H146" s="103">
        <f t="shared" ref="H146:H151" si="4">SUM($F$30:$F$32)+$J$51</f>
        <v>0</v>
      </c>
      <c r="I146" s="103">
        <f t="shared" ref="I146:I151" si="5">SUM($F$30:$F$32)+$J$51+$J$60</f>
        <v>0</v>
      </c>
      <c r="J146" s="21">
        <f t="shared" si="0"/>
        <v>0</v>
      </c>
      <c r="K146" s="21">
        <f t="shared" si="1"/>
        <v>0</v>
      </c>
      <c r="L146" s="21">
        <f t="shared" si="2"/>
        <v>0</v>
      </c>
      <c r="M146" s="21" t="s">
        <v>660</v>
      </c>
      <c r="P146" s="328"/>
      <c r="Q146" s="328"/>
      <c r="AS146" s="5"/>
      <c r="BB146" s="69"/>
      <c r="BC146" s="69"/>
      <c r="BD146" s="69"/>
      <c r="BE146" s="333"/>
      <c r="BF146" s="69"/>
      <c r="BG146" s="69"/>
      <c r="BH146" s="69"/>
      <c r="BI146" s="69"/>
      <c r="BJ146" s="69"/>
      <c r="BK146" s="69"/>
      <c r="BL146" s="69"/>
    </row>
    <row r="147" spans="1:64" ht="12.75" hidden="1" customHeight="1" x14ac:dyDescent="0.15">
      <c r="A147" s="259">
        <v>17</v>
      </c>
      <c r="B147" s="51" t="s">
        <v>567</v>
      </c>
      <c r="C147" s="21" t="s">
        <v>547</v>
      </c>
      <c r="D147" s="104">
        <f>IF(ISERROR(HLOOKUP(J147,$Q$73:$V$74,2)),0,HLOOKUP(J147,$Q$73:$V$74,2))</f>
        <v>0</v>
      </c>
      <c r="E147" s="104">
        <f>IF(ISERROR(HLOOKUP(K147,$Q$73:$V$74,2)),0,HLOOKUP(K147,$Q$73:$V$74,2))</f>
        <v>0</v>
      </c>
      <c r="F147" s="104">
        <f>IF(ISERROR(HLOOKUP(L147,$Q$73:$V$74,2)),0,HLOOKUP(L147,$Q$73:$V$74,2))</f>
        <v>0</v>
      </c>
      <c r="G147" s="396">
        <f t="shared" si="3"/>
        <v>0</v>
      </c>
      <c r="H147" s="103">
        <f t="shared" si="4"/>
        <v>0</v>
      </c>
      <c r="I147" s="103">
        <f t="shared" si="5"/>
        <v>0</v>
      </c>
      <c r="J147" s="21">
        <f t="shared" si="0"/>
        <v>0</v>
      </c>
      <c r="K147" s="21">
        <f t="shared" si="1"/>
        <v>0</v>
      </c>
      <c r="L147" s="21">
        <f t="shared" si="2"/>
        <v>0</v>
      </c>
      <c r="M147" s="21" t="s">
        <v>660</v>
      </c>
      <c r="P147" s="328"/>
      <c r="Q147" s="328"/>
      <c r="AS147" s="5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</row>
    <row r="148" spans="1:64" ht="12.75" hidden="1" customHeight="1" x14ac:dyDescent="0.15">
      <c r="A148" s="259">
        <v>18</v>
      </c>
      <c r="B148" s="51" t="s">
        <v>568</v>
      </c>
      <c r="C148" s="21" t="s">
        <v>527</v>
      </c>
      <c r="D148" s="104">
        <f>IF(ISERROR(HLOOKUP(J148,$Q$32:$AF$33,2)),0,HLOOKUP(J148,$Q$32:$AF$33,2))</f>
        <v>0</v>
      </c>
      <c r="E148" s="104">
        <f>IF(ISERROR(HLOOKUP(K148,$Q$32:$AF$33,2)),0,HLOOKUP(K148,$Q$32:$AF$33,2))</f>
        <v>0</v>
      </c>
      <c r="F148" s="104">
        <f>IF(ISERROR(HLOOKUP(L148,$Q$32:$AF$33,2)),0,HLOOKUP(L148,$Q$32:$AF$33,2))</f>
        <v>0</v>
      </c>
      <c r="G148" s="396">
        <f t="shared" si="3"/>
        <v>0</v>
      </c>
      <c r="H148" s="103">
        <f t="shared" si="4"/>
        <v>0</v>
      </c>
      <c r="I148" s="103">
        <f t="shared" si="5"/>
        <v>0</v>
      </c>
      <c r="J148" s="21">
        <f t="shared" si="0"/>
        <v>0</v>
      </c>
      <c r="K148" s="21">
        <f t="shared" si="1"/>
        <v>0</v>
      </c>
      <c r="L148" s="21">
        <f t="shared" si="2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333"/>
      <c r="BF148" s="69"/>
      <c r="BG148" s="69"/>
      <c r="BH148" s="69"/>
      <c r="BI148" s="69"/>
      <c r="BJ148" s="69"/>
      <c r="BK148" s="69"/>
      <c r="BL148" s="69"/>
    </row>
    <row r="149" spans="1:64" ht="12.75" hidden="1" customHeight="1" x14ac:dyDescent="0.15">
      <c r="A149" s="259">
        <v>19</v>
      </c>
      <c r="B149" s="51" t="s">
        <v>569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 t="shared" si="3"/>
        <v>0</v>
      </c>
      <c r="H149" s="103">
        <f t="shared" si="4"/>
        <v>0</v>
      </c>
      <c r="I149" s="103">
        <f t="shared" si="5"/>
        <v>0</v>
      </c>
      <c r="J149" s="21">
        <f t="shared" si="0"/>
        <v>0</v>
      </c>
      <c r="K149" s="21">
        <f t="shared" si="1"/>
        <v>0</v>
      </c>
      <c r="L149" s="21">
        <f t="shared" si="2"/>
        <v>0</v>
      </c>
      <c r="M149" s="21" t="s">
        <v>660</v>
      </c>
      <c r="P149" s="328"/>
      <c r="Q149" s="328"/>
      <c r="AS149" s="5"/>
      <c r="BB149" s="11"/>
      <c r="BC149" s="5"/>
    </row>
    <row r="150" spans="1:64" ht="12.75" hidden="1" customHeight="1" x14ac:dyDescent="0.15">
      <c r="A150" s="259">
        <v>20</v>
      </c>
      <c r="B150" s="51" t="s">
        <v>570</v>
      </c>
      <c r="C150" s="21" t="s">
        <v>613</v>
      </c>
      <c r="D150" s="104">
        <f t="shared" ref="D150:F151" si="6">IF(ISERROR(HLOOKUP(J150,$Q$39:$Y$40,2)),0,HLOOKUP(J150,$Q$39:$Y$40,2))</f>
        <v>0</v>
      </c>
      <c r="E150" s="104">
        <f t="shared" si="6"/>
        <v>0</v>
      </c>
      <c r="F150" s="104">
        <f t="shared" si="6"/>
        <v>0</v>
      </c>
      <c r="G150" s="396">
        <f t="shared" si="3"/>
        <v>0</v>
      </c>
      <c r="H150" s="103">
        <f t="shared" si="4"/>
        <v>0</v>
      </c>
      <c r="I150" s="103">
        <f t="shared" si="5"/>
        <v>0</v>
      </c>
      <c r="J150" s="21">
        <f t="shared" si="0"/>
        <v>0</v>
      </c>
      <c r="K150" s="21">
        <f t="shared" si="1"/>
        <v>0</v>
      </c>
      <c r="L150" s="21">
        <f t="shared" si="2"/>
        <v>0</v>
      </c>
      <c r="M150" s="21" t="s">
        <v>660</v>
      </c>
      <c r="P150" s="328"/>
      <c r="Q150" s="328"/>
      <c r="AS150" s="5"/>
      <c r="BB150" s="11"/>
      <c r="BC150" s="5"/>
    </row>
    <row r="151" spans="1:64" ht="12.75" hidden="1" customHeight="1" x14ac:dyDescent="0.15">
      <c r="A151" s="259">
        <v>21</v>
      </c>
      <c r="B151" s="51" t="s">
        <v>571</v>
      </c>
      <c r="C151" s="21" t="s">
        <v>613</v>
      </c>
      <c r="D151" s="104">
        <f t="shared" si="6"/>
        <v>0</v>
      </c>
      <c r="E151" s="104">
        <f t="shared" si="6"/>
        <v>0</v>
      </c>
      <c r="F151" s="104">
        <f t="shared" si="6"/>
        <v>0</v>
      </c>
      <c r="G151" s="396">
        <f t="shared" si="3"/>
        <v>0</v>
      </c>
      <c r="H151" s="103">
        <f t="shared" si="4"/>
        <v>0</v>
      </c>
      <c r="I151" s="103">
        <f t="shared" si="5"/>
        <v>0</v>
      </c>
      <c r="J151" s="21">
        <f t="shared" si="0"/>
        <v>0</v>
      </c>
      <c r="K151" s="21">
        <f t="shared" si="1"/>
        <v>0</v>
      </c>
      <c r="L151" s="21">
        <f t="shared" si="2"/>
        <v>0</v>
      </c>
      <c r="M151" s="21" t="s">
        <v>660</v>
      </c>
      <c r="P151" s="328"/>
      <c r="Q151" s="328"/>
      <c r="AS151" s="5"/>
      <c r="BB151" s="11"/>
      <c r="BC151" s="5"/>
    </row>
    <row r="152" spans="1:64" ht="12.75" hidden="1" customHeight="1" x14ac:dyDescent="0.15">
      <c r="A152" s="259">
        <v>22</v>
      </c>
      <c r="B152" s="51" t="s">
        <v>572</v>
      </c>
      <c r="C152" s="21"/>
      <c r="D152" s="334"/>
      <c r="E152" s="335"/>
      <c r="F152" s="336"/>
      <c r="G152" s="397"/>
      <c r="H152" s="51"/>
      <c r="M152" s="21" t="s">
        <v>660</v>
      </c>
      <c r="P152" s="328"/>
      <c r="Q152" s="328"/>
      <c r="AS152" s="5"/>
      <c r="BB152" s="11"/>
      <c r="BC152" s="5"/>
    </row>
    <row r="153" spans="1:64" ht="12.75" hidden="1" customHeight="1" x14ac:dyDescent="0.15">
      <c r="A153" s="259">
        <v>23</v>
      </c>
      <c r="B153" s="51" t="s">
        <v>573</v>
      </c>
      <c r="C153" s="21"/>
      <c r="D153" s="334"/>
      <c r="E153" s="335"/>
      <c r="F153" s="336"/>
      <c r="G153" s="397"/>
      <c r="H153" s="51"/>
      <c r="M153" s="21" t="s">
        <v>660</v>
      </c>
      <c r="P153" s="328"/>
      <c r="Q153" s="328"/>
      <c r="AS153" s="5"/>
    </row>
    <row r="154" spans="1:64" ht="12.75" hidden="1" customHeight="1" x14ac:dyDescent="0.15">
      <c r="A154" s="259">
        <v>24</v>
      </c>
      <c r="B154" s="51" t="s">
        <v>574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ref="J154:J185" si="7">ROUNDDOWN(G154/365,0)</f>
        <v>0</v>
      </c>
      <c r="K154" s="21">
        <f t="shared" ref="K154:K185" si="8">ROUNDDOWN(H154/365,0)</f>
        <v>0</v>
      </c>
      <c r="L154" s="21">
        <f t="shared" ref="L154:L185" si="9">ROUNDDOWN(I154/365,0)</f>
        <v>0</v>
      </c>
      <c r="M154" s="21" t="s">
        <v>660</v>
      </c>
      <c r="P154" s="328"/>
      <c r="Q154" s="328"/>
      <c r="AS154" s="5"/>
    </row>
    <row r="155" spans="1:64" ht="12.75" hidden="1" customHeight="1" x14ac:dyDescent="0.15">
      <c r="A155" s="259">
        <v>25</v>
      </c>
      <c r="B155" s="51" t="s">
        <v>580</v>
      </c>
      <c r="C155" s="21" t="s">
        <v>527</v>
      </c>
      <c r="D155" s="104">
        <f>IF(ISERROR(HLOOKUP(J155,$Q$29:$AT$30,2)),0,HLOOKUP(J155,$Q$29:$AT$30,2))</f>
        <v>0</v>
      </c>
      <c r="E155" s="104">
        <f>IF(ISERROR(HLOOKUP(K155,$Q$29:$AT$30,2)),0,HLOOKUP(K155,$Q$29:$AT$30,2))</f>
        <v>0</v>
      </c>
      <c r="F155" s="104">
        <f>IF(ISERROR(HLOOKUP(L155,$Q$29:$AT$30,2)),0,HLOOKUP(L155,$Q$29:$AT$30,2))</f>
        <v>0</v>
      </c>
      <c r="G155" s="396">
        <f>SUM($F$30:$F$32)</f>
        <v>0</v>
      </c>
      <c r="H155" s="103">
        <f>SUM($F$30:$F$32)+$J$51</f>
        <v>0</v>
      </c>
      <c r="I155" s="103">
        <f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</row>
    <row r="156" spans="1:64" ht="12.75" hidden="1" customHeight="1" x14ac:dyDescent="0.15">
      <c r="A156" s="259">
        <v>26</v>
      </c>
      <c r="B156" s="51" t="s">
        <v>581</v>
      </c>
      <c r="C156" s="21" t="s">
        <v>547</v>
      </c>
      <c r="D156" s="104">
        <f>IF(ISERROR(HLOOKUP(J156,$Q$73:$W$74,2)),0,HLOOKUP(J156,$Q$73:$W$74,2))</f>
        <v>0</v>
      </c>
      <c r="E156" s="104">
        <f>IF(ISERROR(HLOOKUP(K156,$Q$73:$W$74,2)),0,HLOOKUP(K156,$Q$73:$W$74,2))</f>
        <v>0</v>
      </c>
      <c r="F156" s="104">
        <f>IF(ISERROR(HLOOKUP(L156,$Q$73:$W$74,2)),0,HLOOKUP(L156,$Q$73:$W$74,2))</f>
        <v>0</v>
      </c>
      <c r="G156" s="396">
        <f>SUM($F$27:$F$32)</f>
        <v>0</v>
      </c>
      <c r="H156" s="103">
        <f>SUM($F$27:$F$32)+$J$51</f>
        <v>0</v>
      </c>
      <c r="I156" s="103">
        <f>SUM($F$27:$F$32)+$J$51+$J$60</f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</row>
    <row r="157" spans="1:64" ht="12.75" hidden="1" customHeight="1" x14ac:dyDescent="0.15">
      <c r="A157" s="259" t="s">
        <v>582</v>
      </c>
      <c r="B157" s="51" t="s">
        <v>684</v>
      </c>
      <c r="C157" s="21" t="s">
        <v>547</v>
      </c>
      <c r="D157" s="104">
        <f>IF(ISERROR(HLOOKUP(J157,$Q$73:$V$74,2)),0,HLOOKUP(J157,$Q$73:$V$74,2))</f>
        <v>0</v>
      </c>
      <c r="E157" s="104">
        <f>IF(ISERROR(HLOOKUP(K157,$Q$73:$V$74,2)),0,HLOOKUP(K157,$Q$73:$V$74,2))</f>
        <v>0</v>
      </c>
      <c r="F157" s="104">
        <f>IF(ISERROR(HLOOKUP(L157,$Q$73:$V$74,2)),0,HLOOKUP(L157,$Q$73:$V$74,2))</f>
        <v>0</v>
      </c>
      <c r="G157" s="396">
        <f>SUM($F$27:$F$32)</f>
        <v>0</v>
      </c>
      <c r="H157" s="103">
        <f>SUM($F$27:$F$32)+$J$51</f>
        <v>0</v>
      </c>
      <c r="I157" s="103">
        <f>SUM($F$27:$F$32)+$J$51+$J$60</f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27</v>
      </c>
      <c r="B158" s="51" t="s">
        <v>583</v>
      </c>
      <c r="C158" s="21" t="s">
        <v>613</v>
      </c>
      <c r="D158" s="104">
        <f>IF(ISERROR(HLOOKUP(J158,$Q$48:$Z$49,2)),0,HLOOKUP(J158,$Q$48:$Z$49,2))</f>
        <v>0</v>
      </c>
      <c r="E158" s="104">
        <f>IF(ISERROR(HLOOKUP(K158,$Q$48:$Z$49,2)),0,HLOOKUP(K158,$Q$48:$Z$49,2))</f>
        <v>0</v>
      </c>
      <c r="F158" s="104">
        <f>IF(ISERROR(HLOOKUP(L158,$Q$48:$Z$49,2)),0,HLOOKUP(L158,$Q$48:$Z$49,2))</f>
        <v>0</v>
      </c>
      <c r="G158" s="396">
        <f t="shared" ref="G158:G165" si="10">SUM($F$30:$F$32)</f>
        <v>0</v>
      </c>
      <c r="H158" s="103">
        <f t="shared" ref="H158:H165" si="11">SUM($F$30:$F$32)+$J$51</f>
        <v>0</v>
      </c>
      <c r="I158" s="103">
        <f t="shared" ref="I158:I165" si="12">SUM($F$30:$F$32)+$J$51+$J$60</f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28</v>
      </c>
      <c r="B159" s="51" t="s">
        <v>584</v>
      </c>
      <c r="C159" s="21" t="s">
        <v>547</v>
      </c>
      <c r="D159" s="104">
        <f>IF(ISERROR(HLOOKUP(J159,$Q$73:$W$74,2)),0,HLOOKUP(J159,$Q$73:$W$74,2))</f>
        <v>0</v>
      </c>
      <c r="E159" s="104">
        <f>IF(ISERROR(HLOOKUP(K159,$Q$73:$W$74,2)),0,HLOOKUP(K159,$Q$73:$W$74,2))</f>
        <v>0</v>
      </c>
      <c r="F159" s="104">
        <f>IF(ISERROR(HLOOKUP(L159,$Q$73:$W$74,2)),0,HLOOKUP(L159,$Q$73:$W$74,2))</f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29</v>
      </c>
      <c r="B160" s="51" t="s">
        <v>585</v>
      </c>
      <c r="C160" s="21" t="s">
        <v>613</v>
      </c>
      <c r="D160" s="104">
        <f>IF(ISERROR(HLOOKUP(J160,$Q$48:$V$49,2)),0,HLOOKUP(J160,$Q$48:$V$49,2))</f>
        <v>0</v>
      </c>
      <c r="E160" s="104">
        <f>IF(ISERROR(HLOOKUP(K160,$Q$48:$V$49,2)),0,HLOOKUP(K160,$Q$48:$V$49,2))</f>
        <v>0</v>
      </c>
      <c r="F160" s="104">
        <f>IF(ISERROR(HLOOKUP(L160,$Q$48:$V$49,2)),0,HLOOKUP(L160,$Q$48:$V$49,2))</f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</row>
    <row r="161" spans="1:45" ht="13.5" hidden="1" customHeight="1" x14ac:dyDescent="0.15">
      <c r="A161" s="259">
        <v>30</v>
      </c>
      <c r="B161" s="51" t="s">
        <v>586</v>
      </c>
      <c r="C161" s="21" t="s">
        <v>613</v>
      </c>
      <c r="D161" s="104">
        <f>IF(ISERROR(HLOOKUP(J161,$Q$48:$AA$49,2)),0,HLOOKUP(J161,$Q$48:$AA$49,2))</f>
        <v>0</v>
      </c>
      <c r="E161" s="104">
        <f>IF(ISERROR(HLOOKUP(K161,$Q$48:$AA$49,2)),0,HLOOKUP(K161,$Q$48:$AA$49,2))</f>
        <v>0</v>
      </c>
      <c r="F161" s="104">
        <f>IF(ISERROR(HLOOKUP(L161,$Q$48:$AA$49,2)),0,HLOOKUP(L161,$Q$48:$AA$49,2))</f>
        <v>0</v>
      </c>
      <c r="G161" s="396">
        <f t="shared" si="10"/>
        <v>0</v>
      </c>
      <c r="H161" s="103">
        <f t="shared" si="11"/>
        <v>0</v>
      </c>
      <c r="I161" s="103">
        <f t="shared" si="12"/>
        <v>0</v>
      </c>
      <c r="J161" s="21">
        <f t="shared" si="7"/>
        <v>0</v>
      </c>
      <c r="K161" s="21">
        <f t="shared" si="8"/>
        <v>0</v>
      </c>
      <c r="L161" s="21">
        <f t="shared" si="9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 t="s">
        <v>587</v>
      </c>
      <c r="B162" s="51" t="s">
        <v>685</v>
      </c>
      <c r="C162" s="21" t="s">
        <v>547</v>
      </c>
      <c r="D162" s="104">
        <f>IF(ISERROR(HLOOKUP(J162,$Q$73:$X$74,2)),0,HLOOKUP(J162,$Q$73:$X$74,2))</f>
        <v>0</v>
      </c>
      <c r="E162" s="104">
        <f>IF(ISERROR(HLOOKUP(K162,$Q$73:$X$74,2)),0,HLOOKUP(K162,$Q$73:$X$74,2))</f>
        <v>0</v>
      </c>
      <c r="F162" s="104">
        <f>IF(ISERROR(HLOOKUP(L162,$Q$73:$X$74,2)),0,HLOOKUP(L162,$Q$73:$X$74,2))</f>
        <v>0</v>
      </c>
      <c r="G162" s="396">
        <f t="shared" si="10"/>
        <v>0</v>
      </c>
      <c r="H162" s="103">
        <f t="shared" si="11"/>
        <v>0</v>
      </c>
      <c r="I162" s="103">
        <f t="shared" si="12"/>
        <v>0</v>
      </c>
      <c r="J162" s="21">
        <f t="shared" si="7"/>
        <v>0</v>
      </c>
      <c r="K162" s="21">
        <f t="shared" si="8"/>
        <v>0</v>
      </c>
      <c r="L162" s="21">
        <f t="shared" si="9"/>
        <v>0</v>
      </c>
      <c r="M162" s="21" t="s">
        <v>660</v>
      </c>
      <c r="P162" s="328"/>
      <c r="Q162" s="328"/>
      <c r="AS162" s="116"/>
    </row>
    <row r="163" spans="1:45" ht="12.75" hidden="1" customHeight="1" x14ac:dyDescent="0.15">
      <c r="A163" s="259">
        <v>31</v>
      </c>
      <c r="B163" s="51" t="s">
        <v>588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 t="shared" si="10"/>
        <v>0</v>
      </c>
      <c r="H163" s="103">
        <f t="shared" si="11"/>
        <v>0</v>
      </c>
      <c r="I163" s="103">
        <f t="shared" si="12"/>
        <v>0</v>
      </c>
      <c r="J163" s="21">
        <f t="shared" si="7"/>
        <v>0</v>
      </c>
      <c r="K163" s="21">
        <f t="shared" si="8"/>
        <v>0</v>
      </c>
      <c r="L163" s="21">
        <f t="shared" si="9"/>
        <v>0</v>
      </c>
      <c r="M163" s="21" t="s">
        <v>660</v>
      </c>
      <c r="P163" s="328"/>
      <c r="Q163" s="328"/>
      <c r="AS163" s="69"/>
    </row>
    <row r="164" spans="1:45" ht="12.75" hidden="1" customHeight="1" x14ac:dyDescent="0.15">
      <c r="A164" s="259">
        <v>32</v>
      </c>
      <c r="B164" s="338" t="s">
        <v>617</v>
      </c>
      <c r="C164" s="21" t="s">
        <v>613</v>
      </c>
      <c r="D164" s="104">
        <f>IF(ISERROR(HLOOKUP(J164,$Q$42:$AA$43,2)),0,HLOOKUP(J164,$Q$42:$AA$43,2))</f>
        <v>0</v>
      </c>
      <c r="E164" s="104">
        <f>IF(ISERROR(HLOOKUP(K164,$Q$42:$AA$43,2)),0,HLOOKUP(K164,$Q$42:$AA$43,2))</f>
        <v>0</v>
      </c>
      <c r="F164" s="104">
        <f>IF(ISERROR(HLOOKUP(L164,$Q$42:$AA$43,2)),0,HLOOKUP(L164,$Q$42:$AA$43,2))</f>
        <v>0</v>
      </c>
      <c r="G164" s="396">
        <f t="shared" si="10"/>
        <v>0</v>
      </c>
      <c r="H164" s="103">
        <f t="shared" si="11"/>
        <v>0</v>
      </c>
      <c r="I164" s="103">
        <f t="shared" si="12"/>
        <v>0</v>
      </c>
      <c r="J164" s="21">
        <f t="shared" si="7"/>
        <v>0</v>
      </c>
      <c r="K164" s="21">
        <f t="shared" si="8"/>
        <v>0</v>
      </c>
      <c r="L164" s="21">
        <f t="shared" si="9"/>
        <v>0</v>
      </c>
      <c r="M164" s="78" t="s">
        <v>661</v>
      </c>
      <c r="P164" s="44"/>
      <c r="Q164" s="44"/>
      <c r="AS164" s="69"/>
    </row>
    <row r="165" spans="1:45" ht="12.75" hidden="1" customHeight="1" x14ac:dyDescent="0.15">
      <c r="A165" s="259">
        <v>33</v>
      </c>
      <c r="B165" s="338" t="s">
        <v>618</v>
      </c>
      <c r="C165" s="21" t="s">
        <v>613</v>
      </c>
      <c r="D165" s="104">
        <f>IF(ISERROR(HLOOKUP(J165,$Q$39:$AA$40,2)),0,HLOOKUP(J165,$Q$39:$AA$40,2))</f>
        <v>0</v>
      </c>
      <c r="E165" s="104">
        <f>IF(ISERROR(HLOOKUP(K165,$Q$39:$AA$40,2)),0,HLOOKUP(K165,$Q$39:$AA$40,2))</f>
        <v>0</v>
      </c>
      <c r="F165" s="104">
        <f>IF(ISERROR(HLOOKUP(L165,$Q$39:$AA$40,2)),0,HLOOKUP(L165,$Q$39:$AA$40,2))</f>
        <v>0</v>
      </c>
      <c r="G165" s="396">
        <f t="shared" si="10"/>
        <v>0</v>
      </c>
      <c r="H165" s="103">
        <f t="shared" si="11"/>
        <v>0</v>
      </c>
      <c r="I165" s="103">
        <f t="shared" si="12"/>
        <v>0</v>
      </c>
      <c r="J165" s="21">
        <f t="shared" si="7"/>
        <v>0</v>
      </c>
      <c r="K165" s="21">
        <f t="shared" si="8"/>
        <v>0</v>
      </c>
      <c r="L165" s="21">
        <f t="shared" si="9"/>
        <v>0</v>
      </c>
      <c r="M165" s="78" t="s">
        <v>661</v>
      </c>
      <c r="P165" s="44"/>
      <c r="Q165" s="44"/>
      <c r="AS165" s="69"/>
    </row>
    <row r="166" spans="1:45" ht="12.75" hidden="1" customHeight="1" x14ac:dyDescent="0.15">
      <c r="A166" s="259">
        <v>34</v>
      </c>
      <c r="B166" s="338" t="s">
        <v>619</v>
      </c>
      <c r="C166" s="21" t="s">
        <v>527</v>
      </c>
      <c r="D166" s="104">
        <f>IF(ISERROR(HLOOKUP(J166,$Q$26:$AY$27,2)),0,HLOOKUP(J166,$Q$26:$AY$27,2))</f>
        <v>0</v>
      </c>
      <c r="E166" s="104">
        <f>IF(ISERROR(HLOOKUP(K166,$Q$26:$AY$27,2)),0,HLOOKUP(K166,$Q$26:$AY$27,2))</f>
        <v>0</v>
      </c>
      <c r="F166" s="104">
        <f>IF(ISERROR(HLOOKUP(L166,$Q$26:$AY$27,2)),0,HLOOKUP(L166,$Q$26:$AY$27,2))</f>
        <v>0</v>
      </c>
      <c r="G166" s="396">
        <f>SUM($F$27:$F$33)</f>
        <v>0</v>
      </c>
      <c r="H166" s="103">
        <f>SUM($F$27:$F$33)+$J$51</f>
        <v>0</v>
      </c>
      <c r="I166" s="103">
        <f>SUM($F$27:$F$33)+$J$51+$J$60</f>
        <v>0</v>
      </c>
      <c r="J166" s="21">
        <f t="shared" si="7"/>
        <v>0</v>
      </c>
      <c r="K166" s="21">
        <f t="shared" si="8"/>
        <v>0</v>
      </c>
      <c r="L166" s="21">
        <f t="shared" si="9"/>
        <v>0</v>
      </c>
      <c r="M166" s="78" t="s">
        <v>661</v>
      </c>
      <c r="P166" s="44"/>
      <c r="Q166" s="44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</row>
    <row r="167" spans="1:45" ht="12.75" hidden="1" customHeight="1" x14ac:dyDescent="0.15">
      <c r="A167" s="259">
        <v>35</v>
      </c>
      <c r="B167" s="338" t="s">
        <v>620</v>
      </c>
      <c r="C167" s="21" t="s">
        <v>613</v>
      </c>
      <c r="D167" s="104">
        <f>IF(ISERROR(HLOOKUP(J167,$Q$39:$AB$40,2)),0,HLOOKUP(J167,$Q$39:$AB$40,2))</f>
        <v>0</v>
      </c>
      <c r="E167" s="104">
        <f>IF(ISERROR(HLOOKUP(K167,$Q$39:$AB$40,2)),0,HLOOKUP(K167,$Q$39:$AB$40,2))</f>
        <v>0</v>
      </c>
      <c r="F167" s="104">
        <f>IF(ISERROR(HLOOKUP(L167,$Q$39:$AB$40,2)),0,HLOOKUP(L167,$Q$39:$AB$40,2))</f>
        <v>0</v>
      </c>
      <c r="G167" s="396">
        <f>SUM($F$27:$F$32)</f>
        <v>0</v>
      </c>
      <c r="H167" s="103">
        <f>SUM($F$27:$F$32)+$J$51</f>
        <v>0</v>
      </c>
      <c r="I167" s="103">
        <f>SUM($F$27:$F$32)+$J$51+$J$60</f>
        <v>0</v>
      </c>
      <c r="J167" s="21">
        <f t="shared" si="7"/>
        <v>0</v>
      </c>
      <c r="K167" s="21">
        <f t="shared" si="8"/>
        <v>0</v>
      </c>
      <c r="L167" s="21">
        <f t="shared" si="9"/>
        <v>0</v>
      </c>
      <c r="M167" s="78" t="s">
        <v>661</v>
      </c>
      <c r="P167" s="44"/>
      <c r="Q167" s="44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</row>
    <row r="168" spans="1:45" ht="12.75" hidden="1" customHeight="1" x14ac:dyDescent="0.15">
      <c r="A168" s="259">
        <v>36</v>
      </c>
      <c r="B168" s="339" t="s">
        <v>621</v>
      </c>
      <c r="C168" s="21" t="s">
        <v>613</v>
      </c>
      <c r="D168" s="104">
        <f>IF(ISERROR(HLOOKUP(J168,$Q$39:$AA$40,2)),0,HLOOKUP(J168,$Q$39:$AA$40,2))</f>
        <v>0</v>
      </c>
      <c r="E168" s="104">
        <f>IF(ISERROR(HLOOKUP(K168,$Q$39:$AA$40,2)),0,HLOOKUP(K168,$Q$39:$AA$40,2))</f>
        <v>0</v>
      </c>
      <c r="F168" s="104">
        <f>IF(ISERROR(HLOOKUP(L168,$Q$39:$AA$40,2)),0,HLOOKUP(L168,$Q$39:$AA$40,2))</f>
        <v>0</v>
      </c>
      <c r="G168" s="396">
        <f>SUM($F$30:$F$32)</f>
        <v>0</v>
      </c>
      <c r="H168" s="103">
        <f>SUM($F$30:$F$32)+$J$51</f>
        <v>0</v>
      </c>
      <c r="I168" s="103">
        <f>SUM($F$30:$F$32)+$J$51+$J$60</f>
        <v>0</v>
      </c>
      <c r="J168" s="21">
        <f t="shared" si="7"/>
        <v>0</v>
      </c>
      <c r="K168" s="21">
        <f t="shared" si="8"/>
        <v>0</v>
      </c>
      <c r="L168" s="21">
        <f t="shared" si="9"/>
        <v>0</v>
      </c>
      <c r="M168" s="78" t="s">
        <v>661</v>
      </c>
      <c r="P168" s="44"/>
      <c r="Q168" s="44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</row>
    <row r="169" spans="1:45" ht="12.75" hidden="1" customHeight="1" x14ac:dyDescent="0.15">
      <c r="A169" s="259">
        <v>37</v>
      </c>
      <c r="B169" s="340" t="s">
        <v>622</v>
      </c>
      <c r="C169" s="21" t="s">
        <v>547</v>
      </c>
      <c r="D169" s="104">
        <f t="shared" ref="D169:F170" si="13">IF(ISERROR(HLOOKUP(J169,$Q$73:$AB$74,2)),0,HLOOKUP(J169,$Q$73:$AB$74,2))</f>
        <v>0</v>
      </c>
      <c r="E169" s="104">
        <f t="shared" si="13"/>
        <v>0</v>
      </c>
      <c r="F169" s="104">
        <f t="shared" si="13"/>
        <v>0</v>
      </c>
      <c r="G169" s="396">
        <f>SUM($F$27:$F$32)</f>
        <v>0</v>
      </c>
      <c r="H169" s="103">
        <f>SUM($F$27:$F$32)+$J$51</f>
        <v>0</v>
      </c>
      <c r="I169" s="103">
        <f>SUM($F$27:$F$32)+$J$51+$J$60</f>
        <v>0</v>
      </c>
      <c r="J169" s="21">
        <f t="shared" si="7"/>
        <v>0</v>
      </c>
      <c r="K169" s="21">
        <f t="shared" si="8"/>
        <v>0</v>
      </c>
      <c r="L169" s="21">
        <f t="shared" si="9"/>
        <v>0</v>
      </c>
      <c r="M169" s="78" t="s">
        <v>661</v>
      </c>
      <c r="P169" s="44"/>
      <c r="Q169" s="44"/>
      <c r="AH169" s="69"/>
      <c r="AI169" s="116"/>
      <c r="AJ169" s="116"/>
      <c r="AK169" s="116"/>
      <c r="AL169" s="69"/>
      <c r="AM169" s="69"/>
      <c r="AN169" s="69"/>
      <c r="AO169" s="69"/>
      <c r="AP169" s="69"/>
      <c r="AQ169" s="69"/>
      <c r="AR169" s="69"/>
      <c r="AS169" s="69"/>
    </row>
    <row r="170" spans="1:45" ht="12.75" hidden="1" customHeight="1" x14ac:dyDescent="0.15">
      <c r="A170" s="259">
        <v>38</v>
      </c>
      <c r="B170" s="340" t="s">
        <v>623</v>
      </c>
      <c r="C170" s="21" t="s">
        <v>547</v>
      </c>
      <c r="D170" s="104">
        <f t="shared" si="13"/>
        <v>0</v>
      </c>
      <c r="E170" s="104">
        <f t="shared" si="13"/>
        <v>0</v>
      </c>
      <c r="F170" s="104">
        <f t="shared" si="13"/>
        <v>0</v>
      </c>
      <c r="G170" s="396">
        <f>SUM($F$30:$F$32)</f>
        <v>0</v>
      </c>
      <c r="H170" s="103">
        <f>SUM($F$30:$F$32)+$J$51</f>
        <v>0</v>
      </c>
      <c r="I170" s="103">
        <f>SUM($F$30:$F$32)+$J$51+$J$60</f>
        <v>0</v>
      </c>
      <c r="J170" s="21">
        <f t="shared" si="7"/>
        <v>0</v>
      </c>
      <c r="K170" s="21">
        <f t="shared" si="8"/>
        <v>0</v>
      </c>
      <c r="L170" s="21">
        <f t="shared" si="9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thickBot="1" x14ac:dyDescent="0.2">
      <c r="A171" s="259">
        <v>39</v>
      </c>
      <c r="B171" s="340" t="s">
        <v>624</v>
      </c>
      <c r="C171" s="21" t="s">
        <v>613</v>
      </c>
      <c r="D171" s="104">
        <f>IF(ISERROR(HLOOKUP(J171,$Q$48:$Y$49,2)),0,HLOOKUP(J171,$Q$48:$Y$49,2))</f>
        <v>0</v>
      </c>
      <c r="E171" s="104">
        <f>IF(ISERROR(HLOOKUP(K171,$Q$48:$Y$49,2)),0,HLOOKUP(K171,$Q$48:$Y$49,2))</f>
        <v>0</v>
      </c>
      <c r="F171" s="104">
        <f>IF(ISERROR(HLOOKUP(L171,$Q$48:$Y$49,2)),0,HLOOKUP(L171,$Q$48:$Y$49,2))</f>
        <v>0</v>
      </c>
      <c r="G171" s="396">
        <f>SUM($F$30:$F$32)</f>
        <v>0</v>
      </c>
      <c r="H171" s="103">
        <f>SUM($F$30:$F$32)+$J$51</f>
        <v>0</v>
      </c>
      <c r="I171" s="103">
        <f>SUM($F$30:$F$32)+$J$51+$J$60</f>
        <v>0</v>
      </c>
      <c r="J171" s="21">
        <f t="shared" si="7"/>
        <v>0</v>
      </c>
      <c r="K171" s="21">
        <f t="shared" si="8"/>
        <v>0</v>
      </c>
      <c r="L171" s="21">
        <f t="shared" si="9"/>
        <v>0</v>
      </c>
      <c r="M171" s="78" t="s">
        <v>661</v>
      </c>
      <c r="P171" s="44"/>
      <c r="Q171" s="44"/>
    </row>
    <row r="172" spans="1:45" ht="12.75" hidden="1" customHeight="1" x14ac:dyDescent="0.15">
      <c r="A172" s="259">
        <v>40</v>
      </c>
      <c r="B172" s="340" t="s">
        <v>625</v>
      </c>
      <c r="C172" s="21" t="s">
        <v>613</v>
      </c>
      <c r="D172" s="104">
        <f>IF(ISERROR(HLOOKUP(J172,$Q$48:$AA$49,2)),0,HLOOKUP(J172,$Q$48:$AA$49,2))</f>
        <v>0</v>
      </c>
      <c r="E172" s="104">
        <f>IF(ISERROR(HLOOKUP(K172,$Q$48:$AA$49,2)),0,HLOOKUP(K172,$Q$48:$AA$49,2))</f>
        <v>0</v>
      </c>
      <c r="F172" s="104">
        <f>IF(ISERROR(HLOOKUP(L172,$Q$48:$AA$49,2)),0,HLOOKUP(L172,$Q$48:$AA$49,2))</f>
        <v>0</v>
      </c>
      <c r="G172" s="396">
        <f>SUM($F$27:$F$32)</f>
        <v>0</v>
      </c>
      <c r="H172" s="103">
        <f>SUM($F$27:$F$32)+$J$51</f>
        <v>0</v>
      </c>
      <c r="I172" s="103">
        <f>SUM($F$27:$F$32)+$J$51+$J$60</f>
        <v>0</v>
      </c>
      <c r="J172" s="21">
        <f t="shared" si="7"/>
        <v>0</v>
      </c>
      <c r="K172" s="21">
        <f t="shared" si="8"/>
        <v>0</v>
      </c>
      <c r="L172" s="21">
        <f t="shared" si="9"/>
        <v>0</v>
      </c>
      <c r="M172" s="78" t="s">
        <v>661</v>
      </c>
      <c r="N172" s="341" t="s">
        <v>613</v>
      </c>
      <c r="O172" s="256">
        <f>IF(ISERROR(HLOOKUP(J173,$Q$63:$AA$64,2)),0,HLOOKUP(J173,$Q$63:$AA$64,2))</f>
        <v>0</v>
      </c>
      <c r="P172" s="144">
        <f>IF(ISERROR(HLOOKUP(K173,$Q$63:$AA$64,2)),0,HLOOKUP(K173,$Q$63:$AA$64,2))</f>
        <v>0</v>
      </c>
      <c r="Q172" s="144">
        <f>IF(ISERROR(HLOOKUP(L173,$Q$63:$AA$64,2)),0,HLOOKUP(L173,$Q$63:$AA$64,2))</f>
        <v>0</v>
      </c>
      <c r="R172" s="342" t="s">
        <v>695</v>
      </c>
    </row>
    <row r="173" spans="1:45" ht="12.75" hidden="1" customHeight="1" thickBot="1" x14ac:dyDescent="0.2">
      <c r="A173" s="259">
        <v>41</v>
      </c>
      <c r="B173" s="340" t="s">
        <v>626</v>
      </c>
      <c r="C173" s="21" t="str">
        <f>IF($N$8&gt;=$R$173,$P$20,$P$19)</f>
        <v>TRIÊNIO</v>
      </c>
      <c r="D173" s="343">
        <f>IF($C$173=$N$172,$O$172,$O$173)</f>
        <v>0</v>
      </c>
      <c r="E173" s="343">
        <f>IF($C$173=$N$172,$P$172,$P$173)</f>
        <v>0</v>
      </c>
      <c r="F173" s="343">
        <f>IF($C$173=$N$172,$Q$172,$Q$173)</f>
        <v>0</v>
      </c>
      <c r="G173" s="396">
        <f>SUM($F$30:$F$32)</f>
        <v>0</v>
      </c>
      <c r="H173" s="103">
        <f>SUM($F$30:$F$32)+$J$51</f>
        <v>0</v>
      </c>
      <c r="I173" s="103">
        <f>SUM($F$30:$F$32)+$J$51+$J$60</f>
        <v>0</v>
      </c>
      <c r="J173" s="21">
        <f t="shared" si="7"/>
        <v>0</v>
      </c>
      <c r="K173" s="21">
        <f t="shared" si="8"/>
        <v>0</v>
      </c>
      <c r="L173" s="21">
        <f t="shared" si="9"/>
        <v>0</v>
      </c>
      <c r="M173" s="78" t="s">
        <v>661</v>
      </c>
      <c r="N173" s="344" t="s">
        <v>547</v>
      </c>
      <c r="O173" s="257">
        <f>IF(ISERROR(HLOOKUP(J173,$Q$73:$W$74,2)),0,HLOOKUP(J173,$Q$73:$W$74,2))</f>
        <v>0</v>
      </c>
      <c r="P173" s="145">
        <f>IF(ISERROR(HLOOKUP(K173,$Q$73:$W$74,2)),0,HLOOKUP(K173,$Q$73:$W$74,2))</f>
        <v>0</v>
      </c>
      <c r="Q173" s="145">
        <f>IF(ISERROR(HLOOKUP(L173,$Q$73:$W$74,2)),0,HLOOKUP(L173,$Q$73:$W$74,2))</f>
        <v>0</v>
      </c>
      <c r="R173" s="398">
        <v>36539</v>
      </c>
      <c r="S173" s="103"/>
      <c r="T173" s="103"/>
    </row>
    <row r="174" spans="1:45" ht="12.75" hidden="1" customHeight="1" x14ac:dyDescent="0.15">
      <c r="A174" s="259">
        <v>42</v>
      </c>
      <c r="B174" s="340" t="s">
        <v>627</v>
      </c>
      <c r="C174" s="21"/>
      <c r="D174" s="54"/>
      <c r="E174" s="54"/>
      <c r="F174" s="54"/>
      <c r="G174" s="396">
        <f>SUM($F$27:$F$32)</f>
        <v>0</v>
      </c>
      <c r="H174" s="103">
        <f>SUM($F$27:$F$32)+$J$51</f>
        <v>0</v>
      </c>
      <c r="I174" s="103">
        <f>SUM($F$27:$F$32)+$J$51+$J$60</f>
        <v>0</v>
      </c>
      <c r="J174" s="21">
        <f t="shared" si="7"/>
        <v>0</v>
      </c>
      <c r="K174" s="21">
        <f t="shared" si="8"/>
        <v>0</v>
      </c>
      <c r="L174" s="21">
        <f t="shared" si="9"/>
        <v>0</v>
      </c>
      <c r="M174" s="78" t="s">
        <v>661</v>
      </c>
      <c r="P174" s="44"/>
      <c r="Q174" s="44"/>
    </row>
    <row r="175" spans="1:45" ht="12.75" hidden="1" customHeight="1" x14ac:dyDescent="0.15">
      <c r="A175" s="259">
        <v>43</v>
      </c>
      <c r="B175" s="340" t="s">
        <v>628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7"/>
        <v>0</v>
      </c>
      <c r="K175" s="21">
        <f t="shared" si="8"/>
        <v>0</v>
      </c>
      <c r="L175" s="21">
        <f t="shared" si="9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44</v>
      </c>
      <c r="B176" s="340" t="s">
        <v>629</v>
      </c>
      <c r="C176" s="21" t="s">
        <v>547</v>
      </c>
      <c r="D176" s="104">
        <f t="shared" ref="D176:F177" si="14">IF(ISERROR(HLOOKUP(J176,$Q$73:$W$74,2)),0,HLOOKUP(J176,$Q$73:$W$74,2))</f>
        <v>0</v>
      </c>
      <c r="E176" s="104">
        <f t="shared" si="14"/>
        <v>0</v>
      </c>
      <c r="F176" s="104">
        <f t="shared" si="14"/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7"/>
        <v>0</v>
      </c>
      <c r="K176" s="21">
        <f t="shared" si="8"/>
        <v>0</v>
      </c>
      <c r="L176" s="21">
        <f t="shared" si="9"/>
        <v>0</v>
      </c>
      <c r="M176" s="78" t="s">
        <v>661</v>
      </c>
      <c r="P176" s="44"/>
      <c r="Q176" s="44"/>
    </row>
    <row r="177" spans="1:33" ht="12.75" hidden="1" customHeight="1" x14ac:dyDescent="0.15">
      <c r="A177" s="259">
        <v>45</v>
      </c>
      <c r="B177" s="340" t="s">
        <v>630</v>
      </c>
      <c r="C177" s="21" t="s">
        <v>547</v>
      </c>
      <c r="D177" s="104">
        <f t="shared" si="14"/>
        <v>0</v>
      </c>
      <c r="E177" s="104">
        <f t="shared" si="14"/>
        <v>0</v>
      </c>
      <c r="F177" s="104">
        <f t="shared" si="14"/>
        <v>0</v>
      </c>
      <c r="G177" s="396">
        <f>SUM($F$27:$F$32)</f>
        <v>0</v>
      </c>
      <c r="H177" s="103">
        <f>SUM($F$27:$F$32)+$J$51</f>
        <v>0</v>
      </c>
      <c r="I177" s="103">
        <f>SUM($F$27:$F$32)+$J$51+$J$60</f>
        <v>0</v>
      </c>
      <c r="J177" s="21">
        <f t="shared" si="7"/>
        <v>0</v>
      </c>
      <c r="K177" s="21">
        <f t="shared" si="8"/>
        <v>0</v>
      </c>
      <c r="L177" s="21">
        <f t="shared" si="9"/>
        <v>0</v>
      </c>
      <c r="M177" s="78" t="s">
        <v>661</v>
      </c>
      <c r="P177" s="44"/>
      <c r="Q177" s="44"/>
    </row>
    <row r="178" spans="1:33" ht="12.75" hidden="1" customHeight="1" x14ac:dyDescent="0.15">
      <c r="A178" s="259">
        <v>46</v>
      </c>
      <c r="B178" s="340" t="s">
        <v>631</v>
      </c>
      <c r="C178" s="21" t="s">
        <v>527</v>
      </c>
      <c r="D178" s="104">
        <f>IF(ISERROR(HLOOKUP(J178,$Q$26:$AY$27,2)),0,HLOOKUP(J178,$Q$26:$AY$27,2))</f>
        <v>0</v>
      </c>
      <c r="E178" s="104">
        <f>IF(ISERROR(HLOOKUP(K178,$Q$26:$AY$27,2)),0,HLOOKUP(K178,$Q$26:$AY$27,2))</f>
        <v>0</v>
      </c>
      <c r="F178" s="104">
        <f>IF(ISERROR(HLOOKUP(L178,$Q$26:$AY$27,2)),0,HLOOKUP(L178,$Q$26:$AY$27,2))</f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7"/>
        <v>0</v>
      </c>
      <c r="K178" s="21">
        <f t="shared" si="8"/>
        <v>0</v>
      </c>
      <c r="L178" s="21">
        <f t="shared" si="9"/>
        <v>0</v>
      </c>
      <c r="M178" s="78" t="s">
        <v>661</v>
      </c>
      <c r="P178" s="44"/>
      <c r="Q178" s="44"/>
    </row>
    <row r="179" spans="1:33" ht="12.75" hidden="1" customHeight="1" x14ac:dyDescent="0.15">
      <c r="A179" s="259">
        <v>47</v>
      </c>
      <c r="B179" s="340" t="s">
        <v>632</v>
      </c>
      <c r="C179" s="21" t="s">
        <v>613</v>
      </c>
      <c r="D179" s="104">
        <f>IF(ISERROR(HLOOKUP(J179,$Q$48:$Z$49,2)),0,HLOOKUP(J179,$Q$48:$Z$49,2))</f>
        <v>0</v>
      </c>
      <c r="E179" s="104">
        <f>IF(ISERROR(HLOOKUP(K179,$Q$48:$Z$49,2)),0,HLOOKUP(K179,$Q$48:$Z$49,2))</f>
        <v>0</v>
      </c>
      <c r="F179" s="104">
        <f>IF(ISERROR(HLOOKUP(L179,$Q$48:$Z$49,2)),0,HLOOKUP(L179,$Q$48:$Z$49,2))</f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7"/>
        <v>0</v>
      </c>
      <c r="K179" s="21">
        <f t="shared" si="8"/>
        <v>0</v>
      </c>
      <c r="L179" s="21">
        <f t="shared" si="9"/>
        <v>0</v>
      </c>
      <c r="M179" s="78" t="s">
        <v>661</v>
      </c>
      <c r="P179" s="44"/>
      <c r="Q179" s="44"/>
    </row>
    <row r="180" spans="1:33" ht="12.75" hidden="1" customHeight="1" x14ac:dyDescent="0.15">
      <c r="A180" s="259">
        <v>48</v>
      </c>
      <c r="B180" s="340" t="s">
        <v>633</v>
      </c>
      <c r="C180" s="21" t="s">
        <v>613</v>
      </c>
      <c r="D180" s="104">
        <f>IF(ISERROR(HLOOKUP(J180,$Q$48:$AJ$49,2)),0,HLOOKUP(J180,$Q$48:$AJ$49,2))</f>
        <v>0</v>
      </c>
      <c r="E180" s="104">
        <f>IF(ISERROR(HLOOKUP(K180,$Q$48:$AJ$49,2)),0,HLOOKUP(K180,$Q$48:$AJ$49,2))</f>
        <v>0</v>
      </c>
      <c r="F180" s="104">
        <f>IF(ISERROR(HLOOKUP(L180,$Q$48:$AJ$49,2)),0,HLOOKUP(L180,$Q$48:$AJ$49,2))</f>
        <v>0</v>
      </c>
      <c r="G180" s="396">
        <f>SUM($F$30:$F$33)</f>
        <v>0</v>
      </c>
      <c r="H180" s="103">
        <f>SUM($F$30:$F$33)+$J$51</f>
        <v>0</v>
      </c>
      <c r="I180" s="103">
        <f>SUM($F$30:$F$33)+$J$51+$J$60</f>
        <v>0</v>
      </c>
      <c r="J180" s="21">
        <f t="shared" si="7"/>
        <v>0</v>
      </c>
      <c r="K180" s="21">
        <f t="shared" si="8"/>
        <v>0</v>
      </c>
      <c r="L180" s="21">
        <f t="shared" si="9"/>
        <v>0</v>
      </c>
      <c r="M180" s="78" t="s">
        <v>661</v>
      </c>
      <c r="P180" s="44"/>
      <c r="Q180" s="44"/>
    </row>
    <row r="181" spans="1:33" ht="12.75" hidden="1" customHeight="1" x14ac:dyDescent="0.15">
      <c r="A181" s="259">
        <v>49</v>
      </c>
      <c r="B181" s="340" t="s">
        <v>634</v>
      </c>
      <c r="C181" s="21" t="s">
        <v>613</v>
      </c>
      <c r="D181" s="104">
        <f>IF(ISERROR(HLOOKUP(J181,$Q$48:$Z$49,2)),0,HLOOKUP(J181,$Q$48:$Z$49,2))</f>
        <v>0</v>
      </c>
      <c r="E181" s="104">
        <f>IF(ISERROR(HLOOKUP(K181,$Q$48:$Z$49,2)),0,HLOOKUP(K181,$Q$48:$Z$49,2))</f>
        <v>0</v>
      </c>
      <c r="F181" s="104">
        <f>IF(ISERROR(HLOOKUP(L181,$Q$48:$Z$49,2)),0,HLOOKUP(L181,$Q$48:$Z$49,2))</f>
        <v>0</v>
      </c>
      <c r="G181" s="396">
        <f>SUM($F$30:$F$33)</f>
        <v>0</v>
      </c>
      <c r="H181" s="103">
        <f>SUM($F$30:$F$33)+$J$51</f>
        <v>0</v>
      </c>
      <c r="I181" s="103">
        <f>SUM($F$30:$F$33)+$J$51+$J$60</f>
        <v>0</v>
      </c>
      <c r="J181" s="21">
        <f t="shared" si="7"/>
        <v>0</v>
      </c>
      <c r="K181" s="21">
        <f t="shared" si="8"/>
        <v>0</v>
      </c>
      <c r="L181" s="21">
        <f t="shared" si="9"/>
        <v>0</v>
      </c>
      <c r="M181" s="78" t="s">
        <v>661</v>
      </c>
      <c r="P181" s="44"/>
      <c r="Q181" s="44"/>
    </row>
    <row r="182" spans="1:33" ht="12.75" hidden="1" customHeight="1" x14ac:dyDescent="0.15">
      <c r="A182" s="259">
        <v>50</v>
      </c>
      <c r="B182" s="340" t="s">
        <v>635</v>
      </c>
      <c r="C182" s="21" t="s">
        <v>613</v>
      </c>
      <c r="D182" s="104">
        <f>IF(ISERROR(HLOOKUP(J182,$Q$39:$AB$40,2)),0,HLOOKUP(J182,$Q$39:$AB$40,2))</f>
        <v>0</v>
      </c>
      <c r="E182" s="104">
        <f>IF(ISERROR(HLOOKUP(K182,$Q$39:$AB$40,2)),0,HLOOKUP(K182,$Q$39:$AB$40,2))</f>
        <v>0</v>
      </c>
      <c r="F182" s="104">
        <f>IF(ISERROR(HLOOKUP(L182,$Q$39:$AB$40,2)),0,HLOOKUP(L182,$Q$39:$AB$40,2))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7"/>
        <v>0</v>
      </c>
      <c r="K182" s="21">
        <f t="shared" si="8"/>
        <v>0</v>
      </c>
      <c r="L182" s="21">
        <f t="shared" si="9"/>
        <v>0</v>
      </c>
      <c r="M182" s="78" t="s">
        <v>661</v>
      </c>
      <c r="P182" s="44"/>
      <c r="Q182" s="44"/>
    </row>
    <row r="183" spans="1:33" ht="12.75" hidden="1" customHeight="1" x14ac:dyDescent="0.15">
      <c r="A183" s="259">
        <v>51</v>
      </c>
      <c r="B183" s="340" t="s">
        <v>636</v>
      </c>
      <c r="C183" s="21" t="s">
        <v>613</v>
      </c>
      <c r="D183" s="104">
        <f>IF(ISERROR(HLOOKUP(J183,$Q$39:$AA$40,2)),0,HLOOKUP(J183,$Q$39:$AA$40,2))</f>
        <v>0</v>
      </c>
      <c r="E183" s="104">
        <f>IF(ISERROR(HLOOKUP(K183,$Q$39:$AA$40,2)),0,HLOOKUP(K183,$Q$39:$AA$40,2))</f>
        <v>0</v>
      </c>
      <c r="F183" s="104">
        <f>IF(ISERROR(HLOOKUP(L183,$Q$39:$AA$40,2)),0,HLOOKUP(L183,$Q$39:$AA$40,2))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7"/>
        <v>0</v>
      </c>
      <c r="K183" s="21">
        <f t="shared" si="8"/>
        <v>0</v>
      </c>
      <c r="L183" s="21">
        <f t="shared" si="9"/>
        <v>0</v>
      </c>
      <c r="M183" s="78" t="s">
        <v>661</v>
      </c>
      <c r="P183" s="44"/>
      <c r="Q183" s="44"/>
    </row>
    <row r="184" spans="1:33" ht="12.75" hidden="1" customHeight="1" x14ac:dyDescent="0.15">
      <c r="A184" s="259">
        <v>52</v>
      </c>
      <c r="B184" s="340" t="s">
        <v>637</v>
      </c>
      <c r="C184" s="21" t="s">
        <v>613</v>
      </c>
      <c r="D184" s="104">
        <f>IF(ISERROR(HLOOKUP(J184,$Q$66:$X$67,2)),0,HLOOKUP(J184,$Q$66:$X$67,2))</f>
        <v>0</v>
      </c>
      <c r="E184" s="104">
        <f>IF(ISERROR(HLOOKUP(K184,$Q$66:$X$67,2)),0,HLOOKUP(K184,$Q$66:$X$67,2))</f>
        <v>0</v>
      </c>
      <c r="F184" s="104">
        <f>IF(ISERROR(HLOOKUP(L184,$Q$66:$X$67,2)),0,HLOOKUP(L184,$Q$66:$X$67,2))</f>
        <v>0</v>
      </c>
      <c r="G184" s="396">
        <f>SUM($F$27:$F$32)</f>
        <v>0</v>
      </c>
      <c r="H184" s="103">
        <f>SUM($F$27:$F$32)+$J$51</f>
        <v>0</v>
      </c>
      <c r="I184" s="103">
        <f>SUM($F$27:$F$32)+$J$51+$J$60</f>
        <v>0</v>
      </c>
      <c r="J184" s="21">
        <f t="shared" si="7"/>
        <v>0</v>
      </c>
      <c r="K184" s="21">
        <f t="shared" si="8"/>
        <v>0</v>
      </c>
      <c r="L184" s="21">
        <f t="shared" si="9"/>
        <v>0</v>
      </c>
      <c r="M184" s="78" t="s">
        <v>661</v>
      </c>
      <c r="P184" s="44"/>
      <c r="Q184" s="44"/>
    </row>
    <row r="185" spans="1:33" ht="12.75" hidden="1" customHeight="1" x14ac:dyDescent="0.15">
      <c r="A185" s="259">
        <v>53</v>
      </c>
      <c r="B185" s="340" t="s">
        <v>638</v>
      </c>
      <c r="C185" s="21" t="s">
        <v>613</v>
      </c>
      <c r="D185" s="104">
        <f>IF(ISERROR(HLOOKUP(J185,$Q$48:$AA$49,2)),0,HLOOKUP(J185,$Q$48:$AA$49,2))</f>
        <v>0</v>
      </c>
      <c r="E185" s="104">
        <f>IF(ISERROR(HLOOKUP(K185,$Q$48:$AA$49,2)),0,HLOOKUP(K185,$Q$48:$AA$49,2))</f>
        <v>0</v>
      </c>
      <c r="F185" s="104">
        <f>IF(ISERROR(HLOOKUP(L185,$Q$48:$AA$49,2)),0,HLOOKUP(L185,$Q$48:$AA$49,2))</f>
        <v>0</v>
      </c>
      <c r="G185" s="396">
        <f>SUM($F$30:$F$32)</f>
        <v>0</v>
      </c>
      <c r="H185" s="103">
        <f>SUM($F$30:$F$32)+$J$51</f>
        <v>0</v>
      </c>
      <c r="I185" s="103">
        <f>SUM($F$30:$F$32)+$J$51+$J$60</f>
        <v>0</v>
      </c>
      <c r="J185" s="21">
        <f t="shared" si="7"/>
        <v>0</v>
      </c>
      <c r="K185" s="21">
        <f t="shared" si="8"/>
        <v>0</v>
      </c>
      <c r="L185" s="21">
        <f t="shared" si="9"/>
        <v>0</v>
      </c>
      <c r="M185" s="78" t="s">
        <v>661</v>
      </c>
      <c r="P185" s="44"/>
      <c r="Q185" s="44"/>
    </row>
    <row r="186" spans="1:33" ht="12.75" hidden="1" customHeight="1" x14ac:dyDescent="0.15">
      <c r="A186" s="259">
        <v>54</v>
      </c>
      <c r="B186" s="340" t="s">
        <v>639</v>
      </c>
      <c r="C186" s="21" t="s">
        <v>613</v>
      </c>
      <c r="D186" s="104">
        <f>IF(ISERROR(HLOOKUP(J186,$Q$39:$AA$40,2)),0,HLOOKUP(J186,$Q$39:$AA$40,2))</f>
        <v>0</v>
      </c>
      <c r="E186" s="104">
        <f>IF(ISERROR(HLOOKUP(K186,$Q$39:$AA$40,2)),0,HLOOKUP(K186,$Q$39:$AA$40,2))</f>
        <v>0</v>
      </c>
      <c r="F186" s="104">
        <f>IF(ISERROR(HLOOKUP(L186,$Q$39:$AA$40,2)),0,HLOOKUP(L186,$Q$39:$AA$40,2))</f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ref="J186:J217" si="15">ROUNDDOWN(G186/365,0)</f>
        <v>0</v>
      </c>
      <c r="K186" s="21">
        <f t="shared" ref="K186:K217" si="16">ROUNDDOWN(H186/365,0)</f>
        <v>0</v>
      </c>
      <c r="L186" s="21">
        <f t="shared" ref="L186:L217" si="17">ROUNDDOWN(I186/365,0)</f>
        <v>0</v>
      </c>
      <c r="M186" s="78" t="s">
        <v>661</v>
      </c>
      <c r="P186" s="44"/>
      <c r="Q186" s="44"/>
    </row>
    <row r="187" spans="1:33" ht="12.75" hidden="1" customHeight="1" x14ac:dyDescent="0.15">
      <c r="A187" s="259">
        <v>55</v>
      </c>
      <c r="B187" s="340" t="s">
        <v>640</v>
      </c>
      <c r="C187" s="21" t="s">
        <v>613</v>
      </c>
      <c r="D187" s="104">
        <f>IF(ISERROR(HLOOKUP(J187,$Q$60:$AA$61,2)),0,HLOOKUP(J187,$Q$60:$AA$61,2))</f>
        <v>0</v>
      </c>
      <c r="E187" s="104">
        <f>IF(ISERROR(HLOOKUP(K187,$Q$60:$AA$61,2)),0,HLOOKUP(K187,$Q$60:$AA$61,2))</f>
        <v>0</v>
      </c>
      <c r="F187" s="104">
        <f>IF(ISERROR(HLOOKUP(L187,$Q$60:$AA$61,2)),0,HLOOKUP(L187,$Q$60:$AA$61,2))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5"/>
        <v>0</v>
      </c>
      <c r="K187" s="21">
        <f t="shared" si="16"/>
        <v>0</v>
      </c>
      <c r="L187" s="21">
        <f t="shared" si="17"/>
        <v>0</v>
      </c>
      <c r="M187" s="78" t="s">
        <v>661</v>
      </c>
      <c r="P187" s="44"/>
      <c r="Q187" s="44"/>
    </row>
    <row r="188" spans="1:33" ht="12.75" hidden="1" customHeight="1" x14ac:dyDescent="0.15">
      <c r="A188" s="259">
        <v>56</v>
      </c>
      <c r="B188" s="340" t="s">
        <v>683</v>
      </c>
      <c r="C188" s="21" t="s">
        <v>547</v>
      </c>
      <c r="D188" s="104">
        <f>IF(ISERROR(HLOOKUP(J188,$Q$80:$W$81,2)),0,HLOOKUP(J188,$Q$80:$W$81,2))</f>
        <v>0</v>
      </c>
      <c r="E188" s="104">
        <f>IF(ISERROR(HLOOKUP(K188,$Q$80:$W$81,2)),0,HLOOKUP(K188,$Q$80:$W$81,2))</f>
        <v>0</v>
      </c>
      <c r="F188" s="104">
        <f>IF(ISERROR(HLOOKUP(L188,$Q$80:$W$81,2)),0,HLOOKUP(L188,$Q$80:$W$81,2))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5"/>
        <v>0</v>
      </c>
      <c r="K188" s="21">
        <f t="shared" si="16"/>
        <v>0</v>
      </c>
      <c r="L188" s="21">
        <f t="shared" si="17"/>
        <v>0</v>
      </c>
      <c r="M188" s="78" t="s">
        <v>661</v>
      </c>
      <c r="P188" s="44"/>
      <c r="Q188" s="44"/>
    </row>
    <row r="189" spans="1:33" ht="12.75" hidden="1" customHeight="1" x14ac:dyDescent="0.15">
      <c r="A189" s="259">
        <v>57</v>
      </c>
      <c r="B189" s="340" t="s">
        <v>699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5"/>
        <v>0</v>
      </c>
      <c r="K189" s="21">
        <f t="shared" si="16"/>
        <v>0</v>
      </c>
      <c r="L189" s="21">
        <f t="shared" si="17"/>
        <v>0</v>
      </c>
      <c r="M189" s="78" t="s">
        <v>661</v>
      </c>
      <c r="P189" s="44"/>
      <c r="Q189" s="44"/>
    </row>
    <row r="190" spans="1:33" ht="12.75" hidden="1" customHeight="1" x14ac:dyDescent="0.15">
      <c r="A190" s="259">
        <v>58</v>
      </c>
      <c r="B190" s="340" t="s">
        <v>641</v>
      </c>
      <c r="C190" s="21" t="s">
        <v>613</v>
      </c>
      <c r="D190" s="104">
        <f>IF(ISERROR(HLOOKUP(J190,$Q$69:$AC$70,2)),0,HLOOKUP(J190,$Q$69:$AC$70,2))</f>
        <v>0</v>
      </c>
      <c r="E190" s="104">
        <f>IF(ISERROR(HLOOKUP(K190,$Q$69:$AC$70,2)),0,HLOOKUP(K190,$Q$69:$AC$70,2))</f>
        <v>0</v>
      </c>
      <c r="F190" s="104">
        <f>IF(ISERROR(HLOOKUP(L190,$Q$69:$AC$70,2)),0,HLOOKUP(L190,$Q$69:$AC$70,2))</f>
        <v>0</v>
      </c>
      <c r="G190" s="396">
        <f>SUM($F$30:$F$32)</f>
        <v>0</v>
      </c>
      <c r="H190" s="103">
        <f>SUM($F$30:$F$32)+$J$51</f>
        <v>0</v>
      </c>
      <c r="I190" s="103">
        <f>SUM($F$30:$F$32)+$J$51+$J$60</f>
        <v>0</v>
      </c>
      <c r="J190" s="21">
        <f t="shared" si="15"/>
        <v>0</v>
      </c>
      <c r="K190" s="21">
        <f t="shared" si="16"/>
        <v>0</v>
      </c>
      <c r="L190" s="21">
        <f t="shared" si="17"/>
        <v>0</v>
      </c>
      <c r="M190" s="78" t="s">
        <v>661</v>
      </c>
      <c r="P190" s="44"/>
      <c r="Q190" s="44"/>
    </row>
    <row r="191" spans="1:33" ht="12.75" hidden="1" customHeight="1" x14ac:dyDescent="0.15">
      <c r="A191" s="259">
        <v>59</v>
      </c>
      <c r="B191" s="340" t="s">
        <v>642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SUM($F$27:$F$33)</f>
        <v>0</v>
      </c>
      <c r="H191" s="103">
        <f>SUM($F$27:$F$33)+$J$51</f>
        <v>0</v>
      </c>
      <c r="I191" s="103">
        <f>SUM($F$27:$F$33)+$J$51+$J$60</f>
        <v>0</v>
      </c>
      <c r="J191" s="21">
        <f t="shared" si="15"/>
        <v>0</v>
      </c>
      <c r="K191" s="21">
        <f t="shared" si="16"/>
        <v>0</v>
      </c>
      <c r="L191" s="21">
        <f t="shared" si="17"/>
        <v>0</v>
      </c>
      <c r="M191" s="78" t="s">
        <v>661</v>
      </c>
      <c r="P191" s="44"/>
      <c r="Q191" s="44"/>
      <c r="AC191" s="69"/>
      <c r="AD191" s="69"/>
      <c r="AE191" s="69"/>
      <c r="AF191" s="69"/>
      <c r="AG191" s="69"/>
    </row>
    <row r="192" spans="1:33" ht="12.75" hidden="1" customHeight="1" x14ac:dyDescent="0.15">
      <c r="A192" s="259">
        <v>60</v>
      </c>
      <c r="B192" s="340" t="s">
        <v>643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SUM($F$30:$F$33)</f>
        <v>0</v>
      </c>
      <c r="H192" s="103">
        <f>SUM($F$30:$F$33)+$J$51</f>
        <v>0</v>
      </c>
      <c r="I192" s="103">
        <f>SUM($F$30:$F$33)+$J$51+$J$60</f>
        <v>0</v>
      </c>
      <c r="J192" s="21">
        <f t="shared" si="15"/>
        <v>0</v>
      </c>
      <c r="K192" s="21">
        <f t="shared" si="16"/>
        <v>0</v>
      </c>
      <c r="L192" s="21">
        <f t="shared" si="17"/>
        <v>0</v>
      </c>
      <c r="M192" s="78" t="s">
        <v>661</v>
      </c>
      <c r="P192" s="44"/>
      <c r="Q192" s="44"/>
      <c r="AC192" s="69"/>
      <c r="AD192" s="69"/>
      <c r="AE192" s="69"/>
      <c r="AF192" s="69"/>
      <c r="AG192" s="69"/>
    </row>
    <row r="193" spans="1:33" ht="12.75" hidden="1" customHeight="1" x14ac:dyDescent="0.15">
      <c r="A193" s="259">
        <v>61</v>
      </c>
      <c r="B193" s="340" t="s">
        <v>644</v>
      </c>
      <c r="C193" s="21" t="s">
        <v>613</v>
      </c>
      <c r="D193" s="104">
        <f>IF(ISERROR(HLOOKUP(J193,$Q$39:$AA$40,2)),0,HLOOKUP(J193,$Q$39:$AA$40,2))</f>
        <v>0</v>
      </c>
      <c r="E193" s="104">
        <f>IF(ISERROR(HLOOKUP(K193,$Q$39:$AA$40,2)),0,HLOOKUP(K193,$Q$39:$AA$40,2))</f>
        <v>0</v>
      </c>
      <c r="F193" s="104">
        <f>IF(ISERROR(HLOOKUP(L193,$Q$39:$AA$40,2)),0,HLOOKUP(L193,$Q$39:$AA$40,2))</f>
        <v>0</v>
      </c>
      <c r="G193" s="396">
        <f>SUM($F$27:$F$33)</f>
        <v>0</v>
      </c>
      <c r="H193" s="103">
        <f>SUM($F$27:$F$33)+$J$51</f>
        <v>0</v>
      </c>
      <c r="I193" s="103">
        <f>SUM($F$27:$F$33)+$J$51+$J$60</f>
        <v>0</v>
      </c>
      <c r="J193" s="21">
        <f t="shared" si="15"/>
        <v>0</v>
      </c>
      <c r="K193" s="21">
        <f t="shared" si="16"/>
        <v>0</v>
      </c>
      <c r="L193" s="21">
        <f t="shared" si="17"/>
        <v>0</v>
      </c>
      <c r="M193" s="78" t="s">
        <v>661</v>
      </c>
      <c r="P193" s="44"/>
      <c r="Q193" s="44"/>
      <c r="AC193" s="69"/>
      <c r="AD193" s="69"/>
      <c r="AE193" s="69"/>
      <c r="AF193" s="69"/>
      <c r="AG193" s="69"/>
    </row>
    <row r="194" spans="1:33" ht="12.75" hidden="1" customHeight="1" x14ac:dyDescent="0.15">
      <c r="A194" s="259">
        <v>62</v>
      </c>
      <c r="B194" s="345" t="s">
        <v>645</v>
      </c>
      <c r="C194" s="21" t="s">
        <v>527</v>
      </c>
      <c r="D194" s="104">
        <f>IF(ISERROR(HLOOKUP(J194,$Q$26:$AY$27,2)),0,HLOOKUP(J194,$Q$26:$AY$27,2))</f>
        <v>0</v>
      </c>
      <c r="E194" s="104">
        <f>IF(ISERROR(HLOOKUP(K194,$Q$26:$AY$27,2)),0,HLOOKUP(K194,$Q$26:$AY$27,2))</f>
        <v>0</v>
      </c>
      <c r="F194" s="104">
        <f>IF(ISERROR(HLOOKUP(L194,$Q$26:$AY$27,2)),0,HLOOKUP(L194,$Q$26:$AY$27,2))</f>
        <v>0</v>
      </c>
      <c r="G194" s="396">
        <f>SUM($F$30:$F$32)</f>
        <v>0</v>
      </c>
      <c r="H194" s="103">
        <f>SUM($F$27:$F$32)+$J$51</f>
        <v>0</v>
      </c>
      <c r="I194" s="103">
        <f>SUM($F$27:$F$32)+$J$51+$J$60</f>
        <v>0</v>
      </c>
      <c r="J194" s="21">
        <f t="shared" si="15"/>
        <v>0</v>
      </c>
      <c r="K194" s="21">
        <f t="shared" si="16"/>
        <v>0</v>
      </c>
      <c r="L194" s="21">
        <f t="shared" si="17"/>
        <v>0</v>
      </c>
      <c r="M194" s="346" t="s">
        <v>662</v>
      </c>
      <c r="P194" s="44"/>
      <c r="Q194" s="44"/>
      <c r="AC194" s="69"/>
      <c r="AD194" s="69"/>
      <c r="AE194" s="69"/>
      <c r="AF194" s="69"/>
      <c r="AG194" s="69"/>
    </row>
    <row r="195" spans="1:33" ht="12.75" hidden="1" customHeight="1" x14ac:dyDescent="0.15">
      <c r="A195" s="259">
        <v>63</v>
      </c>
      <c r="B195" s="345" t="s">
        <v>646</v>
      </c>
      <c r="C195" s="21"/>
      <c r="D195" s="54"/>
      <c r="E195" s="54"/>
      <c r="F195" s="54"/>
      <c r="G195" s="54"/>
      <c r="H195" s="54"/>
      <c r="I195" s="347"/>
      <c r="J195" s="21">
        <f t="shared" si="15"/>
        <v>0</v>
      </c>
      <c r="K195" s="21">
        <f t="shared" si="16"/>
        <v>0</v>
      </c>
      <c r="L195" s="21">
        <f t="shared" si="17"/>
        <v>0</v>
      </c>
      <c r="M195" s="346" t="s">
        <v>662</v>
      </c>
      <c r="P195" s="44"/>
      <c r="Q195" s="44"/>
      <c r="AC195" s="69"/>
      <c r="AD195" s="69"/>
      <c r="AE195" s="69"/>
      <c r="AF195" s="69"/>
      <c r="AG195" s="348"/>
    </row>
    <row r="196" spans="1:33" s="308" customFormat="1" ht="12.75" hidden="1" customHeight="1" x14ac:dyDescent="0.15">
      <c r="A196" s="304">
        <v>64</v>
      </c>
      <c r="B196" s="349" t="s">
        <v>647</v>
      </c>
      <c r="C196" s="308" t="s">
        <v>613</v>
      </c>
      <c r="D196" s="305">
        <f>IF(ISERROR(HLOOKUP(J196,$Q$48:$AB$49,2)),0,HLOOKUP(J196,$Q$48:$AB$49,2))</f>
        <v>0</v>
      </c>
      <c r="E196" s="305">
        <f>IF(ISERROR(HLOOKUP(K196,$Q$48:$AB$49,2)),0,HLOOKUP(K196,$Q$48:$AB$49,2))</f>
        <v>0</v>
      </c>
      <c r="F196" s="305">
        <f>IF(ISERROR(HLOOKUP(L196,$Q$48:$AB$49,2)),0,HLOOKUP(L196,$Q$48:$AB$49,2))</f>
        <v>0</v>
      </c>
      <c r="G196" s="350">
        <f>SUM($F$30:$F$33)+$O$196</f>
        <v>0</v>
      </c>
      <c r="H196" s="350">
        <f>$G$196+$J$51</f>
        <v>0</v>
      </c>
      <c r="I196" s="350">
        <f>$G$196+$J$51+$J$60</f>
        <v>0</v>
      </c>
      <c r="J196" s="351">
        <f t="shared" si="15"/>
        <v>0</v>
      </c>
      <c r="K196" s="351">
        <f t="shared" si="16"/>
        <v>0</v>
      </c>
      <c r="L196" s="351">
        <f t="shared" si="17"/>
        <v>0</v>
      </c>
      <c r="M196" s="352" t="s">
        <v>662</v>
      </c>
      <c r="N196" s="310">
        <f>SUM($F$27:$F$29)</f>
        <v>0</v>
      </c>
      <c r="O196" s="309">
        <f>IF($N$196&gt;365,365,$N$196)</f>
        <v>0</v>
      </c>
      <c r="P196" s="353"/>
      <c r="Q196" s="353"/>
      <c r="AC196" s="354"/>
      <c r="AD196" s="354"/>
      <c r="AE196" s="354"/>
      <c r="AF196" s="354"/>
      <c r="AG196" s="354"/>
    </row>
    <row r="197" spans="1:33" ht="12.75" hidden="1" customHeight="1" x14ac:dyDescent="0.15">
      <c r="A197" s="259">
        <v>65</v>
      </c>
      <c r="B197" s="345" t="s">
        <v>648</v>
      </c>
      <c r="C197" s="21" t="s">
        <v>547</v>
      </c>
      <c r="D197" s="104">
        <f>IF(ISERROR(HLOOKUP(J197,$Q$73:$AB$74,2)),0,HLOOKUP(J197,$Q$73:$AB$74,2))</f>
        <v>0</v>
      </c>
      <c r="E197" s="105">
        <f>IF(ISERROR(HLOOKUP(K197,$Q$73:$AB$74,2)),0,HLOOKUP(K197,$Q$73:$AB$74,2))</f>
        <v>0</v>
      </c>
      <c r="F197" s="106">
        <f>IF(ISERROR(HLOOKUP(L197,$Q$73:$AB$74,2)),0,HLOOKUP(L197,$Q$73:$AB$74,2))</f>
        <v>0</v>
      </c>
      <c r="G197" s="355">
        <f>SUM($F$27:$F$32)</f>
        <v>0</v>
      </c>
      <c r="H197" s="355">
        <f>SUM($F$27:$F$32)+$J$51</f>
        <v>0</v>
      </c>
      <c r="I197" s="355">
        <f>SUM($F$27:$F$32)+$J$51+$J$60</f>
        <v>0</v>
      </c>
      <c r="J197" s="21">
        <f t="shared" si="15"/>
        <v>0</v>
      </c>
      <c r="K197" s="21">
        <f t="shared" si="16"/>
        <v>0</v>
      </c>
      <c r="L197" s="21">
        <f t="shared" si="17"/>
        <v>0</v>
      </c>
      <c r="M197" s="346" t="s">
        <v>662</v>
      </c>
      <c r="P197" s="44"/>
      <c r="Q197" s="44"/>
      <c r="AC197" s="69"/>
      <c r="AD197" s="69"/>
      <c r="AE197" s="69"/>
      <c r="AF197" s="69"/>
      <c r="AG197" s="348"/>
    </row>
    <row r="198" spans="1:33" ht="12.75" hidden="1" customHeight="1" x14ac:dyDescent="0.15">
      <c r="A198" s="259">
        <v>66</v>
      </c>
      <c r="B198" s="345" t="s">
        <v>649</v>
      </c>
      <c r="C198" s="21" t="s">
        <v>613</v>
      </c>
      <c r="D198" s="104">
        <f>IF(ISERROR(HLOOKUP(J198,$Q$39:$Z$40,2)),0,HLOOKUP(J198,$Q$39:$Z$40,2))</f>
        <v>0</v>
      </c>
      <c r="E198" s="104">
        <f>IF(ISERROR(HLOOKUP(K198,$Q$39:$Z$40,2)),0,HLOOKUP(K198,$Q$39:$Z$40,2))</f>
        <v>0</v>
      </c>
      <c r="F198" s="104">
        <f>IF(ISERROR(HLOOKUP(L198,$Q$39:$Z$40,2)),0,HLOOKUP(L198,$Q$39:$Z$40,2))</f>
        <v>0</v>
      </c>
      <c r="G198" s="355">
        <f>SUM($F$30:$F$32)</f>
        <v>0</v>
      </c>
      <c r="H198" s="355">
        <f>SUM($F$30:$F$32)+$J$51</f>
        <v>0</v>
      </c>
      <c r="I198" s="355">
        <f>SUM($F$30:$F$32)+$J$51+$J$60</f>
        <v>0</v>
      </c>
      <c r="J198" s="356">
        <f t="shared" si="15"/>
        <v>0</v>
      </c>
      <c r="K198" s="356">
        <f t="shared" si="16"/>
        <v>0</v>
      </c>
      <c r="L198" s="356">
        <f t="shared" si="17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348"/>
    </row>
    <row r="199" spans="1:33" ht="12.75" hidden="1" customHeight="1" x14ac:dyDescent="0.15">
      <c r="A199" s="259">
        <v>67</v>
      </c>
      <c r="B199" s="345" t="s">
        <v>650</v>
      </c>
      <c r="C199" s="21" t="s">
        <v>613</v>
      </c>
      <c r="D199" s="104">
        <f>IF(ISERROR(HLOOKUP(J199,$Q$51:$Y$52,2)),0,HLOOKUP(J199,$Q$51:$Y$52,2))</f>
        <v>0</v>
      </c>
      <c r="E199" s="104">
        <f>IF(ISERROR(HLOOKUP(K199,$Q$51:$Y$52,2)),0,HLOOKUP(K199,$Q$51:$Y$52,2))</f>
        <v>0</v>
      </c>
      <c r="F199" s="104">
        <f>IF(ISERROR(HLOOKUP(L199,$Q$51:$Y$52,2)),0,HLOOKUP(L199,$Q$51:$Y$52,2))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15"/>
        <v>0</v>
      </c>
      <c r="K199" s="21">
        <f t="shared" si="16"/>
        <v>0</v>
      </c>
      <c r="L199" s="21">
        <f t="shared" si="17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68</v>
      </c>
      <c r="B200" s="349" t="s">
        <v>651</v>
      </c>
      <c r="C200" s="308" t="s">
        <v>547</v>
      </c>
      <c r="D200" s="305">
        <f>IF(ISERROR(HLOOKUP(J200,$Q$73:$W$74,2)),0,HLOOKUP(J200,$Q$73:$W$74,2))</f>
        <v>0</v>
      </c>
      <c r="E200" s="305">
        <f>IF(ISERROR(HLOOKUP(K200,$Q$73:$W$74,2)),0,HLOOKUP(K200,$Q$73:$W$74,2))</f>
        <v>0</v>
      </c>
      <c r="F200" s="305">
        <f>IF(ISERROR(HLOOKUP(L200,$Q$73:$W$74,2)),0,HLOOKUP(L200,$Q$73:$W$74,2))</f>
        <v>0</v>
      </c>
      <c r="G200" s="350">
        <f>$N$200</f>
        <v>0</v>
      </c>
      <c r="H200" s="350">
        <f>$G$200+$J$51</f>
        <v>0</v>
      </c>
      <c r="I200" s="350">
        <f>$G$200+$J$51+$J$60</f>
        <v>0</v>
      </c>
      <c r="J200" s="308">
        <f t="shared" si="15"/>
        <v>0</v>
      </c>
      <c r="K200" s="308">
        <f t="shared" si="16"/>
        <v>0</v>
      </c>
      <c r="L200" s="308">
        <f t="shared" si="17"/>
        <v>0</v>
      </c>
      <c r="M200" s="352" t="s">
        <v>662</v>
      </c>
      <c r="N200" s="310">
        <f>SUM(F30:F32)</f>
        <v>0</v>
      </c>
      <c r="O200" s="309"/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69</v>
      </c>
      <c r="B201" s="345" t="s">
        <v>652</v>
      </c>
      <c r="C201" s="21" t="s">
        <v>613</v>
      </c>
      <c r="D201" s="104">
        <f>IF(ISERROR(HLOOKUP(J201,$Q$39:$Z$40,2)),0,HLOOKUP(J201,$Q$39:$Z$40,2))</f>
        <v>0</v>
      </c>
      <c r="E201" s="104">
        <f>IF(ISERROR(HLOOKUP(K201,$Q$39:$Z$40,2)),0,HLOOKUP(K201,$Q$39:$Z$40,2))</f>
        <v>0</v>
      </c>
      <c r="F201" s="104">
        <f>IF(ISERROR(HLOOKUP(L201,$Q$39:$Z$40,2)),0,HLOOKUP(L201,$Q$39:$Z$40,2))</f>
        <v>0</v>
      </c>
      <c r="G201" s="396">
        <f>SUM($F$30:$F$32)</f>
        <v>0</v>
      </c>
      <c r="H201" s="103">
        <f>SUM($F$30:$F$32)+$J$51</f>
        <v>0</v>
      </c>
      <c r="I201" s="103">
        <f>SUM($F$30:$F$32)+$J$51+$J$60</f>
        <v>0</v>
      </c>
      <c r="J201" s="21">
        <f t="shared" si="15"/>
        <v>0</v>
      </c>
      <c r="K201" s="21">
        <f t="shared" si="16"/>
        <v>0</v>
      </c>
      <c r="L201" s="21">
        <f t="shared" si="17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69"/>
    </row>
    <row r="202" spans="1:33" ht="13.5" hidden="1" x14ac:dyDescent="0.15">
      <c r="A202" s="259">
        <v>70</v>
      </c>
      <c r="B202" s="345" t="s">
        <v>653</v>
      </c>
      <c r="C202" s="21" t="s">
        <v>613</v>
      </c>
      <c r="D202" s="104">
        <f>IF(ISERROR(HLOOKUP(J202,$Q$48:$AB$49,2)),0,HLOOKUP(J202,$Q$48:$AB$49,2))</f>
        <v>0</v>
      </c>
      <c r="E202" s="104">
        <f>IF(ISERROR(HLOOKUP(K202,$Q$48:$AB$49,2)),0,HLOOKUP(K202,$Q$48:$AB$49,2))</f>
        <v>0</v>
      </c>
      <c r="F202" s="104">
        <f>IF(ISERROR(HLOOKUP(L202,$Q$48:$AB$49,2)),0,HLOOKUP(L202,$Q$48:$AB$49,2))</f>
        <v>0</v>
      </c>
      <c r="G202" s="396">
        <f>SUM($F$30:$F$32)</f>
        <v>0</v>
      </c>
      <c r="H202" s="103">
        <f>SUM($F$30:$F$32)+$J$51</f>
        <v>0</v>
      </c>
      <c r="I202" s="103">
        <f>SUM($F$30:$F$32)+$J$51+$J$60</f>
        <v>0</v>
      </c>
      <c r="J202" s="21">
        <f t="shared" si="15"/>
        <v>0</v>
      </c>
      <c r="K202" s="21">
        <f t="shared" si="16"/>
        <v>0</v>
      </c>
      <c r="L202" s="21">
        <f t="shared" si="17"/>
        <v>0</v>
      </c>
      <c r="M202" s="346" t="s">
        <v>662</v>
      </c>
      <c r="P202" s="44"/>
      <c r="Q202" s="44"/>
    </row>
    <row r="203" spans="1:33" ht="13.5" hidden="1" x14ac:dyDescent="0.15">
      <c r="A203" s="259">
        <v>71</v>
      </c>
      <c r="B203" s="345" t="s">
        <v>654</v>
      </c>
      <c r="C203" s="21" t="s">
        <v>613</v>
      </c>
      <c r="D203" s="104">
        <f>IF(ISERROR(HLOOKUP(J203,$Q$48:$AA$49,2)),0,HLOOKUP(J203,$Q$48:$AA$49,2))</f>
        <v>0</v>
      </c>
      <c r="E203" s="104">
        <f>IF(ISERROR(HLOOKUP(K203,$Q$48:$AA$49,2)),0,HLOOKUP(K203,$Q$48:$AA$49,2))</f>
        <v>0</v>
      </c>
      <c r="F203" s="104">
        <f>IF(ISERROR(HLOOKUP(L203,$Q$48:$AA$49,2)),0,HLOOKUP(L203,$Q$48:$AA$49,2))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15"/>
        <v>0</v>
      </c>
      <c r="K203" s="21">
        <f t="shared" si="16"/>
        <v>0</v>
      </c>
      <c r="L203" s="21">
        <f t="shared" si="17"/>
        <v>0</v>
      </c>
      <c r="M203" s="346" t="s">
        <v>662</v>
      </c>
      <c r="P203" s="44"/>
      <c r="Q203" s="44"/>
    </row>
    <row r="204" spans="1:33" ht="13.5" hidden="1" x14ac:dyDescent="0.15">
      <c r="A204" s="259">
        <v>72</v>
      </c>
      <c r="B204" s="345" t="s">
        <v>655</v>
      </c>
      <c r="C204" s="21" t="s">
        <v>527</v>
      </c>
      <c r="D204" s="104">
        <f>IF(ISERROR(HLOOKUP(J204,$Q$54:$AR$55,2)),0,HLOOKUP(J204,$Q$54:$AR$55,2))</f>
        <v>0</v>
      </c>
      <c r="E204" s="104">
        <f>IF(ISERROR(HLOOKUP(K204,$Q$54:$AR$55,2)),0,HLOOKUP(K204,$Q$54:$AR$55,2))</f>
        <v>0</v>
      </c>
      <c r="F204" s="104">
        <f>IF(ISERROR(HLOOKUP(L204,$Q$54:$AR$55,2)),0,HLOOKUP(L204,$Q$54:$AR$55,2))</f>
        <v>0</v>
      </c>
      <c r="G204" s="396">
        <f>SUM($F$27:$F$32)</f>
        <v>0</v>
      </c>
      <c r="H204" s="103">
        <f>SUM($F$27:$F$32)+$J$51</f>
        <v>0</v>
      </c>
      <c r="I204" s="103">
        <f>SUM($F$27:$F$32)+$J$51+$J$60</f>
        <v>0</v>
      </c>
      <c r="J204" s="21">
        <f t="shared" si="15"/>
        <v>0</v>
      </c>
      <c r="K204" s="21">
        <f t="shared" si="16"/>
        <v>0</v>
      </c>
      <c r="L204" s="21">
        <f t="shared" si="17"/>
        <v>0</v>
      </c>
      <c r="M204" s="346" t="s">
        <v>662</v>
      </c>
      <c r="P204" s="44"/>
      <c r="Q204" s="44"/>
    </row>
    <row r="205" spans="1:33" ht="13.5" hidden="1" x14ac:dyDescent="0.15">
      <c r="A205" s="259">
        <v>73</v>
      </c>
      <c r="B205" s="345" t="s">
        <v>663</v>
      </c>
      <c r="C205" s="21" t="s">
        <v>527</v>
      </c>
      <c r="D205" s="104">
        <f t="shared" ref="D205:F206" si="18">IF(ISERROR(HLOOKUP(J205,$Q$26:$AY$27,2)),0,HLOOKUP(J205,$Q$26:$AY$27,2))</f>
        <v>0</v>
      </c>
      <c r="E205" s="104">
        <f t="shared" si="18"/>
        <v>0</v>
      </c>
      <c r="F205" s="104">
        <f t="shared" si="18"/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15"/>
        <v>0</v>
      </c>
      <c r="K205" s="21">
        <f t="shared" si="16"/>
        <v>0</v>
      </c>
      <c r="L205" s="21">
        <f t="shared" si="17"/>
        <v>0</v>
      </c>
      <c r="M205" s="346" t="s">
        <v>662</v>
      </c>
      <c r="P205" s="44"/>
      <c r="Q205" s="44"/>
    </row>
    <row r="206" spans="1:33" ht="13.5" hidden="1" x14ac:dyDescent="0.15">
      <c r="A206" s="259">
        <v>74</v>
      </c>
      <c r="B206" s="345" t="s">
        <v>664</v>
      </c>
      <c r="C206" s="21" t="s">
        <v>527</v>
      </c>
      <c r="D206" s="104">
        <f t="shared" si="18"/>
        <v>0</v>
      </c>
      <c r="E206" s="104">
        <f t="shared" si="18"/>
        <v>0</v>
      </c>
      <c r="F206" s="104">
        <f t="shared" si="18"/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15"/>
        <v>0</v>
      </c>
      <c r="K206" s="21">
        <f t="shared" si="16"/>
        <v>0</v>
      </c>
      <c r="L206" s="21">
        <f t="shared" si="17"/>
        <v>0</v>
      </c>
      <c r="M206" s="346" t="s">
        <v>662</v>
      </c>
      <c r="P206" s="44"/>
      <c r="Q206" s="44"/>
    </row>
    <row r="207" spans="1:33" ht="13.5" hidden="1" x14ac:dyDescent="0.15">
      <c r="A207" s="259">
        <v>75</v>
      </c>
      <c r="B207" s="345" t="s">
        <v>665</v>
      </c>
      <c r="C207" s="21" t="s">
        <v>547</v>
      </c>
      <c r="D207" s="104">
        <f>IF(ISERROR(HLOOKUP(J207,$Q$73:$W$74,2)),0,HLOOKUP(J207,$Q$73:$W$74,2))</f>
        <v>0</v>
      </c>
      <c r="E207" s="104">
        <f>IF(ISERROR(HLOOKUP(K207,$Q$73:$W$74,2)),0,HLOOKUP(K207,$Q$73:$W$74,2))</f>
        <v>0</v>
      </c>
      <c r="F207" s="104">
        <f>IF(ISERROR(HLOOKUP(L207,$Q$73:$W$74,2)),0,HLOOKUP(L207,$Q$73:$W$74,2))</f>
        <v>0</v>
      </c>
      <c r="G207" s="396">
        <f>SUM($F$27:$F$32)</f>
        <v>0</v>
      </c>
      <c r="H207" s="103">
        <f>SUM($F$27:$F$32)+$J$51</f>
        <v>0</v>
      </c>
      <c r="I207" s="103">
        <f>SUM($F$27:$F$32)+$J$51+$J$60</f>
        <v>0</v>
      </c>
      <c r="J207" s="21">
        <f t="shared" si="15"/>
        <v>0</v>
      </c>
      <c r="K207" s="21">
        <f t="shared" si="16"/>
        <v>0</v>
      </c>
      <c r="L207" s="21">
        <f t="shared" si="17"/>
        <v>0</v>
      </c>
      <c r="M207" s="346" t="s">
        <v>662</v>
      </c>
      <c r="P207" s="44"/>
      <c r="Q207" s="44"/>
    </row>
    <row r="208" spans="1:33" ht="13.5" hidden="1" x14ac:dyDescent="0.15">
      <c r="A208" s="259">
        <v>76</v>
      </c>
      <c r="B208" s="345" t="s">
        <v>689</v>
      </c>
      <c r="C208" s="21" t="s">
        <v>613</v>
      </c>
      <c r="D208" s="104">
        <f>IF(ISERROR(HLOOKUP(J208,$Q$48:$AB$49,2)),0,HLOOKUP(J208,$Q$48:$AB$49,2))</f>
        <v>0</v>
      </c>
      <c r="E208" s="104">
        <f>IF(ISERROR(HLOOKUP(K208,$Q$48:$AB$49,2)),0,HLOOKUP(K208,$Q$48:$AB$49,2))</f>
        <v>0</v>
      </c>
      <c r="F208" s="104">
        <f>IF(ISERROR(HLOOKUP(L208,$Q$48:$AB$49,2)),0,HLOOKUP(L208,$Q$48:$AB$49,2))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15"/>
        <v>0</v>
      </c>
      <c r="K208" s="21">
        <f t="shared" si="16"/>
        <v>0</v>
      </c>
      <c r="L208" s="21">
        <f t="shared" si="17"/>
        <v>0</v>
      </c>
      <c r="M208" s="346" t="s">
        <v>662</v>
      </c>
      <c r="P208" s="44"/>
      <c r="Q208" s="44"/>
    </row>
    <row r="209" spans="1:32" ht="13.5" hidden="1" x14ac:dyDescent="0.15">
      <c r="A209" s="259">
        <v>77</v>
      </c>
      <c r="B209" s="345" t="s">
        <v>666</v>
      </c>
      <c r="C209" s="21" t="s">
        <v>613</v>
      </c>
      <c r="D209" s="104">
        <f>IF(ISERROR(HLOOKUP(J209,$Q$48:$AA$49,2)),0,HLOOKUP(J209,$Q$48:$AA$49,2))</f>
        <v>0</v>
      </c>
      <c r="E209" s="104">
        <f>IF(ISERROR(HLOOKUP(K209,$Q$48:$AA$49,2)),0,HLOOKUP(K209,$Q$48:$AA$49,2))</f>
        <v>0</v>
      </c>
      <c r="F209" s="104">
        <f>IF(ISERROR(HLOOKUP(L209,$Q$48:$AA$49,2)),0,HLOOKUP(L209,$Q$48:$AA$49,2))</f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15"/>
        <v>0</v>
      </c>
      <c r="K209" s="21">
        <f t="shared" si="16"/>
        <v>0</v>
      </c>
      <c r="L209" s="21">
        <f t="shared" si="17"/>
        <v>0</v>
      </c>
      <c r="M209" s="346" t="s">
        <v>662</v>
      </c>
      <c r="P209" s="44"/>
      <c r="Q209" s="44"/>
    </row>
    <row r="210" spans="1:32" ht="13.5" hidden="1" x14ac:dyDescent="0.15">
      <c r="A210" s="259">
        <v>78</v>
      </c>
      <c r="B210" s="345" t="s">
        <v>667</v>
      </c>
      <c r="C210" s="21" t="s">
        <v>613</v>
      </c>
      <c r="D210" s="104">
        <f>IF(ISERROR(HLOOKUP(J210,$Q$57:$AA$58,2)),0,HLOOKUP(J210,$Q$57:$AA$58,2))</f>
        <v>0</v>
      </c>
      <c r="E210" s="104">
        <f>IF(ISERROR(HLOOKUP(K210,$Q$57:$AA$58,2)),0,HLOOKUP(K210,$Q$57:$AA$58,2))</f>
        <v>0</v>
      </c>
      <c r="F210" s="104">
        <f>IF(ISERROR(HLOOKUP(L210,$Q$57:$AA$58,2)),0,HLOOKUP(L210,$Q$57:$AA$58,2))</f>
        <v>0</v>
      </c>
      <c r="G210" s="396">
        <f>SUM($F$29:$F$32)</f>
        <v>0</v>
      </c>
      <c r="H210" s="103">
        <f>SUM($F$29:$F$32)+$J$51</f>
        <v>0</v>
      </c>
      <c r="I210" s="103">
        <f>SUM($F$29:$F$32)+$J$51+$J$60</f>
        <v>0</v>
      </c>
      <c r="J210" s="21">
        <f t="shared" si="15"/>
        <v>0</v>
      </c>
      <c r="K210" s="21">
        <f t="shared" si="16"/>
        <v>0</v>
      </c>
      <c r="L210" s="21">
        <f t="shared" si="17"/>
        <v>0</v>
      </c>
      <c r="M210" s="346" t="s">
        <v>662</v>
      </c>
      <c r="P210" s="44"/>
      <c r="Q210" s="44"/>
    </row>
    <row r="211" spans="1:32" s="308" customFormat="1" ht="13.5" hidden="1" x14ac:dyDescent="0.15">
      <c r="A211" s="304">
        <v>79</v>
      </c>
      <c r="B211" s="349" t="s">
        <v>668</v>
      </c>
      <c r="C211" s="308" t="s">
        <v>613</v>
      </c>
      <c r="D211" s="305">
        <f>IF(ISERROR(HLOOKUP(J211,$Q$39:$AA$40,2)),0,HLOOKUP(J211,$Q$39:$AA$40,2))</f>
        <v>0</v>
      </c>
      <c r="E211" s="305">
        <f>IF(ISERROR(HLOOKUP(K211,$Q$39:$AA$40,2)),0,HLOOKUP(K211,$Q$39:$AA$40,2))</f>
        <v>0</v>
      </c>
      <c r="F211" s="305">
        <f>IF(ISERROR(HLOOKUP(L211,$Q$39:$AA$40,2)),0,HLOOKUP(L211,$Q$39:$AA$40,2))</f>
        <v>0</v>
      </c>
      <c r="G211" s="399">
        <f>$N$211+$F$33</f>
        <v>0</v>
      </c>
      <c r="H211" s="307">
        <f>$G$211+$J$51</f>
        <v>0</v>
      </c>
      <c r="I211" s="307">
        <f>$N$211+$J$51+$J$60</f>
        <v>0</v>
      </c>
      <c r="J211" s="308">
        <f t="shared" si="15"/>
        <v>0</v>
      </c>
      <c r="K211" s="308">
        <f t="shared" si="16"/>
        <v>0</v>
      </c>
      <c r="L211" s="308">
        <f t="shared" si="17"/>
        <v>0</v>
      </c>
      <c r="M211" s="352" t="s">
        <v>662</v>
      </c>
      <c r="N211" s="308">
        <f>IF($C$30&gt;=$A$36,$E$30-$C$30+1,IF($C$31&gt;=$A$36,$E$31-$C$31+1,IF($C$32&gt;=$A$36,$E$32-$C$32+1,IF($E$30&lt;&gt;0,$E$30-$A$36+1,IF($E$31&lt;&gt;0,$E$31-$A$36+1,IF($E$32&lt;&gt;0,$E$32-$A$36+1,0))))))</f>
        <v>0</v>
      </c>
      <c r="O211" s="309"/>
      <c r="P211" s="353"/>
      <c r="Q211" s="353"/>
      <c r="AD211" s="310"/>
      <c r="AE211" s="310"/>
      <c r="AF211" s="310"/>
    </row>
    <row r="212" spans="1:32" ht="13.5" hidden="1" x14ac:dyDescent="0.15">
      <c r="A212" s="259">
        <v>80</v>
      </c>
      <c r="B212" s="345" t="s">
        <v>669</v>
      </c>
      <c r="C212" s="21" t="s">
        <v>547</v>
      </c>
      <c r="D212" s="104">
        <f>IF(ISERROR(HLOOKUP(J212,$Q$73:$V$74,2)),0,HLOOKUP(J212,$Q$73:$V$74,2))</f>
        <v>0</v>
      </c>
      <c r="E212" s="104">
        <f>IF(ISERROR(HLOOKUP(K212,$Q$73:$V$74,2)),0,HLOOKUP(K212,$Q$73:$V$74,2))</f>
        <v>0</v>
      </c>
      <c r="F212" s="104">
        <f>IF(ISERROR(HLOOKUP(L212,$Q$73:$V$74,2)),0,HLOOKUP(L212,$Q$73:$V$74,2))</f>
        <v>0</v>
      </c>
      <c r="G212" s="396">
        <f>SUM($F$27:$F$32)</f>
        <v>0</v>
      </c>
      <c r="H212" s="103">
        <f>SUM($F$27:$F$32)+$J$51</f>
        <v>0</v>
      </c>
      <c r="I212" s="103">
        <f>SUM($F$27:$F$32)+$J$51+$J$60</f>
        <v>0</v>
      </c>
      <c r="J212" s="21">
        <f t="shared" si="15"/>
        <v>0</v>
      </c>
      <c r="K212" s="21">
        <f t="shared" si="16"/>
        <v>0</v>
      </c>
      <c r="L212" s="21">
        <f t="shared" si="17"/>
        <v>0</v>
      </c>
      <c r="M212" s="346" t="s">
        <v>662</v>
      </c>
      <c r="P212" s="44"/>
      <c r="Q212" s="44"/>
    </row>
    <row r="213" spans="1:32" ht="13.5" hidden="1" x14ac:dyDescent="0.15">
      <c r="A213" s="259" t="s">
        <v>703</v>
      </c>
      <c r="B213" s="345" t="s">
        <v>701</v>
      </c>
      <c r="C213" s="21" t="s">
        <v>702</v>
      </c>
      <c r="D213" s="148">
        <f>IF(J213&lt;=10,0.1,IF(J213&lt;=20,0.2,0.3))</f>
        <v>0.1</v>
      </c>
      <c r="E213" s="148">
        <f>IF(K213&lt;=10,0.1,IF(K213&lt;=20,0.2,0.3))</f>
        <v>0.1</v>
      </c>
      <c r="F213" s="148">
        <f>IF(L213&lt;=10,0.1,IF(L213&lt;=20,0.2,0.3))</f>
        <v>0.1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15"/>
        <v>0</v>
      </c>
      <c r="K213" s="21">
        <f t="shared" si="16"/>
        <v>0</v>
      </c>
      <c r="L213" s="21">
        <f t="shared" si="17"/>
        <v>0</v>
      </c>
      <c r="M213" s="346" t="s">
        <v>662</v>
      </c>
      <c r="P213" s="44"/>
      <c r="Q213" s="44"/>
    </row>
    <row r="214" spans="1:32" ht="13.5" hidden="1" x14ac:dyDescent="0.15">
      <c r="A214" s="259">
        <v>81</v>
      </c>
      <c r="B214" s="345" t="s">
        <v>670</v>
      </c>
      <c r="C214" s="21" t="s">
        <v>547</v>
      </c>
      <c r="D214" s="104">
        <f>IF(ISERROR(HLOOKUP(J214,$Q$73:$W$74,2)),0,HLOOKUP(J214,$Q$73:$W$74,2))</f>
        <v>0</v>
      </c>
      <c r="E214" s="104">
        <f>IF(ISERROR(HLOOKUP(K214,$Q$73:$W$74,2)),0,HLOOKUP(K214,$Q$73:$W$74,2))</f>
        <v>0</v>
      </c>
      <c r="F214" s="104">
        <f>IF(ISERROR(HLOOKUP(L214,$Q$73:$W$74,2)),0,HLOOKUP(L214,$Q$73:$W$74,2))</f>
        <v>0</v>
      </c>
      <c r="G214" s="396">
        <f>SUM($F$27:$F$33)</f>
        <v>0</v>
      </c>
      <c r="H214" s="103">
        <f>SUM($F$27:$F$33)+$J$51</f>
        <v>0</v>
      </c>
      <c r="I214" s="103">
        <f>SUM($F$27:$F$33)+$J$51+$J$60</f>
        <v>0</v>
      </c>
      <c r="J214" s="21">
        <f t="shared" si="15"/>
        <v>0</v>
      </c>
      <c r="K214" s="21">
        <f t="shared" si="16"/>
        <v>0</v>
      </c>
      <c r="L214" s="21">
        <f t="shared" si="17"/>
        <v>0</v>
      </c>
      <c r="M214" s="346" t="s">
        <v>662</v>
      </c>
      <c r="P214" s="44"/>
      <c r="Q214" s="44"/>
    </row>
    <row r="215" spans="1:32" ht="13.5" hidden="1" x14ac:dyDescent="0.15">
      <c r="A215" s="259">
        <v>82</v>
      </c>
      <c r="B215" s="345" t="s">
        <v>671</v>
      </c>
      <c r="C215" s="21" t="s">
        <v>613</v>
      </c>
      <c r="D215" s="104">
        <f>IF(ISERROR(HLOOKUP(J215,$Q$42:$AA$43,2)),0,HLOOKUP(J215,$Q$42:$AA$43,2))</f>
        <v>0</v>
      </c>
      <c r="E215" s="104">
        <f>IF(ISERROR(HLOOKUP(K215,$Q$42:$AA$43,2)),0,HLOOKUP(K215,$Q$42:$AA$43,2))</f>
        <v>0</v>
      </c>
      <c r="F215" s="104">
        <f>IF(ISERROR(HLOOKUP(L215,$Q$42:$AA$43,2)),0,HLOOKUP(L215,$Q$42:$AA$43,2))</f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15"/>
        <v>0</v>
      </c>
      <c r="K215" s="21">
        <f t="shared" si="16"/>
        <v>0</v>
      </c>
      <c r="L215" s="21">
        <f t="shared" si="17"/>
        <v>0</v>
      </c>
      <c r="M215" s="346" t="s">
        <v>662</v>
      </c>
      <c r="P215" s="44"/>
      <c r="Q215" s="44"/>
    </row>
    <row r="216" spans="1:32" ht="13.5" hidden="1" x14ac:dyDescent="0.15">
      <c r="A216" s="259">
        <v>83</v>
      </c>
      <c r="B216" s="345" t="s">
        <v>672</v>
      </c>
      <c r="C216" s="21"/>
      <c r="E216" s="40"/>
      <c r="J216" s="21">
        <f t="shared" si="15"/>
        <v>0</v>
      </c>
      <c r="K216" s="21">
        <f t="shared" si="16"/>
        <v>0</v>
      </c>
      <c r="L216" s="21">
        <f t="shared" si="17"/>
        <v>0</v>
      </c>
      <c r="M216" s="346" t="s">
        <v>662</v>
      </c>
      <c r="P216" s="44"/>
      <c r="Q216" s="44"/>
    </row>
    <row r="217" spans="1:32" ht="13.5" hidden="1" x14ac:dyDescent="0.15">
      <c r="A217" s="259">
        <v>84</v>
      </c>
      <c r="B217" s="108" t="s">
        <v>673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15"/>
        <v>0</v>
      </c>
      <c r="K217" s="21">
        <f t="shared" si="16"/>
        <v>0</v>
      </c>
      <c r="L217" s="21">
        <f t="shared" si="17"/>
        <v>0</v>
      </c>
      <c r="M217" s="346" t="s">
        <v>662</v>
      </c>
      <c r="N217" s="104">
        <f>IF(ISERROR(HLOOKUP(L217,$Q$48:$AB$49,2)),0,HLOOKUP(L217,$Q$48:$AB$49,2))</f>
        <v>0</v>
      </c>
      <c r="P217" s="44"/>
      <c r="Q217" s="44"/>
    </row>
    <row r="218" spans="1:32" ht="13.5" hidden="1" x14ac:dyDescent="0.15">
      <c r="A218" s="259">
        <v>85</v>
      </c>
      <c r="B218" s="108" t="s">
        <v>674</v>
      </c>
      <c r="C218" s="21" t="s">
        <v>527</v>
      </c>
      <c r="D218" s="104">
        <f>IF(ISERROR(HLOOKUP(J218,$Q$35:$AY$36,2)),0,HLOOKUP(J218,$Q$35:$AY$36,2))</f>
        <v>0</v>
      </c>
      <c r="E218" s="104">
        <f>IF(ISERROR(HLOOKUP(K218,$Q$35:$AY$36,2)),0,HLOOKUP(K218,$Q$35:$AY$36,2))</f>
        <v>0</v>
      </c>
      <c r="F218" s="104">
        <f>IF(ISERROR(HLOOKUP(L218,$Q$35:$AY$36,2)),0,HLOOKUP(L218,$Q$35:$AY$36,2))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ref="J218:J225" si="19">ROUNDDOWN(G218/365,0)</f>
        <v>0</v>
      </c>
      <c r="K218" s="21">
        <f t="shared" ref="K218:K225" si="20">ROUNDDOWN(H218/365,0)</f>
        <v>0</v>
      </c>
      <c r="L218" s="21">
        <f t="shared" ref="L218:L225" si="21">ROUNDDOWN(I218/365,0)</f>
        <v>0</v>
      </c>
      <c r="M218" s="346" t="s">
        <v>662</v>
      </c>
      <c r="P218" s="44"/>
      <c r="Q218" s="44"/>
    </row>
    <row r="219" spans="1:32" ht="13.5" hidden="1" x14ac:dyDescent="0.15">
      <c r="A219" s="259">
        <v>86</v>
      </c>
      <c r="B219" s="108" t="s">
        <v>675</v>
      </c>
      <c r="C219" s="21" t="s">
        <v>613</v>
      </c>
      <c r="D219" s="104">
        <f>IF(ISERROR(HLOOKUP(J219,$Q$60:$AC$61,2)),0,HLOOKUP(J219,$Q$60:$AC$61,2))</f>
        <v>0</v>
      </c>
      <c r="E219" s="104">
        <f>IF(ISERROR(HLOOKUP(K219,$Q$60:$AC$61,2)),0,HLOOKUP(K219,$Q$60:$AC$61,2))</f>
        <v>0</v>
      </c>
      <c r="F219" s="104">
        <f>IF(ISERROR(HLOOKUP(L219,$Q$60:$AC$61,2)),0,HLOOKUP(L219,$Q$60:$AC$61,2))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19"/>
        <v>0</v>
      </c>
      <c r="K219" s="21">
        <f t="shared" si="20"/>
        <v>0</v>
      </c>
      <c r="L219" s="21">
        <f t="shared" si="21"/>
        <v>0</v>
      </c>
      <c r="M219" s="346" t="s">
        <v>662</v>
      </c>
      <c r="P219" s="44"/>
      <c r="Q219" s="44"/>
    </row>
    <row r="220" spans="1:32" ht="13.5" hidden="1" x14ac:dyDescent="0.15">
      <c r="A220" s="259">
        <v>87</v>
      </c>
      <c r="B220" s="108" t="s">
        <v>677</v>
      </c>
      <c r="C220" s="21"/>
      <c r="D220" s="21"/>
      <c r="J220" s="21">
        <f t="shared" si="19"/>
        <v>0</v>
      </c>
      <c r="K220" s="21">
        <f t="shared" si="20"/>
        <v>0</v>
      </c>
      <c r="L220" s="21">
        <f t="shared" si="21"/>
        <v>0</v>
      </c>
      <c r="M220" s="346" t="s">
        <v>662</v>
      </c>
      <c r="P220" s="44"/>
      <c r="Q220" s="44"/>
    </row>
    <row r="221" spans="1:32" ht="13.5" hidden="1" x14ac:dyDescent="0.15">
      <c r="A221" s="259">
        <v>88</v>
      </c>
      <c r="B221" s="108" t="s">
        <v>678</v>
      </c>
      <c r="C221" s="21" t="s">
        <v>613</v>
      </c>
      <c r="D221" s="104">
        <f>IF(ISERROR(HLOOKUP(J221,$Q$39:$AA$40,2)),0,HLOOKUP(J221,$Q$39:$AA$40,2))</f>
        <v>0</v>
      </c>
      <c r="E221" s="104">
        <f>IF(ISERROR(HLOOKUP(K221,$Q$39:$AA$40,2)),0,HLOOKUP(K221,$Q$39:$AA$40,2))</f>
        <v>0</v>
      </c>
      <c r="F221" s="104">
        <f>IF(ISERROR(HLOOKUP(L221,$Q$39:$AA$40,2)),0,HLOOKUP(L221,$Q$39:$AA$40,2))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19"/>
        <v>0</v>
      </c>
      <c r="K221" s="21">
        <f t="shared" si="20"/>
        <v>0</v>
      </c>
      <c r="L221" s="21">
        <f t="shared" si="21"/>
        <v>0</v>
      </c>
      <c r="M221" s="346" t="s">
        <v>662</v>
      </c>
      <c r="P221" s="44"/>
      <c r="Q221" s="44"/>
    </row>
    <row r="222" spans="1:32" ht="13.5" hidden="1" x14ac:dyDescent="0.15">
      <c r="A222" s="259">
        <v>89</v>
      </c>
      <c r="B222" s="108" t="s">
        <v>679</v>
      </c>
      <c r="C222" s="21" t="s">
        <v>613</v>
      </c>
      <c r="D222" s="104">
        <f>IF(ISERROR(HLOOKUP(J222,$Q$48:$V$49,2)),0,HLOOKUP(J222,$Q$48:$V$49,2))</f>
        <v>0</v>
      </c>
      <c r="E222" s="104">
        <f>IF(ISERROR(HLOOKUP(K222,$Q$48:$V$49,2)),0,HLOOKUP(K222,$Q$48:$V$49,2))</f>
        <v>0</v>
      </c>
      <c r="F222" s="104">
        <f>IF(ISERROR(HLOOKUP(L222,$Q$48:$V$49,2)),0,HLOOKUP(L222,$Q$48:$V$49,2))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19"/>
        <v>0</v>
      </c>
      <c r="K222" s="21">
        <f t="shared" si="20"/>
        <v>0</v>
      </c>
      <c r="L222" s="21">
        <f t="shared" si="21"/>
        <v>0</v>
      </c>
      <c r="M222" s="346" t="s">
        <v>662</v>
      </c>
      <c r="P222" s="44"/>
      <c r="Q222" s="44"/>
    </row>
    <row r="223" spans="1:32" ht="13.5" hidden="1" x14ac:dyDescent="0.15">
      <c r="A223" s="259">
        <v>90</v>
      </c>
      <c r="B223" s="108" t="s">
        <v>680</v>
      </c>
      <c r="C223" s="21" t="s">
        <v>527</v>
      </c>
      <c r="D223" s="104">
        <f>IF(ISERROR(HLOOKUP(J223,$Q$26:$AY$27,2)),0,HLOOKUP(J223,$Q$26:$AY$27,2))</f>
        <v>0</v>
      </c>
      <c r="E223" s="104">
        <f>IF(ISERROR(HLOOKUP(K223,$Q$26:$AY$27,2)),0,HLOOKUP(K223,$Q$26:$AY$27,2))</f>
        <v>0</v>
      </c>
      <c r="F223" s="104">
        <f>IF(ISERROR(HLOOKUP(L223,$Q$26:$AY$27,2)),0,HLOOKUP(L223,$Q$26:$AY$27,2))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19"/>
        <v>0</v>
      </c>
      <c r="K223" s="21">
        <f t="shared" si="20"/>
        <v>0</v>
      </c>
      <c r="L223" s="21">
        <f t="shared" si="21"/>
        <v>0</v>
      </c>
      <c r="M223" s="346" t="s">
        <v>662</v>
      </c>
      <c r="P223" s="44"/>
      <c r="Q223" s="44"/>
    </row>
    <row r="224" spans="1:32" ht="13.5" hidden="1" x14ac:dyDescent="0.15">
      <c r="A224" s="259">
        <v>91</v>
      </c>
      <c r="B224" s="108" t="s">
        <v>681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19"/>
        <v>0</v>
      </c>
      <c r="K224" s="21">
        <f t="shared" si="20"/>
        <v>0</v>
      </c>
      <c r="L224" s="21">
        <f t="shared" si="21"/>
        <v>0</v>
      </c>
      <c r="M224" s="346" t="s">
        <v>662</v>
      </c>
      <c r="P224" s="44"/>
      <c r="Q224" s="44"/>
    </row>
    <row r="225" spans="1:40" ht="13.5" hidden="1" x14ac:dyDescent="0.15">
      <c r="A225" s="259">
        <v>92</v>
      </c>
      <c r="B225" s="108" t="s">
        <v>682</v>
      </c>
      <c r="C225" s="21" t="s">
        <v>613</v>
      </c>
      <c r="D225" s="104">
        <f>IF(ISERROR(HLOOKUP(J225,$Q$42:$Z$43,2)),0,HLOOKUP(J225,$Q$42:$Z$43,2))</f>
        <v>0</v>
      </c>
      <c r="E225" s="104">
        <f>IF(ISERROR(HLOOKUP(K225,$Q$42:$Z$43,2)),0,HLOOKUP(K225,$Q$42:$Z$43,2))</f>
        <v>0</v>
      </c>
      <c r="F225" s="104">
        <f>IF(ISERROR(HLOOKUP(L225,$Q$42:$Z$43,2)),0,HLOOKUP(L225,$Q$42:$Z$43,2))</f>
        <v>0</v>
      </c>
      <c r="G225" s="396">
        <f>SUM($F$30:$F$32)</f>
        <v>0</v>
      </c>
      <c r="H225" s="103">
        <f>SUM($F$30:$F$32)+$J$51</f>
        <v>0</v>
      </c>
      <c r="I225" s="103">
        <f>SUM($F$30:$F$32)+$J$51+$J$60</f>
        <v>0</v>
      </c>
      <c r="J225" s="21">
        <f t="shared" si="19"/>
        <v>0</v>
      </c>
      <c r="K225" s="21">
        <f t="shared" si="20"/>
        <v>0</v>
      </c>
      <c r="L225" s="21">
        <f t="shared" si="21"/>
        <v>0</v>
      </c>
      <c r="M225" s="346" t="s">
        <v>662</v>
      </c>
      <c r="P225" s="44"/>
      <c r="Q225" s="44"/>
    </row>
    <row r="226" spans="1:40" ht="13.5" hidden="1" x14ac:dyDescent="0.15">
      <c r="B226" s="10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357"/>
      <c r="N226" s="54"/>
      <c r="O226" s="258"/>
      <c r="P226" s="44"/>
      <c r="Q226" s="44"/>
    </row>
    <row r="227" spans="1:40" ht="13.5" hidden="1" x14ac:dyDescent="0.15">
      <c r="B227" s="248" t="s">
        <v>720</v>
      </c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258"/>
    </row>
    <row r="228" spans="1:40" ht="13.5" hidden="1" x14ac:dyDescent="0.15">
      <c r="A228" s="259">
        <v>1</v>
      </c>
      <c r="B228" s="51" t="s">
        <v>550</v>
      </c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258"/>
    </row>
    <row r="229" spans="1:40" ht="13.5" hidden="1" x14ac:dyDescent="0.15">
      <c r="A229" s="259" t="s">
        <v>721</v>
      </c>
      <c r="B229" s="51" t="s">
        <v>615</v>
      </c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58"/>
    </row>
    <row r="230" spans="1:40" ht="13.5" hidden="1" x14ac:dyDescent="0.15">
      <c r="A230" s="259">
        <v>2</v>
      </c>
      <c r="B230" s="338" t="s">
        <v>617</v>
      </c>
      <c r="C230" s="109"/>
      <c r="D230" s="109"/>
      <c r="E230" s="110"/>
      <c r="F230" s="358"/>
      <c r="G230" s="111"/>
      <c r="H230" s="111"/>
      <c r="I230" s="111"/>
      <c r="J230" s="46"/>
      <c r="K230" s="46"/>
      <c r="L230" s="46"/>
      <c r="M230" s="46"/>
      <c r="N230" s="9"/>
      <c r="O230" s="258"/>
    </row>
    <row r="231" spans="1:40" ht="13.5" hidden="1" x14ac:dyDescent="0.15">
      <c r="A231" s="259">
        <v>3</v>
      </c>
      <c r="B231" s="345" t="s">
        <v>645</v>
      </c>
      <c r="C231" s="104"/>
      <c r="D231" s="105"/>
      <c r="E231" s="106"/>
      <c r="F231" s="47"/>
      <c r="G231" s="47"/>
      <c r="H231" s="47"/>
      <c r="I231" s="47"/>
      <c r="J231" s="46"/>
      <c r="K231" s="46"/>
      <c r="L231" s="46"/>
      <c r="M231" s="46"/>
      <c r="N231" s="46"/>
      <c r="O231" s="258"/>
    </row>
    <row r="232" spans="1:40" ht="13.5" hidden="1" x14ac:dyDescent="0.15">
      <c r="A232" s="259">
        <v>4</v>
      </c>
      <c r="B232" s="338" t="s">
        <v>618</v>
      </c>
      <c r="C232" s="104"/>
      <c r="D232" s="104"/>
      <c r="E232" s="104"/>
      <c r="F232" s="112"/>
      <c r="G232" s="112"/>
      <c r="H232" s="112"/>
      <c r="I232" s="112"/>
      <c r="J232" s="46"/>
      <c r="K232" s="46"/>
      <c r="L232" s="46"/>
      <c r="M232" s="46"/>
      <c r="N232" s="46"/>
      <c r="O232" s="258"/>
    </row>
    <row r="233" spans="1:40" ht="13.5" hidden="1" x14ac:dyDescent="0.15">
      <c r="A233" s="259">
        <v>5</v>
      </c>
      <c r="B233" s="345" t="s">
        <v>646</v>
      </c>
      <c r="C233" s="104"/>
      <c r="D233" s="104"/>
      <c r="E233" s="104"/>
      <c r="F233" s="112"/>
      <c r="G233" s="112"/>
      <c r="H233" s="112"/>
      <c r="I233" s="112"/>
      <c r="J233" s="46"/>
      <c r="K233" s="46"/>
      <c r="L233" s="46"/>
      <c r="M233" s="46"/>
      <c r="N233" s="46"/>
      <c r="O233" s="258"/>
    </row>
    <row r="234" spans="1:40" ht="13.5" hidden="1" x14ac:dyDescent="0.15">
      <c r="A234" s="259">
        <v>6</v>
      </c>
      <c r="B234" s="345" t="s">
        <v>647</v>
      </c>
      <c r="C234" s="104"/>
      <c r="D234" s="104"/>
      <c r="E234" s="104"/>
      <c r="F234" s="112"/>
      <c r="G234" s="112"/>
      <c r="H234" s="112"/>
      <c r="I234" s="112"/>
      <c r="J234" s="46"/>
      <c r="K234" s="46"/>
      <c r="L234" s="46"/>
      <c r="M234" s="46"/>
      <c r="N234" s="46"/>
      <c r="O234" s="258"/>
    </row>
    <row r="235" spans="1:40" ht="13.5" hidden="1" x14ac:dyDescent="0.15">
      <c r="A235" s="259">
        <v>7</v>
      </c>
      <c r="B235" s="51" t="s">
        <v>551</v>
      </c>
      <c r="C235" s="104"/>
      <c r="D235" s="104"/>
      <c r="E235" s="104"/>
      <c r="F235" s="112"/>
      <c r="G235" s="112"/>
      <c r="H235" s="112"/>
      <c r="I235" s="112"/>
      <c r="J235" s="46"/>
      <c r="K235" s="46"/>
      <c r="L235" s="46"/>
      <c r="M235" s="46"/>
      <c r="N235" s="46"/>
      <c r="O235" s="258"/>
    </row>
    <row r="236" spans="1:40" ht="13.5" hidden="1" x14ac:dyDescent="0.15">
      <c r="A236" s="259">
        <v>8</v>
      </c>
      <c r="B236" s="51" t="s">
        <v>552</v>
      </c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258"/>
    </row>
    <row r="237" spans="1:40" ht="13.5" hidden="1" x14ac:dyDescent="0.15">
      <c r="A237" s="259">
        <v>9</v>
      </c>
      <c r="B237" s="51" t="s">
        <v>553</v>
      </c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58"/>
      <c r="AH237" s="69"/>
      <c r="AI237" s="69"/>
      <c r="AJ237" s="69"/>
      <c r="AK237" s="69"/>
      <c r="AL237" s="69"/>
      <c r="AM237" s="69"/>
      <c r="AN237" s="69"/>
    </row>
    <row r="238" spans="1:40" ht="13.5" hidden="1" x14ac:dyDescent="0.15">
      <c r="A238" s="259" t="s">
        <v>722</v>
      </c>
      <c r="B238" s="51" t="s">
        <v>616</v>
      </c>
      <c r="C238" s="109"/>
      <c r="D238" s="109"/>
      <c r="E238" s="110"/>
      <c r="F238" s="358"/>
      <c r="G238" s="111"/>
      <c r="H238" s="111"/>
      <c r="I238" s="111"/>
      <c r="J238" s="46"/>
      <c r="K238" s="46"/>
      <c r="L238" s="46"/>
      <c r="M238" s="46"/>
      <c r="N238" s="9"/>
      <c r="O238" s="258"/>
      <c r="AH238" s="69"/>
      <c r="AI238" s="69"/>
      <c r="AJ238" s="69"/>
      <c r="AK238" s="69"/>
      <c r="AL238" s="69"/>
      <c r="AM238" s="69"/>
      <c r="AN238" s="69"/>
    </row>
    <row r="239" spans="1:40" ht="13.5" hidden="1" x14ac:dyDescent="0.15">
      <c r="A239" s="259">
        <v>10</v>
      </c>
      <c r="B239" s="338" t="s">
        <v>619</v>
      </c>
      <c r="C239" s="104"/>
      <c r="D239" s="105"/>
      <c r="E239" s="106"/>
      <c r="F239" s="46"/>
      <c r="G239" s="46"/>
      <c r="H239" s="46"/>
      <c r="I239" s="46"/>
      <c r="J239" s="46"/>
      <c r="K239" s="46"/>
      <c r="L239" s="46"/>
      <c r="M239" s="46"/>
      <c r="N239" s="46"/>
      <c r="O239" s="258"/>
      <c r="AH239" s="69"/>
      <c r="AI239" s="69"/>
      <c r="AJ239" s="69"/>
      <c r="AK239" s="69"/>
      <c r="AL239" s="69"/>
      <c r="AM239" s="69"/>
      <c r="AN239" s="69"/>
    </row>
    <row r="240" spans="1:40" ht="13.5" hidden="1" x14ac:dyDescent="0.15">
      <c r="A240" s="259">
        <v>11</v>
      </c>
      <c r="B240" s="345" t="s">
        <v>648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  <c r="AH240" s="69"/>
      <c r="AI240" s="69"/>
      <c r="AJ240" s="69"/>
      <c r="AK240" s="69"/>
      <c r="AL240" s="69"/>
      <c r="AM240" s="69"/>
      <c r="AN240" s="69"/>
    </row>
    <row r="241" spans="1:40" ht="13.5" hidden="1" x14ac:dyDescent="0.15">
      <c r="A241" s="259">
        <v>12</v>
      </c>
      <c r="B241" s="345" t="s">
        <v>649</v>
      </c>
      <c r="C241" s="104"/>
      <c r="D241" s="105"/>
      <c r="E241" s="106"/>
      <c r="F241" s="47"/>
      <c r="G241" s="111"/>
      <c r="H241" s="47"/>
      <c r="I241" s="47"/>
      <c r="J241" s="46"/>
      <c r="K241" s="46"/>
      <c r="L241" s="46"/>
      <c r="M241" s="46"/>
      <c r="N241" s="46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>
        <v>13</v>
      </c>
      <c r="B242" s="338" t="s">
        <v>620</v>
      </c>
      <c r="C242" s="104"/>
      <c r="D242" s="105"/>
      <c r="E242" s="106"/>
      <c r="F242" s="47"/>
      <c r="G242" s="111"/>
      <c r="H242" s="47"/>
      <c r="I242" s="47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14</v>
      </c>
      <c r="B243" s="345" t="s">
        <v>650</v>
      </c>
      <c r="C243" s="104"/>
      <c r="D243" s="105"/>
      <c r="E243" s="106"/>
      <c r="F243" s="47"/>
      <c r="G243" s="111"/>
      <c r="H243" s="47"/>
      <c r="I243" s="47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15</v>
      </c>
      <c r="B244" s="345" t="s">
        <v>651</v>
      </c>
      <c r="C244" s="104"/>
      <c r="D244" s="105"/>
      <c r="E244" s="106"/>
      <c r="F244" s="47"/>
      <c r="G244" s="111"/>
      <c r="H244" s="47"/>
      <c r="I244" s="47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16</v>
      </c>
      <c r="B245" s="339" t="s">
        <v>621</v>
      </c>
      <c r="C245" s="104"/>
      <c r="D245" s="105"/>
      <c r="E245" s="106"/>
      <c r="F245" s="112"/>
      <c r="G245" s="112"/>
      <c r="H245" s="112"/>
      <c r="I245" s="112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17</v>
      </c>
      <c r="B246" s="345" t="s">
        <v>652</v>
      </c>
      <c r="C246" s="104"/>
      <c r="D246" s="105"/>
      <c r="E246" s="106"/>
      <c r="F246" s="112"/>
      <c r="G246" s="112"/>
      <c r="H246" s="112"/>
      <c r="I246" s="112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18</v>
      </c>
      <c r="B247" s="345" t="s">
        <v>653</v>
      </c>
      <c r="C247" s="104"/>
      <c r="D247" s="104"/>
      <c r="E247" s="104"/>
      <c r="F247" s="112"/>
      <c r="G247" s="112"/>
      <c r="H247" s="112"/>
      <c r="I247" s="112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19</v>
      </c>
      <c r="B248" s="340" t="s">
        <v>622</v>
      </c>
      <c r="C248" s="104"/>
      <c r="D248" s="104"/>
      <c r="E248" s="104"/>
      <c r="F248" s="112"/>
      <c r="G248" s="112"/>
      <c r="H248" s="112"/>
      <c r="I248" s="112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20</v>
      </c>
      <c r="B249" s="345" t="s">
        <v>654</v>
      </c>
      <c r="C249" s="104"/>
      <c r="D249" s="104"/>
      <c r="E249" s="104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21</v>
      </c>
      <c r="B250" s="340" t="s">
        <v>623</v>
      </c>
      <c r="C250" s="104"/>
      <c r="D250" s="104"/>
      <c r="E250" s="104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22</v>
      </c>
      <c r="B251" s="345" t="s">
        <v>655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23</v>
      </c>
      <c r="B252" s="340" t="s">
        <v>624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24</v>
      </c>
      <c r="B253" s="340" t="s">
        <v>625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25</v>
      </c>
      <c r="B254" s="340" t="s">
        <v>626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26</v>
      </c>
      <c r="B255" s="51" t="s">
        <v>556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27</v>
      </c>
      <c r="B256" s="107" t="s">
        <v>549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28</v>
      </c>
      <c r="B257" s="340" t="s">
        <v>627</v>
      </c>
      <c r="C257" s="359"/>
      <c r="D257" s="111"/>
      <c r="E257" s="360"/>
      <c r="F257" s="112"/>
      <c r="G257" s="112"/>
      <c r="H257" s="112"/>
      <c r="I257" s="112"/>
      <c r="J257" s="46"/>
      <c r="K257" s="46"/>
      <c r="L257" s="46"/>
      <c r="M257" s="46"/>
      <c r="N257" s="361"/>
      <c r="O257" s="258"/>
    </row>
    <row r="258" spans="1:15" ht="13.5" hidden="1" x14ac:dyDescent="0.15">
      <c r="A258" s="259">
        <v>29</v>
      </c>
      <c r="B258" s="345" t="s">
        <v>663</v>
      </c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58"/>
    </row>
    <row r="259" spans="1:15" ht="13.5" hidden="1" x14ac:dyDescent="0.15">
      <c r="A259" s="259">
        <v>30</v>
      </c>
      <c r="B259" s="340" t="s">
        <v>628</v>
      </c>
      <c r="C259" s="109"/>
      <c r="D259" s="109"/>
      <c r="E259" s="110"/>
      <c r="F259" s="358"/>
      <c r="G259" s="111"/>
      <c r="H259" s="111"/>
      <c r="I259" s="111"/>
      <c r="J259" s="46"/>
      <c r="K259" s="46"/>
      <c r="L259" s="46"/>
      <c r="M259" s="46"/>
      <c r="N259" s="9"/>
      <c r="O259" s="258"/>
    </row>
    <row r="260" spans="1:15" ht="13.5" hidden="1" x14ac:dyDescent="0.15">
      <c r="A260" s="259">
        <v>31</v>
      </c>
      <c r="B260" s="51" t="s">
        <v>557</v>
      </c>
      <c r="C260" s="104"/>
      <c r="D260" s="105"/>
      <c r="E260" s="106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 t="s">
        <v>723</v>
      </c>
      <c r="B261" s="51" t="s">
        <v>614</v>
      </c>
      <c r="C261" s="104"/>
      <c r="D261" s="105"/>
      <c r="E261" s="106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32</v>
      </c>
      <c r="B262" s="345" t="s">
        <v>664</v>
      </c>
      <c r="C262" s="104"/>
      <c r="D262" s="105"/>
      <c r="E262" s="106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33</v>
      </c>
      <c r="B263" s="340" t="s">
        <v>629</v>
      </c>
      <c r="C263" s="104"/>
      <c r="D263" s="105"/>
      <c r="E263" s="106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34</v>
      </c>
      <c r="B264" s="345" t="s">
        <v>665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35</v>
      </c>
      <c r="B265" s="51" t="s">
        <v>559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36</v>
      </c>
      <c r="B266" s="51" t="s">
        <v>560</v>
      </c>
      <c r="C266" s="104"/>
      <c r="D266" s="104"/>
      <c r="E266" s="104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37</v>
      </c>
      <c r="B267" s="345" t="s">
        <v>689</v>
      </c>
      <c r="C267" s="104"/>
      <c r="D267" s="104"/>
      <c r="E267" s="104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38</v>
      </c>
      <c r="B268" s="345" t="s">
        <v>666</v>
      </c>
      <c r="C268" s="104"/>
      <c r="D268" s="104"/>
      <c r="E268" s="104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39</v>
      </c>
      <c r="B269" s="340" t="s">
        <v>630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40</v>
      </c>
      <c r="B270" s="340" t="s">
        <v>631</v>
      </c>
      <c r="C270" s="9"/>
      <c r="D270" s="9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41</v>
      </c>
      <c r="B271" s="51" t="s">
        <v>561</v>
      </c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42</v>
      </c>
      <c r="B272" s="345" t="s">
        <v>667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43</v>
      </c>
      <c r="B273" s="51" t="s">
        <v>562</v>
      </c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44</v>
      </c>
      <c r="B274" s="51" t="s">
        <v>563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45</v>
      </c>
      <c r="B275" s="51" t="s">
        <v>686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46</v>
      </c>
      <c r="B276" s="345" t="s">
        <v>668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47</v>
      </c>
      <c r="B277" s="345" t="s">
        <v>669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 t="s">
        <v>724</v>
      </c>
      <c r="B278" s="345" t="s">
        <v>701</v>
      </c>
      <c r="C278" s="9"/>
      <c r="D278" s="9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48</v>
      </c>
      <c r="B279" s="51" t="s">
        <v>564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49</v>
      </c>
      <c r="B280" s="345" t="s">
        <v>670</v>
      </c>
      <c r="C280" s="9"/>
      <c r="D280" s="9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50</v>
      </c>
      <c r="B281" s="340" t="s">
        <v>632</v>
      </c>
      <c r="C281" s="9"/>
      <c r="D281" s="9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51</v>
      </c>
      <c r="B282" s="51" t="s">
        <v>565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52</v>
      </c>
      <c r="B283" s="51" t="s">
        <v>566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53</v>
      </c>
      <c r="B284" s="51" t="s">
        <v>567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54</v>
      </c>
      <c r="B285" s="51" t="s">
        <v>568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55</v>
      </c>
      <c r="B286" s="51" t="s">
        <v>569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56</v>
      </c>
      <c r="B287" s="340" t="s">
        <v>633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57</v>
      </c>
      <c r="B288" s="51" t="s">
        <v>570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58</v>
      </c>
      <c r="B289" s="51" t="s">
        <v>571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59</v>
      </c>
      <c r="B290" s="345" t="s">
        <v>671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60</v>
      </c>
      <c r="B291" s="51" t="s">
        <v>572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61</v>
      </c>
      <c r="B292" s="51" t="s">
        <v>573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62</v>
      </c>
      <c r="B293" s="51" t="s">
        <v>574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63</v>
      </c>
      <c r="B294" s="345" t="s">
        <v>672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64</v>
      </c>
      <c r="B295" s="51" t="s">
        <v>580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65</v>
      </c>
      <c r="B296" s="51" t="s">
        <v>583</v>
      </c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258"/>
    </row>
    <row r="297" spans="1:15" ht="13.5" hidden="1" x14ac:dyDescent="0.15">
      <c r="A297" s="259">
        <v>66</v>
      </c>
      <c r="B297" s="340" t="s">
        <v>634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258"/>
    </row>
    <row r="298" spans="1:15" ht="13.5" hidden="1" x14ac:dyDescent="0.15">
      <c r="A298" s="259">
        <v>67</v>
      </c>
      <c r="B298" s="51" t="s">
        <v>581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258"/>
    </row>
    <row r="299" spans="1:15" ht="13.5" hidden="1" x14ac:dyDescent="0.15">
      <c r="A299" s="259" t="s">
        <v>725</v>
      </c>
      <c r="B299" s="51" t="s">
        <v>684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258"/>
    </row>
    <row r="300" spans="1:15" ht="13.5" hidden="1" x14ac:dyDescent="0.15">
      <c r="A300" s="259">
        <v>68</v>
      </c>
      <c r="B300" s="108" t="s">
        <v>673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69</v>
      </c>
      <c r="B301" s="340" t="s">
        <v>635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70</v>
      </c>
      <c r="B302" s="108" t="s">
        <v>674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>
        <v>71</v>
      </c>
      <c r="B303" s="108" t="s">
        <v>675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72</v>
      </c>
      <c r="B304" s="108" t="s">
        <v>677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73</v>
      </c>
      <c r="B305" s="340" t="s">
        <v>636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74</v>
      </c>
      <c r="B306" s="108" t="s">
        <v>678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75</v>
      </c>
      <c r="B307" s="340" t="s">
        <v>637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76</v>
      </c>
      <c r="B308" s="108" t="s">
        <v>679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77</v>
      </c>
      <c r="B309" s="340" t="s">
        <v>638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78</v>
      </c>
      <c r="B310" s="108" t="s">
        <v>680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79</v>
      </c>
      <c r="B311" s="340" t="s">
        <v>639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80</v>
      </c>
      <c r="B312" s="340" t="s">
        <v>640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81</v>
      </c>
      <c r="B313" s="108" t="s">
        <v>681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82</v>
      </c>
      <c r="B314" s="51" t="s">
        <v>584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83</v>
      </c>
      <c r="B315" s="340" t="s">
        <v>683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84</v>
      </c>
      <c r="B316" s="340" t="s">
        <v>699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85</v>
      </c>
      <c r="B317" s="340" t="s">
        <v>641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86</v>
      </c>
      <c r="B318" s="340" t="s">
        <v>642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87</v>
      </c>
      <c r="B319" s="340" t="s">
        <v>643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88</v>
      </c>
      <c r="B320" s="340" t="s">
        <v>644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89</v>
      </c>
      <c r="B321" s="51" t="s">
        <v>585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90</v>
      </c>
      <c r="B322" s="108" t="s">
        <v>682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91</v>
      </c>
      <c r="B323" s="51" t="s">
        <v>586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 t="s">
        <v>726</v>
      </c>
      <c r="B324" s="51" t="s">
        <v>685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92</v>
      </c>
      <c r="B325" s="51" t="s">
        <v>588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B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B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B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B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97:E97"/>
    <mergeCell ref="B126:N126"/>
    <mergeCell ref="C119:E119"/>
    <mergeCell ref="F119:H119"/>
    <mergeCell ref="K106:S106"/>
    <mergeCell ref="B106:J106"/>
    <mergeCell ref="I119:J119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F72:F74">
    <cfRule type="cellIs" dxfId="337" priority="1" stopIfTrue="1" operator="equal">
      <formula>"NADA A CUMPRIR"</formula>
    </cfRule>
    <cfRule type="cellIs" dxfId="336" priority="2" stopIfTrue="1" operator="equal">
      <formula>"NÃO CABE"</formula>
    </cfRule>
    <cfRule type="cellIs" dxfId="335" priority="3" stopIfTrue="1" operator="greaterThanOrEqual">
      <formula>0</formula>
    </cfRule>
  </conditionalFormatting>
  <conditionalFormatting sqref="E71">
    <cfRule type="cellIs" dxfId="334" priority="4" stopIfTrue="1" operator="equal">
      <formula>"NÃO ATENDE LIMITE MÍNIMO DE IDADE"</formula>
    </cfRule>
    <cfRule type="cellIs" dxfId="333" priority="5" stopIfTrue="1" operator="equal">
      <formula>"REANALISAR FUNDAMENTAÇÃO E/OU MODALIDADE"</formula>
    </cfRule>
    <cfRule type="cellIs" dxfId="332" priority="6" stopIfTrue="1" operator="equal">
      <formula>"ATENDE LIMITE MÍNIMO DE IDADE"</formula>
    </cfRule>
  </conditionalFormatting>
  <conditionalFormatting sqref="N69 N71">
    <cfRule type="cellIs" dxfId="331" priority="7" stopIfTrue="1" operator="equal">
      <formula>0</formula>
    </cfRule>
  </conditionalFormatting>
  <conditionalFormatting sqref="J96">
    <cfRule type="cellIs" dxfId="330" priority="8" stopIfTrue="1" operator="equal">
      <formula>"ATENDE TEMPO NO CARGO"</formula>
    </cfRule>
    <cfRule type="cellIs" dxfId="329" priority="9" stopIfTrue="1" operator="equal">
      <formula>"NÃO CUMPRE TEMPO NO CARGO"</formula>
    </cfRule>
  </conditionalFormatting>
  <conditionalFormatting sqref="K8">
    <cfRule type="expression" dxfId="328" priority="10" stopIfTrue="1">
      <formula>"SE($N$8=0)"</formula>
    </cfRule>
  </conditionalFormatting>
  <conditionalFormatting sqref="C73">
    <cfRule type="cellIs" dxfId="327" priority="11" stopIfTrue="1" operator="equal">
      <formula>"FALTA DATA"</formula>
    </cfRule>
  </conditionalFormatting>
  <conditionalFormatting sqref="M74">
    <cfRule type="cellIs" dxfId="326" priority="12" stopIfTrue="1" operator="equal">
      <formula>"ATENDE"</formula>
    </cfRule>
    <cfRule type="cellIs" dxfId="325" priority="13" stopIfTrue="1" operator="equal">
      <formula>"NÃO ATENDE"</formula>
    </cfRule>
    <cfRule type="cellIs" dxfId="324" priority="14" stopIfTrue="1" operator="equal">
      <formula>"NÃO CABE"</formula>
    </cfRule>
  </conditionalFormatting>
  <conditionalFormatting sqref="M73">
    <cfRule type="cellIs" dxfId="323" priority="15" stopIfTrue="1" operator="equal">
      <formula>"ATENDE"</formula>
    </cfRule>
    <cfRule type="cellIs" dxfId="322" priority="16" stopIfTrue="1" operator="equal">
      <formula>"NÃO ATENDE"</formula>
    </cfRule>
    <cfRule type="cellIs" dxfId="321" priority="17" stopIfTrue="1" operator="equal">
      <formula>"NÃO CABE"</formula>
    </cfRule>
  </conditionalFormatting>
  <conditionalFormatting sqref="M75 L77:M77 L78:L84">
    <cfRule type="cellIs" dxfId="320" priority="18" stopIfTrue="1" operator="equal">
      <formula>"ATENDE"</formula>
    </cfRule>
    <cfRule type="cellIs" dxfId="319" priority="19" stopIfTrue="1" operator="equal">
      <formula>"NÃO ATENDE"</formula>
    </cfRule>
    <cfRule type="cellIs" dxfId="318" priority="20" stopIfTrue="1" operator="equal">
      <formula>"OK"</formula>
    </cfRule>
  </conditionalFormatting>
  <conditionalFormatting sqref="K42">
    <cfRule type="expression" dxfId="317" priority="21" stopIfTrue="1">
      <formula>$E$42&lt;=0</formula>
    </cfRule>
  </conditionalFormatting>
  <conditionalFormatting sqref="M42">
    <cfRule type="expression" dxfId="316" priority="22" stopIfTrue="1">
      <formula>$E$42&lt;=0</formula>
    </cfRule>
  </conditionalFormatting>
  <conditionalFormatting sqref="M239:M257 M229:M235 M260:M283 C217:C219 C128:C173 N172:N173 C175:C194 C214:C215 C221:C225 C196:C212">
    <cfRule type="cellIs" dxfId="315" priority="23" stopIfTrue="1" operator="equal">
      <formula>"ANUÊNIO"</formula>
    </cfRule>
    <cfRule type="cellIs" dxfId="314" priority="24" stopIfTrue="1" operator="equal">
      <formula>"TRIÊNIO"</formula>
    </cfRule>
    <cfRule type="cellIs" dxfId="313" priority="25" stopIfTrue="1" operator="equal">
      <formula>"QUINQUÊNIO"</formula>
    </cfRule>
  </conditionalFormatting>
  <conditionalFormatting sqref="O70 I67">
    <cfRule type="cellIs" dxfId="312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900-000000000000}">
      <formula1>$O$2:$O$7</formula1>
    </dataValidation>
    <dataValidation type="list" allowBlank="1" showInputMessage="1" showErrorMessage="1" sqref="E2:I2" xr:uid="{00000000-0002-0000-0900-000001000000}">
      <formula1>$B$86:$B$94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U821"/>
  <sheetViews>
    <sheetView showGridLines="0" zoomScale="75" zoomScaleNormal="75" workbookViewId="0" xr3:uid="{65FA3815-DCC1-5481-872F-D2879ED395ED}">
      <selection activeCell="A77" sqref="A77:A65536"/>
    </sheetView>
  </sheetViews>
  <sheetFormatPr defaultColWidth="11.8671875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07812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3" width="9.16796875" style="21" hidden="1" customWidth="1"/>
    <col min="254" max="254" width="9.16796875" style="21" customWidth="1"/>
    <col min="255" max="16384" width="11.8671875" style="21"/>
  </cols>
  <sheetData>
    <row r="1" spans="1:53" ht="6" customHeight="1" x14ac:dyDescent="0.15">
      <c r="A1" s="295"/>
      <c r="O1" s="362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450</v>
      </c>
      <c r="F2" s="1850"/>
      <c r="G2" s="1850"/>
      <c r="H2" s="1850"/>
      <c r="I2" s="1850"/>
      <c r="J2" s="652" t="s">
        <v>462</v>
      </c>
      <c r="K2" s="1939" t="s">
        <v>466</v>
      </c>
      <c r="L2" s="1940"/>
      <c r="M2" s="1940"/>
      <c r="N2" s="1941"/>
      <c r="O2" s="364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364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364" t="s">
        <v>476</v>
      </c>
      <c r="P4" s="17" t="s">
        <v>529</v>
      </c>
      <c r="Q4" s="21" t="str">
        <f>IF(OR($E$2=$B$87,$E$2=$B$88,E2=B89),IF($M$13&gt;=5,"ATENDE","NÃO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365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366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366" t="s">
        <v>466</v>
      </c>
      <c r="P7" s="18" t="s">
        <v>531</v>
      </c>
      <c r="Q7" s="40" t="str">
        <f>IF(OR($E$2=$B$87,$E$2=$B$88,E2=B89),IF($M$15&gt;=10,"ATENDE","NÃO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37">
        <f>CRÍTICA_IGP1!N8</f>
        <v>0</v>
      </c>
      <c r="O8" s="104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37">
        <f>CRÍTICA_IGP1!N9</f>
        <v>0</v>
      </c>
      <c r="O9" s="1046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277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367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4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046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046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7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7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7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7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7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7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7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363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63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O24" s="362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2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168" t="s">
        <v>335</v>
      </c>
      <c r="C26" s="674">
        <f>CRÍTICA_IGP1!C26</f>
        <v>0</v>
      </c>
      <c r="D26" s="169" t="s">
        <v>336</v>
      </c>
      <c r="E26" s="674">
        <f>CRÍTICA_IGP1!E26</f>
        <v>0</v>
      </c>
      <c r="F26" s="171">
        <f>CRÍTICA_IGP1!F26</f>
        <v>0</v>
      </c>
      <c r="G26" s="149" t="s">
        <v>337</v>
      </c>
      <c r="H26" s="5"/>
      <c r="I26" s="5"/>
      <c r="J26" s="740">
        <f>CRÍTICA_IGP1!J26</f>
        <v>0</v>
      </c>
      <c r="K26" s="150"/>
      <c r="L26" s="150" t="s">
        <v>524</v>
      </c>
      <c r="M26" s="5"/>
      <c r="N26" s="740">
        <f>CRÍTICA_IGP1!N26</f>
        <v>0</v>
      </c>
      <c r="O26" s="3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149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0">
        <f>CRÍTICA_IGP1!N27</f>
        <v>0</v>
      </c>
      <c r="O27" s="2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149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0">
        <f>CRÍTICA_IGP1!N28</f>
        <v>0</v>
      </c>
      <c r="O28" s="2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149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676"/>
      <c r="O29" s="2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149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298"/>
      <c r="O30" s="2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149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0">
        <f>CRÍTICA_IGP1!N31</f>
        <v>0</v>
      </c>
      <c r="O31" s="2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149" t="s">
        <v>606</v>
      </c>
      <c r="C32" s="674">
        <f>CRÍTICA_IGP1!C32</f>
        <v>0</v>
      </c>
      <c r="D32" s="170" t="s">
        <v>336</v>
      </c>
      <c r="E32" s="677">
        <f>CRÍTICA_IGP1!E32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243"/>
      <c r="O32" s="2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149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32">
        <f>SUM(F27:F33)</f>
        <v>0</v>
      </c>
      <c r="O33" s="3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149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1">
        <f>ROUNDDOWN(N33/365,0)</f>
        <v>0</v>
      </c>
      <c r="O34" s="369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37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IF(E2=B95,IF(D12="X",IF(G10="X",ROUNDDOWN(SUM(F26:F34)*0.2,0),ROUNDDOWN(SUM(F26:F34)*0.17,0)),0),0)</f>
        <v>0</v>
      </c>
      <c r="N35" s="380">
        <f>IF(E2="VOLUNTÁRIA ESPECIAL",IF(D12="X",IF(G10="X",ROUNDDOWN(SUM(F26:F34)*0.2,0),ROUNDDOWN(SUM(F26:F34)*0.17,0)),0),0)</f>
        <v>0</v>
      </c>
      <c r="O35" s="369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2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 t="str">
        <f>IF(E38&lt;36145,E38,"REVER")</f>
        <v>REVER</v>
      </c>
      <c r="F37" s="157">
        <f>IF(N8&gt;=36145,0,IF(AND(N8&lt;36145,F38&lt;&gt;0),SUM(F26:F35),0))</f>
        <v>0</v>
      </c>
      <c r="G37" s="150"/>
      <c r="H37" s="662" t="str">
        <f>E38</f>
        <v>REVER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2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 t="str">
        <f>IF(E32&gt;0,E32,IF(E31&gt;0,E31,IF(E30&gt;0,E30,IF(E29&gt;0,E29,IF(E28&gt;0,E28,IF(E27&gt;0,E27,IF(E26&gt;0,F26,"REVER")))))))</f>
        <v>REVER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2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2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2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IF(E41&gt;0,IF(E2=B87,E41,IF(E2=B88,E41,IF(E2=B94,E41,))),0)</f>
        <v>12775</v>
      </c>
      <c r="D41" s="178" t="b">
        <f>IF(E41&gt;0,IF(K2=O5,IF(E2=B95,E41,0)),0)</f>
        <v>0</v>
      </c>
      <c r="E41" s="179">
        <f>IF($E$2=B94,IF($G$10="X",(25*365)-$F$37,(30*365)-$F$37),IF($G$10="X",(30*365)-$F$37,(35*365)-$F$37))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2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CUMPRIR",IF(K2=O5,IF(E2=B95,"HÁ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O42" s="362"/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IF(E42&gt;0,IF(E2=B94,ROUNDUP(E42*0.4,0),ROUNDUP(E42*0.2,0)),0)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4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4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IF(N8&gt;=36145,0,IF(F46&lt;&gt;0,F46,IF(K2=O2,0,IF(K2=O3,A42,IF(K2=O4,A43,A44)))))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2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234"/>
      <c r="C46" s="1066"/>
      <c r="D46" s="1262"/>
      <c r="F46" s="1257">
        <f>SUM(F47:F50)</f>
        <v>0</v>
      </c>
      <c r="G46" s="1256" t="str">
        <f>IF(AND($E$51&gt;=36145,$E$51&lt;=37985),$E$51,"REVER")</f>
        <v>REVER</v>
      </c>
      <c r="H46" s="377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2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151" t="s">
        <v>335</v>
      </c>
      <c r="C47" s="674">
        <f>CRÍTICA_IGP1!C47</f>
        <v>0</v>
      </c>
      <c r="D47" s="170" t="s">
        <v>336</v>
      </c>
      <c r="E47" s="674">
        <f>CRÍTICA_IGP1!E47</f>
        <v>0</v>
      </c>
      <c r="F47" s="171">
        <f>CRÍTICA_IGP1!F47</f>
        <v>0</v>
      </c>
      <c r="G47" s="296" t="s">
        <v>337</v>
      </c>
      <c r="H47" s="118"/>
      <c r="I47" s="118"/>
      <c r="J47" s="740">
        <f>CRÍTICA_IGP1!J47</f>
        <v>0</v>
      </c>
      <c r="K47" s="180"/>
      <c r="L47" s="180" t="s">
        <v>524</v>
      </c>
      <c r="M47" s="118"/>
      <c r="N47" s="740">
        <f>CRÍTICA_IGP1!N47</f>
        <v>0</v>
      </c>
      <c r="O47" s="2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149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298"/>
      <c r="O48" s="2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255" x14ac:dyDescent="0.15">
      <c r="A49" s="376"/>
      <c r="B49" s="149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298"/>
      <c r="O49" s="2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255" ht="15.75" customHeight="1" thickBot="1" x14ac:dyDescent="0.2">
      <c r="A50" s="376"/>
      <c r="B50" s="251" t="s">
        <v>606</v>
      </c>
      <c r="C50" s="674">
        <f>CRÍTICA_IGP1!C50</f>
        <v>0</v>
      </c>
      <c r="D50" s="271" t="s">
        <v>336</v>
      </c>
      <c r="E50" s="677">
        <f>CRÍTICA_IGP1!E50</f>
        <v>25567</v>
      </c>
      <c r="F50" s="1268">
        <f>'MTS - MAPA DE TEMPO DE SERVIÇO'!$H$40</f>
        <v>0</v>
      </c>
      <c r="G50" s="251"/>
      <c r="H50" s="131"/>
      <c r="I50" s="131"/>
      <c r="J50" s="287" t="s">
        <v>704</v>
      </c>
      <c r="K50" s="162"/>
      <c r="L50" s="162"/>
      <c r="M50" s="297"/>
      <c r="N50" s="740">
        <f>CRÍTICA_IGP1!N50</f>
        <v>0</v>
      </c>
      <c r="O50" s="2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255" ht="6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319" t="s">
        <v>687</v>
      </c>
      <c r="Q51" s="1320">
        <v>3</v>
      </c>
      <c r="R51" s="1320">
        <v>6</v>
      </c>
      <c r="S51" s="1320">
        <v>9</v>
      </c>
      <c r="T51" s="1320">
        <v>12</v>
      </c>
      <c r="U51" s="1320">
        <v>15</v>
      </c>
      <c r="V51" s="1320">
        <v>18</v>
      </c>
      <c r="W51" s="1320">
        <v>21</v>
      </c>
      <c r="X51" s="1320">
        <v>24</v>
      </c>
      <c r="Y51" s="1320">
        <v>27</v>
      </c>
      <c r="Z51" s="1320">
        <v>30</v>
      </c>
      <c r="AA51" s="1320">
        <v>33</v>
      </c>
      <c r="AB51" s="1321">
        <v>36</v>
      </c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254"/>
      <c r="AO51" s="254"/>
      <c r="AP51" s="254"/>
      <c r="AQ51" s="254"/>
      <c r="AR51" s="254"/>
      <c r="AS51" s="254"/>
      <c r="AT51" s="254"/>
      <c r="AU51" s="254"/>
      <c r="AV51" s="254"/>
      <c r="AW51" s="254"/>
      <c r="AX51" s="391"/>
      <c r="AY51" s="391"/>
      <c r="AZ51" s="391"/>
      <c r="BA51" s="1120"/>
      <c r="BB51" s="254"/>
      <c r="BC51" s="254"/>
      <c r="BD51" s="254"/>
      <c r="BE51" s="254"/>
      <c r="BF51" s="254"/>
      <c r="BG51" s="254"/>
      <c r="BH51" s="254"/>
      <c r="BI51" s="254"/>
      <c r="BJ51" s="254"/>
      <c r="BK51" s="254"/>
      <c r="BL51" s="254"/>
      <c r="BM51" s="254"/>
      <c r="BN51" s="254"/>
      <c r="BO51" s="254"/>
      <c r="BP51" s="254"/>
      <c r="BQ51" s="254"/>
      <c r="BR51" s="254"/>
      <c r="BS51" s="254"/>
      <c r="BT51" s="254"/>
      <c r="BU51" s="254"/>
      <c r="BV51" s="254"/>
      <c r="BW51" s="254"/>
      <c r="BX51" s="254"/>
      <c r="BY51" s="254"/>
      <c r="BZ51" s="254"/>
      <c r="CA51" s="254"/>
      <c r="CB51" s="254"/>
      <c r="CC51" s="254"/>
      <c r="CD51" s="254"/>
      <c r="CE51" s="254"/>
      <c r="CF51" s="254"/>
      <c r="CG51" s="254"/>
      <c r="CH51" s="254"/>
      <c r="CI51" s="254"/>
      <c r="CJ51" s="254"/>
      <c r="CK51" s="254"/>
      <c r="CL51" s="254"/>
      <c r="CM51" s="254"/>
      <c r="CN51" s="254"/>
      <c r="CO51" s="254"/>
      <c r="CP51" s="254"/>
      <c r="CQ51" s="254"/>
      <c r="CR51" s="254"/>
      <c r="CS51" s="254"/>
      <c r="CT51" s="254"/>
      <c r="CU51" s="254"/>
      <c r="CV51" s="254"/>
      <c r="CW51" s="254"/>
      <c r="CX51" s="254"/>
      <c r="CY51" s="254"/>
      <c r="CZ51" s="254"/>
      <c r="DA51" s="254"/>
      <c r="DB51" s="254"/>
      <c r="DC51" s="254"/>
      <c r="DD51" s="254"/>
      <c r="DE51" s="254"/>
      <c r="DF51" s="254"/>
      <c r="DG51" s="254"/>
      <c r="DH51" s="254"/>
      <c r="DI51" s="254"/>
      <c r="DJ51" s="254"/>
      <c r="DK51" s="254"/>
      <c r="DL51" s="254"/>
      <c r="DM51" s="254"/>
      <c r="DN51" s="254"/>
      <c r="DO51" s="254"/>
      <c r="DP51" s="254"/>
      <c r="DQ51" s="254"/>
      <c r="DR51" s="254"/>
      <c r="DS51" s="254"/>
      <c r="DT51" s="254"/>
      <c r="DU51" s="254"/>
      <c r="DV51" s="254"/>
      <c r="DW51" s="254"/>
      <c r="DX51" s="254"/>
      <c r="DY51" s="254"/>
      <c r="DZ51" s="254"/>
      <c r="EA51" s="254"/>
      <c r="EB51" s="254"/>
      <c r="EC51" s="254"/>
      <c r="ED51" s="254"/>
      <c r="EE51" s="254"/>
      <c r="EF51" s="254"/>
      <c r="EG51" s="254"/>
      <c r="EH51" s="254"/>
      <c r="EI51" s="254"/>
      <c r="EJ51" s="254"/>
      <c r="EK51" s="254"/>
      <c r="EL51" s="254"/>
      <c r="EM51" s="254"/>
      <c r="EN51" s="254"/>
      <c r="EO51" s="254"/>
      <c r="EP51" s="254"/>
      <c r="EQ51" s="254"/>
      <c r="ER51" s="254"/>
      <c r="ES51" s="254"/>
      <c r="ET51" s="254"/>
      <c r="EU51" s="254"/>
      <c r="EV51" s="254"/>
      <c r="EW51" s="254"/>
      <c r="EX51" s="254"/>
      <c r="EY51" s="254"/>
      <c r="EZ51" s="254"/>
      <c r="FA51" s="254"/>
      <c r="FB51" s="254"/>
      <c r="FC51" s="254"/>
      <c r="FD51" s="254"/>
      <c r="FE51" s="254"/>
      <c r="FF51" s="254"/>
      <c r="FG51" s="254"/>
      <c r="FH51" s="254"/>
      <c r="FI51" s="254"/>
      <c r="FJ51" s="254"/>
      <c r="FK51" s="254"/>
      <c r="FL51" s="254"/>
      <c r="FM51" s="254"/>
      <c r="FN51" s="254"/>
      <c r="FO51" s="254"/>
      <c r="FP51" s="254"/>
      <c r="FQ51" s="254"/>
      <c r="FR51" s="254"/>
      <c r="FS51" s="254"/>
      <c r="FT51" s="254"/>
      <c r="FU51" s="254"/>
      <c r="FV51" s="254"/>
      <c r="FW51" s="254"/>
      <c r="FX51" s="254"/>
      <c r="FY51" s="254"/>
      <c r="FZ51" s="254"/>
      <c r="GA51" s="254"/>
      <c r="GB51" s="254"/>
      <c r="GC51" s="254"/>
      <c r="GD51" s="254"/>
      <c r="GE51" s="254"/>
      <c r="GF51" s="254"/>
      <c r="GG51" s="254"/>
      <c r="GH51" s="254"/>
      <c r="GI51" s="254"/>
      <c r="GJ51" s="254"/>
      <c r="GK51" s="254"/>
      <c r="GL51" s="254"/>
      <c r="GM51" s="254"/>
      <c r="GN51" s="254"/>
      <c r="GO51" s="254"/>
      <c r="GP51" s="254"/>
      <c r="GQ51" s="254"/>
      <c r="GR51" s="254"/>
      <c r="GS51" s="254"/>
      <c r="GT51" s="254"/>
      <c r="GU51" s="254"/>
      <c r="GV51" s="254"/>
      <c r="GW51" s="254"/>
      <c r="GX51" s="254"/>
      <c r="GY51" s="254"/>
      <c r="GZ51" s="254"/>
      <c r="HA51" s="254"/>
      <c r="HB51" s="254"/>
      <c r="HC51" s="254"/>
      <c r="HD51" s="254"/>
      <c r="HE51" s="254"/>
      <c r="HF51" s="254"/>
      <c r="HG51" s="254"/>
      <c r="HH51" s="254"/>
      <c r="HI51" s="254"/>
      <c r="HJ51" s="254"/>
      <c r="HK51" s="254"/>
      <c r="HL51" s="254"/>
      <c r="HM51" s="254"/>
      <c r="HN51" s="254"/>
      <c r="HO51" s="254"/>
      <c r="HP51" s="254"/>
      <c r="HQ51" s="254"/>
      <c r="HR51" s="254"/>
      <c r="HS51" s="254"/>
      <c r="HT51" s="254"/>
      <c r="HU51" s="254"/>
      <c r="HV51" s="254"/>
      <c r="HW51" s="254"/>
      <c r="HX51" s="254"/>
      <c r="HY51" s="254"/>
      <c r="HZ51" s="254"/>
      <c r="IA51" s="254"/>
      <c r="IB51" s="254"/>
      <c r="IC51" s="254"/>
      <c r="ID51" s="254"/>
      <c r="IE51" s="254"/>
      <c r="IF51" s="254"/>
      <c r="IG51" s="254"/>
      <c r="IH51" s="254"/>
      <c r="II51" s="254"/>
      <c r="IJ51" s="254"/>
      <c r="IK51" s="254"/>
      <c r="IL51" s="254"/>
      <c r="IM51" s="254"/>
      <c r="IN51" s="254"/>
      <c r="IO51" s="254"/>
      <c r="IP51" s="254"/>
      <c r="IQ51" s="254"/>
      <c r="IR51" s="254"/>
      <c r="IS51" s="254"/>
      <c r="IT51" s="254"/>
      <c r="IU51" s="254"/>
    </row>
    <row r="52" spans="1:255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2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255" ht="6" customHeight="1" x14ac:dyDescent="0.15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2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255" x14ac:dyDescent="0.15">
      <c r="A54" s="376"/>
      <c r="B54" s="151" t="s">
        <v>335</v>
      </c>
      <c r="C54" s="674">
        <f>CRÍTICA_IGP1!C54</f>
        <v>0</v>
      </c>
      <c r="D54" s="170" t="s">
        <v>336</v>
      </c>
      <c r="E54" s="674">
        <f>CRÍTICA_IGP1!E54</f>
        <v>0</v>
      </c>
      <c r="F54" s="171">
        <f>CRÍTICA_IGP1!F54</f>
        <v>0</v>
      </c>
      <c r="G54" s="296" t="s">
        <v>337</v>
      </c>
      <c r="H54" s="118"/>
      <c r="I54" s="118"/>
      <c r="J54" s="740">
        <f>CRÍTICA_IGP1!J54</f>
        <v>0</v>
      </c>
      <c r="K54" s="180"/>
      <c r="L54" s="180" t="s">
        <v>524</v>
      </c>
      <c r="M54" s="118"/>
      <c r="N54" s="740">
        <f>CRÍTICA_IGP1!N54</f>
        <v>0</v>
      </c>
      <c r="O54" s="2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255" x14ac:dyDescent="0.15">
      <c r="A55" s="376"/>
      <c r="B55" s="149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298"/>
      <c r="O55" s="2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255" x14ac:dyDescent="0.15">
      <c r="A56" s="376"/>
      <c r="B56" s="149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298"/>
      <c r="O56" s="2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255" x14ac:dyDescent="0.15">
      <c r="A57" s="376"/>
      <c r="B57" s="251" t="s">
        <v>606</v>
      </c>
      <c r="C57" s="677">
        <f>CRÍTICA_IGP1!C57</f>
        <v>0</v>
      </c>
      <c r="D57" s="271" t="s">
        <v>336</v>
      </c>
      <c r="E57" s="674">
        <f>CRÍTICA_IGP1!E57</f>
        <v>0</v>
      </c>
      <c r="F57" s="171">
        <f>IF(C57=0,0,IF(E57=0,0,E57-C57+1))-N57</f>
        <v>0</v>
      </c>
      <c r="G57" s="251"/>
      <c r="H57" s="131"/>
      <c r="I57" s="131"/>
      <c r="J57" s="287" t="s">
        <v>704</v>
      </c>
      <c r="K57" s="162"/>
      <c r="L57" s="162"/>
      <c r="M57" s="297"/>
      <c r="N57" s="740">
        <f>CRÍTICA_IGP1!N57</f>
        <v>0</v>
      </c>
      <c r="O57" s="2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255" ht="6" customHeight="1" thickBot="1" x14ac:dyDescent="0.2">
      <c r="A58" s="295"/>
      <c r="B58" s="1265"/>
      <c r="C58" s="1066" t="str">
        <f>IF(C54&gt;0,C54,IF(C55&gt;0,C55,IF(C56&gt;0,C56,IF(C57&gt;0,C57,"REVER"))))</f>
        <v>REVER</v>
      </c>
      <c r="D58" s="387"/>
      <c r="E58" s="1210" t="str">
        <f>IF(E57&gt;0,E57,IF(E56&gt;0,E56,IF(E55&gt;0,E55,IF(E54&gt;0,E54,"REVER"))))</f>
        <v>REVER</v>
      </c>
      <c r="F58" s="389"/>
      <c r="G58" s="385"/>
      <c r="H58" s="385"/>
      <c r="I58" s="389"/>
      <c r="J58" s="391"/>
      <c r="K58" s="1266"/>
      <c r="L58" s="74"/>
      <c r="M58" s="1267"/>
      <c r="N58" s="74"/>
      <c r="O58" s="2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255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IF(N8&gt;=36145,0,IF(C59&gt;=Q12,A52,0))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3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255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369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255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40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255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2"/>
      <c r="AD62" s="70"/>
      <c r="AE62" s="70"/>
      <c r="AF62" s="70"/>
      <c r="AG62" s="69"/>
      <c r="AX62" s="5"/>
      <c r="AY62" s="5"/>
      <c r="AZ62" s="5"/>
      <c r="BA62" s="82"/>
    </row>
    <row r="63" spans="1:255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40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255" x14ac:dyDescent="0.15">
      <c r="B64" s="197"/>
      <c r="C64" s="244">
        <f>IF(E2=B89,"NÃO CABE",IF(E2=B91,"NÃO CABE",IF(E2=B92,"NÃO CABE",IF(E2=B93,"NÃO CABE",IF(C65&gt;0,C65,"NADA A CUMPRIR")))))</f>
        <v>12775</v>
      </c>
      <c r="D64" s="198"/>
      <c r="E64" s="199"/>
      <c r="F64" s="200"/>
      <c r="G64" s="198"/>
      <c r="H64" s="201">
        <f>IF($C$64="NÃO CABE",0,IF($C$65&gt;0,ROUNDDOWN($C$65/365,0),0))</f>
        <v>35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368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>
        <f>IF(K2=O2,IF(E2=B94,R120,R119),IF(K2=O3,Q118,IF(K2=O6,Q118,IF(K2=O4,Q117,IF(K2=O5,Q117,IF($K$2=O7,Q121,0))))))</f>
        <v>12775</v>
      </c>
      <c r="D65" s="205"/>
      <c r="E65" s="206"/>
      <c r="F65" s="207"/>
      <c r="G65" s="205"/>
      <c r="H65" s="207">
        <f>IF($C$64="NÃO CABE",0,IF($C$65&gt;0,ROUNDDOWN($C$65/365,0),0))</f>
        <v>35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370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30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371">
        <f>IF($O$10&lt;$D$128,VLOOKUP($E$6,$B$129:$Q$226,3,FALSE),IF($O$10&lt;$E$128,VLOOKUP($E$6,$B$129:$Q$226,4,FALSE),VLOOKUP($E$6,$B$129:$Q$226,5,FALSE)))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$87&lt;=$BC$85,VLOOKUP($C$8,$BB$88:$BH$127,2,FALSE),IF($BC$87&lt;=$BD$85,VLOOKUP($C$8,$BB$88:$BH$127,3,FALSE),IF($BC$87&lt;=$BE$85,VLOOKUP($C$8,$BB$88:$BH$127,4,FALSE),IF($BC$87&lt;=$BF$85,VLOOKUP($C$8,$BB$88:$BH$127,5,FALSE),IF($BC$87&lt;=$BG$85,VLOOKUP($C$8,$BB$88:$BH$127,6,FALSE),VLOOKUP($C$8,$BB$88:$BH$127,7,FALSE))))))</f>
        <v>#N/A</v>
      </c>
      <c r="F68" s="150"/>
      <c r="G68" s="150"/>
      <c r="H68" s="150"/>
      <c r="I68" s="221"/>
      <c r="J68" s="222" t="e">
        <f>IF($BC$84&lt;=$BC$85,VLOOKUP($C$8,$BB$88:$BH$127,2,FALSE),IF($BC$84&lt;=$BD$85,VLOOKUP($C$8,$BB$88:$BH$127,3,FALSE),IF($BC$84&lt;=$BE$85,VLOOKUP($C$8,$BB$88:$BH$127,4,FALSE),IF($BC$84&lt;=$BF$85,VLOOKUP($C$8,$BB$88:$BH$127,5,FALSE),IF($BC$84&lt;=$BG$85,VLOOKUP($C$8,$BB$88:$BH$127,6,FALSE),VLOOKUP($C$8,$BB$88:$BH$127,7,FALSE))))))</f>
        <v>#N/A</v>
      </c>
      <c r="K68" s="150" t="s">
        <v>448</v>
      </c>
      <c r="L68" s="153"/>
      <c r="M68" s="150"/>
      <c r="N68" s="223" t="str">
        <f>IF($K$2=$O$2,J99,IF($K$2=$O$3,J100,IF($K$2=$O$4,J101,IF($K$2=$O$5,J102,"NÃO CABE"))))</f>
        <v>NÃO CABE</v>
      </c>
      <c r="O68" s="362" t="str">
        <f>VLOOKUP($E$6,$B$129:$C$226,2,FALSE)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TRANSIÇÃO_EMENDA 47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371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INTEGRAL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IF(K2=O3,IF(M101&gt;=N101,N100,"NÃO CABE"),"NÃO CABE")</f>
        <v>NÃO CABE</v>
      </c>
      <c r="O70" s="372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IF($E$2=$L$108,$O$108,IF($E$2=$L$109,$O$109,IF($E$2=$L$110,$O$110,IF($E$2=$L$111,$O$111,IF($E$2=$L$112,$O$112,$O$113)))))</f>
        <v>REANALISAR FUNDAMENTAÇÃO E/OU MODALIDADE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O71" s="362"/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>
        <f>C64</f>
        <v>12775</v>
      </c>
      <c r="G72" s="228"/>
      <c r="H72" s="153"/>
      <c r="I72" s="153"/>
      <c r="J72" s="153" t="s">
        <v>333</v>
      </c>
      <c r="K72" s="150"/>
      <c r="L72" s="153"/>
      <c r="M72" s="153"/>
      <c r="N72" s="233"/>
      <c r="O72" s="362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ATENDE</v>
      </c>
      <c r="N73" s="233"/>
      <c r="O73" s="362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ATENDE</v>
      </c>
      <c r="N74" s="236"/>
      <c r="O74" s="362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IF(OR(E6=B197,E6=B209,E6=B220),IF(L209&gt;=25,"FAZ JUS A 1/6 DA REMUNERAÇÃO",IF(L220&gt;=25,"FAZ JUS A 1/6 DA REMUNERAÇÃO",IF(L197&gt;=25,"FAZ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ATENDE</v>
      </c>
      <c r="N75" s="242"/>
      <c r="O75" s="3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IF(ISERROR(HLOOKUP($J$174,$Q$73:$W$74,2)),0,HLOOKUP($J$174,$Q$73:$W$74,2))</f>
        <v>0</v>
      </c>
      <c r="T75" s="133" t="s">
        <v>451</v>
      </c>
      <c r="U75" s="132"/>
      <c r="V75" s="133"/>
      <c r="W75" s="132">
        <f>IF(ISERROR(HLOOKUP($K$174,$Q$73:$W$74,2)),0,HLOOKUP($K$174,$Q$73:$W$74,2))</f>
        <v>0</v>
      </c>
      <c r="X75" s="134" t="s">
        <v>507</v>
      </c>
      <c r="Y75" s="135"/>
      <c r="Z75" s="136"/>
      <c r="AA75" s="134"/>
      <c r="AB75" s="137">
        <f>IF(ISERROR(HLOOKUP($L$174,$Q$73:$W$74,2)),0,HLOOKUP($L$174,$Q$73:$W$74,2))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2" t="str">
        <f>IF($F$72="NADA A CUMPRIR","OK",IF($F$72="NÃO CABE","NÃO CABE","NÃO CUMPRE"))</f>
        <v>NÃO CUMPRE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X77" s="11"/>
      <c r="AY77" s="11"/>
      <c r="AZ77" s="11"/>
      <c r="BA77" s="85"/>
    </row>
    <row r="78" spans="1:53" ht="13.5" hidden="1" x14ac:dyDescent="0.15">
      <c r="B78" s="35" t="s">
        <v>450</v>
      </c>
      <c r="C78" s="414" t="str">
        <f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>IF(OR($F$72="NADA A CUMPRIR",$F$72="NÃO CABE"),"SIM","NÃO")</f>
        <v>NÃO</v>
      </c>
      <c r="I78" s="413" t="str">
        <f>IF(N78="SIM","SIM","NÃO")</f>
        <v>NÃO</v>
      </c>
      <c r="J78" s="414" t="str">
        <f>IF(OR($M$73="NÃO CABE",$M$73="ATENDE"),"SIM","NÃO")</f>
        <v>NÃO</v>
      </c>
      <c r="K78" s="414" t="str">
        <f>IF(OR($M$74="NÃO CABE",$M$74="ATENDE"),"SIM","NÃO")</f>
        <v>NÃO</v>
      </c>
      <c r="L78" s="412"/>
      <c r="M78" s="414" t="str">
        <f>IF(OR($M$75="ATENDE",$M$75="OK"),"SIM","NÃO")</f>
        <v>NÃO</v>
      </c>
      <c r="N78" s="414" t="str">
        <f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418">
        <v>1.2</v>
      </c>
      <c r="AC78" s="69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X78" s="11"/>
      <c r="AY78" s="11"/>
      <c r="AZ78" s="11"/>
      <c r="BA78" s="85"/>
    </row>
    <row r="79" spans="1:53" ht="13.5" hidden="1" x14ac:dyDescent="0.15">
      <c r="B79" s="35" t="s">
        <v>450</v>
      </c>
      <c r="C79" s="414" t="str">
        <f>IF(OR($E$71="NADA A CRITICAR",$E$71="ATENDE LIMITE MÍNIMO DE IDADE"),"SIM","NÃO")</f>
        <v>NÃO</v>
      </c>
      <c r="D79" s="415"/>
      <c r="E79" s="18" t="s">
        <v>485</v>
      </c>
      <c r="F79" s="18"/>
      <c r="G79" s="18"/>
      <c r="H79" s="414" t="str">
        <f>IF(OR($F$72="NADA A CUMPRIR",$F$72="NÃO CABE"),"SIM","NÃO")</f>
        <v>NÃO</v>
      </c>
      <c r="I79" s="413" t="str">
        <f>IF($D$14="X",IF($N$79="SIM","SIM","NÃO"),"NÃO")</f>
        <v>NÃO</v>
      </c>
      <c r="J79" s="414" t="str">
        <f>IF(OR($M$73="NÃO CABE",$M$73="ATENDE"),"SIM","NÃO")</f>
        <v>NÃO</v>
      </c>
      <c r="K79" s="414" t="str">
        <f>IF(OR($M$74="NÃO CABE",$M$74="ATENDE"),"SIM","NÃO")</f>
        <v>NÃO</v>
      </c>
      <c r="L79" s="412"/>
      <c r="M79" s="414" t="str">
        <f>IF(OR($M$75="ATENDE",$M$75="OK"),"SIM","NÃO")</f>
        <v>NÃO</v>
      </c>
      <c r="N79" s="414" t="str">
        <f>IF(AND(C79="SIM",H79="SIM",J79="SIM",K79="SIM",M79="SIM"),"SIM","NÃO")</f>
        <v>NÃO</v>
      </c>
      <c r="O79" s="255"/>
      <c r="P79" s="417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69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X79" s="11"/>
      <c r="AY79" s="11"/>
      <c r="AZ79" s="11"/>
      <c r="BA79" s="85"/>
    </row>
    <row r="80" spans="1:53" ht="13.5" hidden="1" x14ac:dyDescent="0.15">
      <c r="B80" s="35" t="s">
        <v>450</v>
      </c>
      <c r="C80" s="414" t="str">
        <f>IF(OR($E$71="NADA A CRITICAR",$E$71="ATENDE LIMITE MÍNIMO DE IDADE"),"SIM","NÃO")</f>
        <v>NÃO</v>
      </c>
      <c r="D80" s="415"/>
      <c r="E80" s="18" t="s">
        <v>752</v>
      </c>
      <c r="F80" s="18"/>
      <c r="G80" s="18"/>
      <c r="H80" s="414" t="str">
        <f>IF(OR($F$72="NADA A CUMPRIR",$F$72="NÃO CABE"),"SIM","NÃO")</f>
        <v>NÃO</v>
      </c>
      <c r="I80" s="413" t="str">
        <f>IF(N80="SIM","SIM","NÃO")</f>
        <v>NÃO</v>
      </c>
      <c r="J80" s="414" t="str">
        <f>IF(OR($M$73="NÃO CABE",$M$73="ATENDE"),"SIM","NÃO")</f>
        <v>NÃO</v>
      </c>
      <c r="K80" s="414" t="str">
        <f>IF(OR($M$74="NÃO CABE",$M$74="ATENDE"),"SIM","NÃO")</f>
        <v>NÃO</v>
      </c>
      <c r="L80" s="412"/>
      <c r="M80" s="414" t="str">
        <f>IF(OR($M$75="ATENDE",$M$75="OK"),"SIM","NÃO")</f>
        <v>NÃO</v>
      </c>
      <c r="N80" s="414" t="str">
        <f>IF(AND(C80="SIM",H80="SIM",J80="SIM",K80="SIM",M80="SIM"),"SIM","NÃO")</f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69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X80" s="11"/>
      <c r="AY80" s="11"/>
      <c r="AZ80" s="11"/>
      <c r="BA80" s="85"/>
    </row>
    <row r="81" spans="2:64" ht="13.5" hidden="1" x14ac:dyDescent="0.15">
      <c r="B81" s="610" t="s">
        <v>450</v>
      </c>
      <c r="C81" s="588" t="str">
        <f>IF(OR($E$71="NADA A CRITICAR",$E$71="ATENDE LIMITE MÍNIMO DE IDADE"),"SIM","NÃO")</f>
        <v>NÃO</v>
      </c>
      <c r="D81" s="587"/>
      <c r="E81" s="611" t="s">
        <v>753</v>
      </c>
      <c r="F81" s="612">
        <f>I67</f>
        <v>0</v>
      </c>
      <c r="G81" s="611"/>
      <c r="H81" s="588" t="str">
        <f>IF(OR($F$72="NADA A CUMPRIR",$F$72="NÃO CABE"),"SIM","NÃO")</f>
        <v>NÃO</v>
      </c>
      <c r="I81" s="613" t="str">
        <f>IF(N81="SIM","SIM","NÃO")</f>
        <v>NÃO</v>
      </c>
      <c r="J81" s="588" t="str">
        <f>IF(OR($M$73="NÃO CABE",$M$73="ATENDE"),"SIM","NÃO")</f>
        <v>NÃO</v>
      </c>
      <c r="K81" s="588" t="str">
        <f>IF(OR($M$74="NÃO CABE",$M$74="ATENDE"),"SIM","NÃO")</f>
        <v>NÃO</v>
      </c>
      <c r="L81" s="614"/>
      <c r="M81" s="588" t="str">
        <f>IF(OR($M$75="ATENDE",$M$75="OK"),"SIM","NÃO")</f>
        <v>NÃO</v>
      </c>
      <c r="N81" s="588" t="str">
        <f>IF(OR($N$8&gt;=36145,$N$10&lt;37986),"NÃO",IF(AND(C81="SIM",H81="SIM",J81="SIM",K81="SIM",M81="SIM"),"SIM","NÃO"))</f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5"/>
      <c r="Y81" s="5"/>
      <c r="Z81" s="5"/>
      <c r="AA81" s="5"/>
      <c r="AB81" s="5"/>
      <c r="AC81" s="69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X81" s="11"/>
      <c r="AY81" s="11"/>
      <c r="AZ81" s="11"/>
      <c r="BA81" s="85"/>
    </row>
    <row r="82" spans="2:64" ht="13.5" hidden="1" x14ac:dyDescent="0.15">
      <c r="B82" s="35" t="s">
        <v>450</v>
      </c>
      <c r="C82" s="414" t="str">
        <f>IF(OR($E$71="NADA A CRITICAR",$E$71="ATENDE LIMITE MÍNIMO DE IDADE"),"SIM","NÃO")</f>
        <v>NÃO</v>
      </c>
      <c r="D82" s="415"/>
      <c r="E82" s="18" t="s">
        <v>754</v>
      </c>
      <c r="F82" s="18"/>
      <c r="G82" s="18"/>
      <c r="H82" s="414" t="str">
        <f>IF(OR($F$72="NADA A CUMPRIR",$F$72="NÃO CABE"),"SIM","NÃO")</f>
        <v>NÃO</v>
      </c>
      <c r="I82" s="413" t="str">
        <f>IF(N82="SIM","SIM","NÃO")</f>
        <v>NÃO</v>
      </c>
      <c r="J82" s="414" t="str">
        <f>IF(OR($M$73="NÃO CABE",$M$73="ATENDE"),"SIM","NÃO")</f>
        <v>NÃO</v>
      </c>
      <c r="K82" s="414" t="str">
        <f>IF(OR($M$74="NÃO CABE",$M$74="ATENDE"),"SIM","NÃO")</f>
        <v>NÃO</v>
      </c>
      <c r="L82" s="412"/>
      <c r="M82" s="414" t="str">
        <f>IF(OR($M$75="ATENDE",$M$75="OK"),"SIM","NÃO")</f>
        <v>NÃO</v>
      </c>
      <c r="N82" s="619" t="str">
        <f>IF($N$8&gt;=36145,"NÃO",IF(AND(C82="SIM",H82="SIM",J82="SIM",K82="SIM",M82="SIM"),"SIM","NÃO"))</f>
        <v>NÃO</v>
      </c>
      <c r="O82" s="255"/>
      <c r="P82" s="2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7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X82" s="11"/>
      <c r="AY82" s="11"/>
      <c r="AZ82" s="11"/>
      <c r="BA82" s="85"/>
    </row>
    <row r="83" spans="2:64" hidden="1" thickBot="1" x14ac:dyDescent="0.2">
      <c r="B83" s="30"/>
      <c r="C83" s="5"/>
      <c r="D83" s="5"/>
      <c r="E83" s="5"/>
      <c r="F83" s="5"/>
      <c r="G83" s="5"/>
      <c r="H83" s="5"/>
      <c r="I83" s="5"/>
      <c r="J83" s="5"/>
      <c r="K83" s="5"/>
      <c r="L83" s="5"/>
      <c r="M83" s="2"/>
      <c r="N83" s="5"/>
      <c r="O83" s="255"/>
      <c r="P83" s="2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7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X83" s="11"/>
      <c r="AY83" s="11"/>
      <c r="AZ83" s="11"/>
      <c r="BA83" s="85"/>
    </row>
    <row r="84" spans="2:64" ht="15.95" hidden="1" customHeight="1" thickTop="1" x14ac:dyDescent="0.15">
      <c r="C84" s="21"/>
      <c r="D84" s="21"/>
      <c r="F84" s="5"/>
      <c r="G84" s="5"/>
      <c r="H84" s="5"/>
      <c r="I84" s="5"/>
      <c r="J84" s="5"/>
      <c r="K84" s="5"/>
      <c r="L84" s="5"/>
      <c r="M84" s="2"/>
      <c r="N84" s="5"/>
      <c r="O84" s="255"/>
      <c r="AC84" s="69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Z84" s="11"/>
      <c r="BA84" s="85"/>
      <c r="BB84" s="686"/>
      <c r="BC84" s="687">
        <f>SUM(F30:F32)</f>
        <v>0</v>
      </c>
      <c r="BD84" s="687"/>
      <c r="BE84" s="687"/>
      <c r="BF84" s="688"/>
      <c r="BG84" s="688"/>
      <c r="BH84" s="688"/>
      <c r="BI84" s="688" t="s">
        <v>361</v>
      </c>
      <c r="BJ84" s="689" t="s">
        <v>362</v>
      </c>
      <c r="BK84" s="690" t="s">
        <v>362</v>
      </c>
      <c r="BL84" s="691" t="s">
        <v>363</v>
      </c>
    </row>
    <row r="85" spans="2:64" ht="15.95" hidden="1" customHeight="1" thickBot="1" x14ac:dyDescent="0.2">
      <c r="C85" s="21"/>
      <c r="D85" s="21"/>
      <c r="G85" s="5"/>
      <c r="H85" s="5"/>
      <c r="I85" s="5"/>
      <c r="J85" s="5"/>
      <c r="K85" s="5"/>
      <c r="L85" s="5"/>
      <c r="M85" s="2"/>
      <c r="N85" s="5"/>
      <c r="O85" s="255"/>
      <c r="AC85" s="69"/>
      <c r="AD85" s="70"/>
      <c r="AE85" s="70"/>
      <c r="AF85" s="70"/>
      <c r="AG85" s="69"/>
      <c r="AZ85" s="11"/>
      <c r="BA85" s="85"/>
      <c r="BB85" s="692" t="s">
        <v>364</v>
      </c>
      <c r="BC85" s="693">
        <v>5</v>
      </c>
      <c r="BD85" s="693">
        <v>10</v>
      </c>
      <c r="BE85" s="693">
        <v>15</v>
      </c>
      <c r="BF85" s="693">
        <v>20</v>
      </c>
      <c r="BG85" s="694">
        <v>25</v>
      </c>
      <c r="BH85" s="694" t="s">
        <v>365</v>
      </c>
      <c r="BI85" s="695" t="s">
        <v>366</v>
      </c>
      <c r="BJ85" s="696" t="s">
        <v>367</v>
      </c>
      <c r="BK85" s="697">
        <v>34820</v>
      </c>
      <c r="BL85" s="698">
        <v>34851</v>
      </c>
    </row>
    <row r="86" spans="2:64" ht="15.95" hidden="1" customHeight="1" thickBot="1" x14ac:dyDescent="0.2">
      <c r="B86" s="88" t="s">
        <v>449</v>
      </c>
      <c r="C86" s="89"/>
      <c r="D86" s="97" t="s">
        <v>546</v>
      </c>
      <c r="E86" s="98"/>
      <c r="F86" s="99"/>
      <c r="G86" s="5"/>
      <c r="H86" s="5"/>
      <c r="I86" s="5"/>
      <c r="J86" s="5"/>
      <c r="K86" s="5"/>
      <c r="L86" s="5"/>
      <c r="M86" s="2"/>
      <c r="N86" s="5"/>
      <c r="O86" s="255"/>
      <c r="X86" s="5"/>
      <c r="Y86" s="5"/>
      <c r="Z86" s="5"/>
      <c r="AA86" s="5"/>
      <c r="AB86" s="5"/>
      <c r="AC86" s="69"/>
      <c r="AD86" s="70"/>
      <c r="AE86" s="70"/>
      <c r="AF86" s="70"/>
      <c r="AG86" s="69"/>
      <c r="AZ86" s="11"/>
      <c r="BA86" s="85"/>
      <c r="BB86" s="692"/>
      <c r="BC86" s="693"/>
      <c r="BD86" s="693"/>
      <c r="BE86" s="693"/>
      <c r="BF86" s="693"/>
      <c r="BG86" s="694"/>
      <c r="BH86" s="694"/>
      <c r="BI86" s="695"/>
      <c r="BJ86" s="696"/>
      <c r="BK86" s="697"/>
      <c r="BL86" s="698"/>
    </row>
    <row r="87" spans="2:64" ht="15.95" hidden="1" customHeight="1" thickBot="1" x14ac:dyDescent="0.2">
      <c r="B87" s="91" t="s">
        <v>450</v>
      </c>
      <c r="C87" s="90"/>
      <c r="D87" s="90"/>
      <c r="E87" s="90"/>
      <c r="F87" s="92"/>
      <c r="G87" s="5"/>
      <c r="H87" s="5"/>
      <c r="I87" s="5"/>
      <c r="J87" s="5"/>
      <c r="K87" s="5"/>
      <c r="L87" s="5"/>
      <c r="M87" s="2"/>
      <c r="N87" s="5"/>
      <c r="O87" s="255"/>
      <c r="X87" s="26"/>
      <c r="Y87" s="26"/>
      <c r="Z87" s="26"/>
      <c r="AA87" s="26"/>
      <c r="AB87" s="26"/>
      <c r="AC87" s="69"/>
      <c r="AD87" s="21"/>
      <c r="AE87" s="21"/>
      <c r="AF87" s="21"/>
      <c r="AZ87" s="11"/>
      <c r="BA87" s="85"/>
      <c r="BB87" s="699"/>
      <c r="BC87" s="700">
        <f>(BC84+F45+F59)/365</f>
        <v>0</v>
      </c>
      <c r="BD87" s="701"/>
      <c r="BE87" s="701"/>
      <c r="BF87" s="701"/>
      <c r="BG87" s="701"/>
      <c r="BH87" s="701"/>
      <c r="BI87" s="702">
        <v>0.45</v>
      </c>
      <c r="BJ87" s="703"/>
      <c r="BK87" s="704"/>
      <c r="BL87" s="705" t="s">
        <v>368</v>
      </c>
    </row>
    <row r="88" spans="2:64" ht="15.95" hidden="1" customHeight="1" x14ac:dyDescent="0.15">
      <c r="B88" s="91" t="s">
        <v>455</v>
      </c>
      <c r="C88" s="90"/>
      <c r="D88" s="90"/>
      <c r="E88" s="90"/>
      <c r="F88" s="92"/>
      <c r="G88" s="5"/>
      <c r="H88" s="5"/>
      <c r="I88" s="5"/>
      <c r="J88" s="5"/>
      <c r="K88" s="5"/>
      <c r="L88" s="5"/>
      <c r="M88" s="2"/>
      <c r="N88" s="5"/>
      <c r="O88" s="255"/>
      <c r="AD88" s="70"/>
      <c r="AE88" s="70"/>
      <c r="AF88" s="70"/>
      <c r="AG88" s="69"/>
      <c r="AZ88" s="11"/>
      <c r="BA88" s="85"/>
      <c r="BB88" s="706" t="s">
        <v>369</v>
      </c>
      <c r="BC88" s="707" t="s">
        <v>370</v>
      </c>
      <c r="BD88" s="708" t="s">
        <v>371</v>
      </c>
      <c r="BE88" s="708" t="s">
        <v>372</v>
      </c>
      <c r="BF88" s="708" t="s">
        <v>373</v>
      </c>
      <c r="BG88" s="708" t="s">
        <v>374</v>
      </c>
      <c r="BH88" s="709" t="s">
        <v>375</v>
      </c>
      <c r="BI88" s="710" t="e">
        <f>#REF!*1.45</f>
        <v>#REF!</v>
      </c>
      <c r="BJ88" s="711">
        <v>80.64</v>
      </c>
      <c r="BK88" s="712">
        <v>100</v>
      </c>
      <c r="BL88" s="713">
        <v>112</v>
      </c>
    </row>
    <row r="89" spans="2:64" ht="15.95" hidden="1" customHeight="1" x14ac:dyDescent="0.15">
      <c r="B89" s="91" t="s">
        <v>467</v>
      </c>
      <c r="C89" s="90"/>
      <c r="D89" s="90"/>
      <c r="E89" s="90"/>
      <c r="F89" s="92"/>
      <c r="G89" s="5"/>
      <c r="H89" s="5"/>
      <c r="I89" s="5"/>
      <c r="J89" s="5"/>
      <c r="K89" s="5"/>
      <c r="L89" s="5"/>
      <c r="M89" s="2"/>
      <c r="N89" s="5"/>
      <c r="O89" s="255"/>
      <c r="AD89" s="70"/>
      <c r="AE89" s="70"/>
      <c r="AF89" s="70"/>
      <c r="AG89" s="69"/>
      <c r="AZ89" s="11"/>
      <c r="BA89" s="85"/>
      <c r="BB89" s="714" t="s">
        <v>376</v>
      </c>
      <c r="BC89" s="715" t="s">
        <v>370</v>
      </c>
      <c r="BD89" s="716" t="s">
        <v>371</v>
      </c>
      <c r="BE89" s="716" t="s">
        <v>372</v>
      </c>
      <c r="BF89" s="716" t="s">
        <v>373</v>
      </c>
      <c r="BG89" s="716" t="s">
        <v>374</v>
      </c>
      <c r="BH89" s="717" t="s">
        <v>375</v>
      </c>
      <c r="BI89" s="718" t="e">
        <f>#REF!*1.45</f>
        <v>#REF!</v>
      </c>
      <c r="BJ89" s="719">
        <v>90.32</v>
      </c>
      <c r="BK89" s="720">
        <v>100</v>
      </c>
      <c r="BL89" s="721">
        <v>125.44</v>
      </c>
    </row>
    <row r="90" spans="2:64" ht="15.95" hidden="1" customHeight="1" x14ac:dyDescent="0.15">
      <c r="B90" s="91" t="s">
        <v>468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D90" s="70"/>
      <c r="AE90" s="70"/>
      <c r="AF90" s="70"/>
      <c r="AG90" s="69"/>
      <c r="AZ90" s="11"/>
      <c r="BA90" s="85"/>
      <c r="BB90" s="714" t="s">
        <v>377</v>
      </c>
      <c r="BC90" s="715" t="s">
        <v>371</v>
      </c>
      <c r="BD90" s="716" t="s">
        <v>372</v>
      </c>
      <c r="BE90" s="716" t="s">
        <v>373</v>
      </c>
      <c r="BF90" s="716" t="s">
        <v>374</v>
      </c>
      <c r="BG90" s="716" t="s">
        <v>375</v>
      </c>
      <c r="BH90" s="717" t="s">
        <v>378</v>
      </c>
      <c r="BI90" s="718" t="e">
        <f>#REF!*1.45</f>
        <v>#REF!</v>
      </c>
      <c r="BJ90" s="719">
        <v>101.15</v>
      </c>
      <c r="BK90" s="720">
        <v>101.15</v>
      </c>
      <c r="BL90" s="721">
        <v>140.4</v>
      </c>
    </row>
    <row r="91" spans="2:64" ht="15.95" hidden="1" customHeight="1" x14ac:dyDescent="0.15">
      <c r="B91" s="91" t="s">
        <v>470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14" t="s">
        <v>379</v>
      </c>
      <c r="BC91" s="715" t="s">
        <v>371</v>
      </c>
      <c r="BD91" s="716" t="s">
        <v>372</v>
      </c>
      <c r="BE91" s="716" t="s">
        <v>373</v>
      </c>
      <c r="BF91" s="716" t="s">
        <v>374</v>
      </c>
      <c r="BG91" s="716" t="s">
        <v>375</v>
      </c>
      <c r="BH91" s="717" t="s">
        <v>378</v>
      </c>
      <c r="BI91" s="718" t="e">
        <f>#REF!*1.45</f>
        <v>#REF!</v>
      </c>
      <c r="BJ91" s="719">
        <v>113.29</v>
      </c>
      <c r="BK91" s="720">
        <v>113.29</v>
      </c>
      <c r="BL91" s="721">
        <v>157.35</v>
      </c>
    </row>
    <row r="92" spans="2:64" ht="15.95" hidden="1" customHeight="1" x14ac:dyDescent="0.15">
      <c r="B92" s="91" t="s">
        <v>471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380</v>
      </c>
      <c r="BC92" s="715" t="s">
        <v>372</v>
      </c>
      <c r="BD92" s="716" t="s">
        <v>373</v>
      </c>
      <c r="BE92" s="716" t="s">
        <v>374</v>
      </c>
      <c r="BF92" s="716" t="s">
        <v>375</v>
      </c>
      <c r="BG92" s="716" t="s">
        <v>378</v>
      </c>
      <c r="BH92" s="717" t="s">
        <v>381</v>
      </c>
      <c r="BI92" s="718" t="e">
        <f>#REF!*1.45</f>
        <v>#REF!</v>
      </c>
      <c r="BJ92" s="719">
        <v>126.89</v>
      </c>
      <c r="BK92" s="720">
        <v>129.88999999999999</v>
      </c>
      <c r="BL92" s="721">
        <v>176.23</v>
      </c>
    </row>
    <row r="93" spans="2:64" ht="15.95" hidden="1" customHeight="1" x14ac:dyDescent="0.15">
      <c r="B93" s="93" t="s">
        <v>472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328</v>
      </c>
      <c r="BC93" s="715" t="s">
        <v>372</v>
      </c>
      <c r="BD93" s="716" t="s">
        <v>373</v>
      </c>
      <c r="BE93" s="716" t="s">
        <v>374</v>
      </c>
      <c r="BF93" s="716" t="s">
        <v>375</v>
      </c>
      <c r="BG93" s="716" t="s">
        <v>378</v>
      </c>
      <c r="BH93" s="717" t="s">
        <v>381</v>
      </c>
      <c r="BI93" s="718">
        <f>A126*1.45</f>
        <v>0</v>
      </c>
      <c r="BJ93" s="719">
        <v>80.64</v>
      </c>
      <c r="BK93" s="720">
        <v>100</v>
      </c>
      <c r="BL93" s="721">
        <v>112</v>
      </c>
    </row>
    <row r="94" spans="2:64" ht="15.95" hidden="1" customHeight="1" x14ac:dyDescent="0.15">
      <c r="B94" s="93" t="s">
        <v>487</v>
      </c>
      <c r="C94" s="90"/>
      <c r="D94" s="90"/>
      <c r="E94" s="90"/>
      <c r="F94" s="92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382</v>
      </c>
      <c r="BC94" s="715" t="s">
        <v>372</v>
      </c>
      <c r="BD94" s="716" t="s">
        <v>373</v>
      </c>
      <c r="BE94" s="716" t="s">
        <v>374</v>
      </c>
      <c r="BF94" s="716" t="s">
        <v>375</v>
      </c>
      <c r="BG94" s="716" t="s">
        <v>378</v>
      </c>
      <c r="BH94" s="717" t="s">
        <v>381</v>
      </c>
      <c r="BI94" s="718">
        <f>A127*1.45</f>
        <v>0</v>
      </c>
      <c r="BJ94" s="719">
        <v>90.32</v>
      </c>
      <c r="BK94" s="720">
        <v>100</v>
      </c>
      <c r="BL94" s="721">
        <v>125.44</v>
      </c>
    </row>
    <row r="95" spans="2:64" ht="15.95" hidden="1" customHeight="1" thickBot="1" x14ac:dyDescent="0.2">
      <c r="B95" s="94" t="s">
        <v>484</v>
      </c>
      <c r="C95" s="95"/>
      <c r="D95" s="95"/>
      <c r="E95" s="95"/>
      <c r="F95" s="96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383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>
        <f>A128*1.45</f>
        <v>0</v>
      </c>
      <c r="BJ95" s="719">
        <v>101.15</v>
      </c>
      <c r="BK95" s="720">
        <v>101.15</v>
      </c>
      <c r="BL95" s="721">
        <v>140.4</v>
      </c>
    </row>
    <row r="96" spans="2:64" ht="15.95" hidden="1" customHeight="1" x14ac:dyDescent="0.15">
      <c r="B96" s="30"/>
      <c r="C96" s="5"/>
      <c r="D96" s="5"/>
      <c r="E96" s="5"/>
      <c r="F96" s="5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384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A129*1.45</f>
        <v>1.45</v>
      </c>
      <c r="BJ96" s="719">
        <v>113.29</v>
      </c>
      <c r="BK96" s="720">
        <v>113.29</v>
      </c>
      <c r="BL96" s="721">
        <v>157.35</v>
      </c>
    </row>
    <row r="97" spans="2:64" ht="13.5" hidden="1" x14ac:dyDescent="0.15">
      <c r="B97" s="30"/>
      <c r="C97" s="5"/>
      <c r="D97" s="5"/>
      <c r="E97" s="5"/>
      <c r="F97" s="5"/>
      <c r="G97" s="5"/>
      <c r="H97" s="5"/>
      <c r="I97" s="5"/>
      <c r="J97" s="74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385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A129*1.45</f>
        <v>1.45</v>
      </c>
      <c r="BJ97" s="719">
        <v>126.89</v>
      </c>
      <c r="BK97" s="720">
        <v>126.89</v>
      </c>
      <c r="BL97" s="721">
        <v>176.23</v>
      </c>
    </row>
    <row r="98" spans="2:64" ht="13.5" hidden="1" x14ac:dyDescent="0.15">
      <c r="B98" s="1849" t="s">
        <v>508</v>
      </c>
      <c r="C98" s="1849"/>
      <c r="D98" s="1849"/>
      <c r="E98" s="1849"/>
      <c r="H98" s="5"/>
      <c r="I98" s="37"/>
      <c r="J98" s="5"/>
      <c r="K98" s="27"/>
      <c r="L98" s="6"/>
      <c r="M98" s="27"/>
      <c r="N98" s="60"/>
      <c r="O98" s="255"/>
      <c r="AD98" s="70"/>
      <c r="AE98" s="70"/>
      <c r="AF98" s="70"/>
      <c r="AG98" s="69"/>
      <c r="AZ98" s="11"/>
      <c r="BA98" s="85"/>
      <c r="BB98" s="714" t="s">
        <v>386</v>
      </c>
      <c r="BC98" s="715" t="s">
        <v>372</v>
      </c>
      <c r="BD98" s="716" t="s">
        <v>373</v>
      </c>
      <c r="BE98" s="716" t="s">
        <v>374</v>
      </c>
      <c r="BF98" s="716" t="s">
        <v>375</v>
      </c>
      <c r="BG98" s="716" t="s">
        <v>378</v>
      </c>
      <c r="BH98" s="717" t="s">
        <v>381</v>
      </c>
      <c r="BI98" s="718">
        <f>A130*1.45</f>
        <v>2.9</v>
      </c>
      <c r="BJ98" s="719">
        <v>126.89</v>
      </c>
      <c r="BK98" s="720">
        <v>126.89</v>
      </c>
      <c r="BL98" s="721">
        <v>176.23</v>
      </c>
    </row>
    <row r="99" spans="2:64" hidden="1" thickBot="1" x14ac:dyDescent="0.2">
      <c r="B99" s="34" t="s">
        <v>463</v>
      </c>
      <c r="C99" s="17"/>
      <c r="D99" s="21"/>
      <c r="E99" s="36"/>
      <c r="F99" s="5"/>
      <c r="G99" s="28"/>
      <c r="H99" s="5"/>
      <c r="I99" s="17" t="s">
        <v>463</v>
      </c>
      <c r="J99" s="5" t="str">
        <f>IF(E2=B89,H100,IF(E2=B91,H100,IF(E2=B93,H100,IF(E2=B94,H100,"NÃO CABE"))))</f>
        <v>NÃO CABE</v>
      </c>
      <c r="K99" s="27"/>
      <c r="L99" s="6" t="s">
        <v>510</v>
      </c>
      <c r="M99" s="27"/>
      <c r="N99" s="60"/>
      <c r="O99" s="255"/>
      <c r="X99" s="11"/>
      <c r="Y99" s="11"/>
      <c r="Z99" s="11"/>
      <c r="AA99" s="11"/>
      <c r="AB99" s="11"/>
      <c r="AC99" s="69"/>
      <c r="AD99" s="70"/>
      <c r="AE99" s="70"/>
      <c r="AF99" s="70"/>
      <c r="AG99" s="69"/>
      <c r="AZ99" s="11"/>
      <c r="BA99" s="85"/>
      <c r="BB99" s="714" t="s">
        <v>387</v>
      </c>
      <c r="BC99" s="715" t="s">
        <v>373</v>
      </c>
      <c r="BD99" s="716" t="s">
        <v>374</v>
      </c>
      <c r="BE99" s="716" t="s">
        <v>375</v>
      </c>
      <c r="BF99" s="716" t="s">
        <v>378</v>
      </c>
      <c r="BG99" s="716" t="s">
        <v>381</v>
      </c>
      <c r="BH99" s="717" t="s">
        <v>388</v>
      </c>
      <c r="BI99" s="718" t="e">
        <f>A131*1.45</f>
        <v>#VALUE!</v>
      </c>
      <c r="BJ99" s="719">
        <v>142.12</v>
      </c>
      <c r="BK99" s="720">
        <v>142.12</v>
      </c>
      <c r="BL99" s="721">
        <v>197.38</v>
      </c>
    </row>
    <row r="100" spans="2:64" hidden="1" thickBot="1" x14ac:dyDescent="0.2">
      <c r="B100" s="34" t="s">
        <v>485</v>
      </c>
      <c r="C100" s="17"/>
      <c r="D100" s="16"/>
      <c r="E100" s="57" t="str">
        <f>IF($F$100="NÃO CABE","NÃO CABE",IF($G$10="X",$F$100/30,$F$100/35))</f>
        <v>NÃO CABE</v>
      </c>
      <c r="F100" s="10" t="str">
        <f>IF(E2="VOLUNTÁRIA ESPECIAL","NÃO CABE",IF(E2="VOLUNTÁRIA INTEGRAL","NÃO CABE",IF(E2="COMPULSÓRIA INTEGRAL","NÃO CABE",IF(E2="INVALIDEZ INTEGRAL","NÃO CABE",ROUNDDOWN(F61/365,0)))))</f>
        <v>NÃO CABE</v>
      </c>
      <c r="G100" s="28"/>
      <c r="H100" s="14">
        <f>IF(E100&gt;1,1,E100)</f>
        <v>1</v>
      </c>
      <c r="I100" s="17" t="s">
        <v>485</v>
      </c>
      <c r="J100" s="5" t="str">
        <f>IF($E$2=$B$89,H100,IF($E$2=$B$91,H100,IF($E$2=$B$93,H100,"NÃO CABE")))</f>
        <v>NÃO CABE</v>
      </c>
      <c r="K100" s="27"/>
      <c r="L100" s="57" t="str">
        <f>IF($F$100="NÃO CABE","NÃO CABE",IF($G$10="X",$F$61/10950,$F$61/12775))</f>
        <v>NÃO CABE</v>
      </c>
      <c r="M100" s="14">
        <f>IF(L100&gt;1,1,L100)</f>
        <v>1</v>
      </c>
      <c r="N100" s="5" t="str">
        <f>IF($E$2=$B$89,M100,IF($E$2=$B$91,M100,IF($E$2=$B$93,M100,"NÃO CABE")))</f>
        <v>NÃO CABE</v>
      </c>
      <c r="O100" s="255"/>
      <c r="X100" s="11"/>
      <c r="Y100" s="11"/>
      <c r="Z100" s="11"/>
      <c r="AA100" s="11"/>
      <c r="AB100" s="11"/>
      <c r="AC100" s="69"/>
      <c r="AD100" s="70"/>
      <c r="AE100" s="70"/>
      <c r="AF100" s="70"/>
      <c r="AG100" s="69"/>
      <c r="AZ100" s="11"/>
      <c r="BA100" s="85"/>
      <c r="BB100" s="714" t="s">
        <v>389</v>
      </c>
      <c r="BC100" s="715" t="s">
        <v>373</v>
      </c>
      <c r="BD100" s="716" t="s">
        <v>374</v>
      </c>
      <c r="BE100" s="716" t="s">
        <v>375</v>
      </c>
      <c r="BF100" s="716" t="s">
        <v>378</v>
      </c>
      <c r="BG100" s="716" t="s">
        <v>381</v>
      </c>
      <c r="BH100" s="717" t="s">
        <v>388</v>
      </c>
      <c r="BI100" s="718">
        <f>A133*1.45</f>
        <v>5.8</v>
      </c>
      <c r="BJ100" s="719">
        <v>90.32</v>
      </c>
      <c r="BK100" s="720">
        <v>100</v>
      </c>
      <c r="BL100" s="721">
        <v>125.44</v>
      </c>
    </row>
    <row r="101" spans="2:64" hidden="1" thickBot="1" x14ac:dyDescent="0.2">
      <c r="B101" s="34" t="s">
        <v>476</v>
      </c>
      <c r="C101" s="17"/>
      <c r="D101" s="16"/>
      <c r="E101" s="58" t="str">
        <f>IF(E2=B94,IF(C65&gt;0,"TEMPO A CUMPRIR",IF(F101=1,75%,IF(F101=2,80%,IF(F101=3,85%,IF(F101=4,90%,IF(F101=5,95%,IF(F101&gt;=6,100%,70%))))))),"NÃO CABE")</f>
        <v>NÃO CABE</v>
      </c>
      <c r="F101" s="10">
        <f>IF(G10="X",ROUNDDOWN((F61-(25*365+E43))/365,0),ROUNDDOWN((F61-(30*365+E43))/365,0))</f>
        <v>-30</v>
      </c>
      <c r="G101" s="28"/>
      <c r="I101" s="17" t="s">
        <v>476</v>
      </c>
      <c r="J101" s="5" t="str">
        <f>IF(E2=B94,E101,"NÃO CABE")</f>
        <v>NÃO CABE</v>
      </c>
      <c r="K101" s="27"/>
      <c r="L101" s="65"/>
      <c r="M101" s="66">
        <f>O10</f>
        <v>0</v>
      </c>
      <c r="N101" s="60">
        <v>38037</v>
      </c>
      <c r="O101" s="255"/>
      <c r="X101" s="11"/>
      <c r="Y101" s="11"/>
      <c r="Z101" s="11"/>
      <c r="AA101" s="11"/>
      <c r="AB101" s="11"/>
      <c r="AC101" s="69"/>
      <c r="AD101" s="70"/>
      <c r="AE101" s="70"/>
      <c r="AF101" s="70"/>
      <c r="AG101" s="69"/>
      <c r="AZ101" s="11"/>
      <c r="BA101" s="85"/>
      <c r="BB101" s="714" t="s">
        <v>390</v>
      </c>
      <c r="BC101" s="715" t="s">
        <v>373</v>
      </c>
      <c r="BD101" s="716" t="s">
        <v>374</v>
      </c>
      <c r="BE101" s="716" t="s">
        <v>375</v>
      </c>
      <c r="BF101" s="716" t="s">
        <v>378</v>
      </c>
      <c r="BG101" s="716" t="s">
        <v>381</v>
      </c>
      <c r="BH101" s="717" t="s">
        <v>388</v>
      </c>
      <c r="BI101" s="718"/>
      <c r="BJ101" s="719"/>
      <c r="BK101" s="720"/>
      <c r="BL101" s="721"/>
    </row>
    <row r="102" spans="2:64" hidden="1" thickBot="1" x14ac:dyDescent="0.2">
      <c r="B102" s="35" t="s">
        <v>464</v>
      </c>
      <c r="C102" s="33"/>
      <c r="D102" s="16"/>
      <c r="E102" s="36" t="s">
        <v>457</v>
      </c>
      <c r="F102" s="5">
        <f>IF($D$12="X",50-$N$11,55-$N$11)</f>
        <v>55</v>
      </c>
      <c r="G102" s="28"/>
      <c r="H102" s="59" t="str">
        <f>IF($G$10="X",IF($O$9&gt;=17532,IF($O$10&gt;=38718,1-($F$102*0.05),1-($F$102*0.035)),"NÃO CABE"),IF($O$9&gt;=19359,IF($O$10&gt;=38718,1-($F$103*0.05),1-($F$103*0.035)),"NÃO CABE"))</f>
        <v>NÃO CABE</v>
      </c>
      <c r="I102" s="33" t="s">
        <v>464</v>
      </c>
      <c r="J102" s="61" t="str">
        <f>IF(E2=B95,H103,"NÃO CABE")</f>
        <v>NÃO CABE</v>
      </c>
      <c r="K102" s="27"/>
      <c r="L102" s="6"/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X102" s="11"/>
      <c r="AY102" s="11"/>
      <c r="AZ102" s="11"/>
      <c r="BA102" s="85"/>
      <c r="BB102" s="714" t="s">
        <v>391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 t="e">
        <f>A135*1.45</f>
        <v>#VALUE!</v>
      </c>
      <c r="BJ102" s="719">
        <v>101.15</v>
      </c>
      <c r="BK102" s="720">
        <v>101.15</v>
      </c>
      <c r="BL102" s="721">
        <v>140.4</v>
      </c>
    </row>
    <row r="103" spans="2:64" ht="13.5" hidden="1" x14ac:dyDescent="0.15">
      <c r="B103" s="39">
        <v>38717</v>
      </c>
      <c r="C103" s="11">
        <v>38717</v>
      </c>
      <c r="D103" s="16"/>
      <c r="E103" s="36" t="s">
        <v>456</v>
      </c>
      <c r="F103" s="5">
        <f>IF($D$12="X",55-$N$11,60-$N$11)</f>
        <v>60</v>
      </c>
      <c r="G103" s="28"/>
      <c r="H103" s="14">
        <f>IF(H102="NÃO CABE",0,IF(H102&gt;1,1,H102))</f>
        <v>0</v>
      </c>
      <c r="I103" s="18"/>
      <c r="J103" s="5"/>
      <c r="K103" s="27"/>
      <c r="L103" s="6"/>
      <c r="M103" s="27"/>
      <c r="N103" s="60"/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S103" s="69"/>
      <c r="AX103" s="11"/>
      <c r="AY103" s="11"/>
      <c r="AZ103" s="11"/>
      <c r="BA103" s="85"/>
      <c r="BB103" s="714" t="s">
        <v>392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/>
      <c r="BJ103" s="719"/>
      <c r="BK103" s="720"/>
      <c r="BL103" s="721"/>
    </row>
    <row r="104" spans="2:64" ht="13.5" hidden="1" x14ac:dyDescent="0.15">
      <c r="B104" s="39">
        <v>38718</v>
      </c>
      <c r="C104" s="11">
        <v>38718</v>
      </c>
      <c r="D104" s="8"/>
      <c r="E104" s="63"/>
      <c r="F104" s="6"/>
      <c r="G104" s="6"/>
      <c r="H104" s="6"/>
      <c r="I104" s="18"/>
      <c r="J104" s="9"/>
      <c r="K104" s="5"/>
      <c r="L104" s="6"/>
      <c r="M104" s="10"/>
      <c r="N104" s="11"/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X104" s="11"/>
      <c r="AY104" s="11"/>
      <c r="AZ104" s="11"/>
      <c r="BA104" s="85"/>
      <c r="BB104" s="714" t="s">
        <v>393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>
        <f>A136*1.45</f>
        <v>8.6999999999999993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62"/>
      <c r="C105" s="38">
        <v>38097</v>
      </c>
      <c r="D105" s="8"/>
      <c r="E105" s="5"/>
      <c r="F105" s="6"/>
      <c r="G105" s="6"/>
      <c r="H105" s="6"/>
      <c r="I105" s="6"/>
      <c r="J105" s="9"/>
      <c r="K105" s="5"/>
      <c r="L105" s="6"/>
      <c r="M105" s="10"/>
      <c r="N105" s="11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394</v>
      </c>
      <c r="BC105" s="715" t="s">
        <v>373</v>
      </c>
      <c r="BD105" s="716" t="s">
        <v>374</v>
      </c>
      <c r="BE105" s="716" t="s">
        <v>375</v>
      </c>
      <c r="BF105" s="716" t="s">
        <v>378</v>
      </c>
      <c r="BG105" s="716" t="s">
        <v>381</v>
      </c>
      <c r="BH105" s="717" t="s">
        <v>388</v>
      </c>
      <c r="BI105" s="718">
        <f>A137*1.45</f>
        <v>10.15</v>
      </c>
      <c r="BJ105" s="719">
        <v>113.29</v>
      </c>
      <c r="BK105" s="720">
        <v>113.29</v>
      </c>
      <c r="BL105" s="721">
        <v>157.35</v>
      </c>
    </row>
    <row r="106" spans="2:64" ht="13.5" hidden="1" x14ac:dyDescent="0.15">
      <c r="B106" s="6"/>
      <c r="C106" s="38"/>
      <c r="D106" s="8"/>
      <c r="E106" s="5"/>
      <c r="F106" s="6"/>
      <c r="G106" s="6"/>
      <c r="H106" s="6"/>
      <c r="I106" s="6"/>
      <c r="J106" s="9"/>
      <c r="K106" s="5"/>
      <c r="L106" s="6"/>
      <c r="M106" s="10"/>
      <c r="N106" s="11"/>
      <c r="O106" s="255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X106" s="11"/>
      <c r="AY106" s="11"/>
      <c r="AZ106" s="11"/>
      <c r="BA106" s="85"/>
      <c r="BB106" s="714" t="s">
        <v>395</v>
      </c>
      <c r="BC106" s="715" t="s">
        <v>396</v>
      </c>
      <c r="BD106" s="716" t="s">
        <v>397</v>
      </c>
      <c r="BE106" s="716" t="s">
        <v>397</v>
      </c>
      <c r="BF106" s="716" t="s">
        <v>398</v>
      </c>
      <c r="BG106" s="716" t="s">
        <v>398</v>
      </c>
      <c r="BH106" s="716" t="s">
        <v>398</v>
      </c>
      <c r="BI106" s="718"/>
      <c r="BJ106" s="719"/>
      <c r="BK106" s="720"/>
      <c r="BL106" s="721"/>
    </row>
    <row r="107" spans="2:64" ht="13.5" hidden="1" x14ac:dyDescent="0.15">
      <c r="B107" s="1849" t="s">
        <v>477</v>
      </c>
      <c r="C107" s="1849"/>
      <c r="D107" s="1849"/>
      <c r="E107" s="1849"/>
      <c r="F107" s="1849"/>
      <c r="G107" s="1849"/>
      <c r="H107" s="1849"/>
      <c r="I107" s="1849"/>
      <c r="J107" s="1849"/>
      <c r="K107" s="1849" t="s">
        <v>477</v>
      </c>
      <c r="L107" s="1849"/>
      <c r="M107" s="1849"/>
      <c r="N107" s="1849"/>
      <c r="O107" s="1849"/>
      <c r="P107" s="1849"/>
      <c r="Q107" s="1849"/>
      <c r="R107" s="1849"/>
      <c r="S107" s="1849"/>
      <c r="T107" s="11"/>
      <c r="U107" s="11"/>
      <c r="V107" s="11"/>
      <c r="W107" s="11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399</v>
      </c>
      <c r="BC107" s="715" t="s">
        <v>396</v>
      </c>
      <c r="BD107" s="716" t="s">
        <v>397</v>
      </c>
      <c r="BE107" s="716" t="s">
        <v>397</v>
      </c>
      <c r="BF107" s="716" t="s">
        <v>398</v>
      </c>
      <c r="BG107" s="716" t="s">
        <v>398</v>
      </c>
      <c r="BH107" s="716" t="s">
        <v>398</v>
      </c>
      <c r="BI107" s="718">
        <f>A140*1.45</f>
        <v>13.049999999999999</v>
      </c>
      <c r="BJ107" s="719">
        <v>126.89</v>
      </c>
      <c r="BK107" s="720">
        <v>126.89</v>
      </c>
      <c r="BL107" s="721">
        <v>176.23</v>
      </c>
    </row>
    <row r="108" spans="2:64" ht="13.5" hidden="1" x14ac:dyDescent="0.15">
      <c r="B108" s="19" t="s">
        <v>480</v>
      </c>
      <c r="C108" s="8"/>
      <c r="D108" s="8"/>
      <c r="E108" s="5"/>
      <c r="F108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08" s="6"/>
      <c r="H108" s="6"/>
      <c r="I108" s="6"/>
      <c r="J108" s="9"/>
      <c r="K108" s="5"/>
      <c r="L108" s="41" t="s">
        <v>450</v>
      </c>
      <c r="M108" s="10"/>
      <c r="N108" s="11"/>
      <c r="O108" s="255" t="str">
        <f>IF(E2=L108,IF(K2=O3,F108,IF(K2=O4,F110,IF(K2=O6,F108,IF(K2=O7,F109,IF(K2=O2,"NADA A CRITICAR","REANALISAR FUNDAMENTAÇÃO E/OU MODALIDADE"))))))</f>
        <v>REANALISAR FUNDAMENTAÇÃO E/OU MODALIDADE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400</v>
      </c>
      <c r="BC108" s="715" t="s">
        <v>396</v>
      </c>
      <c r="BD108" s="716" t="s">
        <v>397</v>
      </c>
      <c r="BE108" s="716" t="s">
        <v>397</v>
      </c>
      <c r="BF108" s="716" t="s">
        <v>398</v>
      </c>
      <c r="BG108" s="716" t="s">
        <v>398</v>
      </c>
      <c r="BH108" s="716" t="s">
        <v>398</v>
      </c>
      <c r="BI108" s="718"/>
      <c r="BJ108" s="719"/>
      <c r="BK108" s="720"/>
      <c r="BL108" s="721"/>
    </row>
    <row r="109" spans="2:64" ht="13.5" hidden="1" x14ac:dyDescent="0.15">
      <c r="B109" s="6" t="s">
        <v>481</v>
      </c>
      <c r="D109" s="10"/>
      <c r="E109" s="11"/>
      <c r="F109" s="6" t="str">
        <f>IF($G$10="X",$I$125,IF($D$10="X",$J$125,"REANALISAR FUNDAMENTAÇÃO E/OU MODALIDADE"))</f>
        <v>REANALISAR FUNDAMENTAÇÃO E/OU MODALIDADE</v>
      </c>
      <c r="G109" s="6"/>
      <c r="H109" s="6"/>
      <c r="I109" s="6"/>
      <c r="J109" s="9"/>
      <c r="L109" s="41" t="s">
        <v>455</v>
      </c>
      <c r="O109" s="255" t="str">
        <f>IF(E2=L109,IF(K2=O3,F111,IF(K2=O4,F114,IF(K2=O6,F111,IF(K2=O2,"NADA A CRITICAR","REANALISAR FUNDAMENTAÇÃO E/OU MODALIDADE")))),"REANALISAR FUNDAMENTAÇÃO E/OU MODALIDADE")</f>
        <v>REANALISAR FUNDAMENTAÇÃO E/OU MODALIDADE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14" t="s">
        <v>401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>
        <f>A142*1.45</f>
        <v>15.95</v>
      </c>
      <c r="BJ109" s="719">
        <v>142.12</v>
      </c>
      <c r="BK109" s="720">
        <v>142.12</v>
      </c>
      <c r="BL109" s="721">
        <v>197.38</v>
      </c>
    </row>
    <row r="110" spans="2:64" ht="13.5" hidden="1" x14ac:dyDescent="0.15">
      <c r="B110" s="20" t="s">
        <v>482</v>
      </c>
      <c r="F110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0" s="5"/>
      <c r="L110" s="41" t="s">
        <v>467</v>
      </c>
      <c r="O110" s="254" t="str">
        <f>IF(E2=L110,IF(K2=O3,F112,IF(K2=O2,F112,"REANALISAR FUNDAMENTAÇÃO E/OU MODALIDADE")),"REANALISAR FUNDAMENTAÇÃO E/OU MODALIDADE")</f>
        <v>REANALISAR FUNDAMENTAÇÃO E/OU MODALIDADE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22" t="s">
        <v>402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/>
      <c r="BJ110" s="719"/>
      <c r="BK110" s="720"/>
      <c r="BL110" s="721"/>
    </row>
    <row r="111" spans="2:64" ht="13.5" hidden="1" x14ac:dyDescent="0.15">
      <c r="B111" s="6" t="s">
        <v>478</v>
      </c>
      <c r="C111" s="8"/>
      <c r="D111" s="8"/>
      <c r="E111" s="5"/>
      <c r="F111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1" s="6"/>
      <c r="H111" s="6"/>
      <c r="I111" s="6"/>
      <c r="J111" s="9"/>
      <c r="K111" s="5"/>
      <c r="L111" s="11" t="s">
        <v>487</v>
      </c>
      <c r="M111" s="10"/>
      <c r="N111" s="11"/>
      <c r="O111" s="255" t="str">
        <f>IF(E2=L111,IF(K2=O4,F113,IF(K2=O2,"NADA A CRITICAR","REANALISAR FUNDAMENTAÇÃO E/OU MODALIDADE")),"REANALISAR FUNDAMENTAÇÃO E/OU MODALIDADE")</f>
        <v>REANALISAR FUNDAMENTAÇÃO E/OU MODALIDADE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403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>
        <f>A144*1.45</f>
        <v>18.849999999999998</v>
      </c>
      <c r="BJ111" s="719">
        <v>159.16999999999999</v>
      </c>
      <c r="BK111" s="720">
        <v>159.16999999999999</v>
      </c>
      <c r="BL111" s="721">
        <v>221.06</v>
      </c>
    </row>
    <row r="112" spans="2:64" ht="13.5" hidden="1" x14ac:dyDescent="0.15">
      <c r="B112" s="6" t="s">
        <v>479</v>
      </c>
      <c r="C112" s="8"/>
      <c r="D112" s="8"/>
      <c r="E112" s="5"/>
      <c r="F112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2" s="6"/>
      <c r="H112" s="6"/>
      <c r="I112" s="6"/>
      <c r="J112" s="9"/>
      <c r="K112" s="5"/>
      <c r="L112" s="42" t="s">
        <v>484</v>
      </c>
      <c r="M112" s="10"/>
      <c r="N112" s="11"/>
      <c r="O112" s="255" t="str">
        <f>IF(E2=L112,IF(K2=O5,F110,"REANALISAR FUNDAMENTAÇÃO E/OU MODALIDADE"),"REANALISAR FUNDAMENTAÇÃO E/OU MODALIDADE")</f>
        <v>REANALISAR FUNDAMENTAÇÃO E/OU MODALIDADE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404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>
        <f>A145*1.45</f>
        <v>20.3</v>
      </c>
      <c r="BJ112" s="719">
        <v>101.15</v>
      </c>
      <c r="BK112" s="720">
        <v>101.15</v>
      </c>
      <c r="BL112" s="721">
        <v>140.4</v>
      </c>
    </row>
    <row r="113" spans="2:64" hidden="1" x14ac:dyDescent="0.15">
      <c r="B113" s="20" t="s">
        <v>483</v>
      </c>
      <c r="C113" s="43"/>
      <c r="D113" s="43"/>
      <c r="E113" s="44"/>
      <c r="F113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3" s="44"/>
      <c r="H113" s="44"/>
      <c r="I113" s="44"/>
      <c r="J113" s="44"/>
      <c r="K113" s="45"/>
      <c r="L113" s="46" t="s">
        <v>488</v>
      </c>
      <c r="M113" s="46"/>
      <c r="N113" s="47"/>
      <c r="O113" s="255" t="b">
        <f>IF($K$2=$O$2,IF($E$2=$B$90,$F$115,IF(E2=$B$91,$F$115,IF($E$2=$B$92,"EX OFFICIO",IF($E$2=$B$93,"EX OFFICIO","REANALISAR FUNDAMENTAÇÃO E/OU MODALIDADE")))),IF($K$2=$O$3,IF($E$2=$B$90,$F$115,IF($E$2=$B$91,$F$115,IF($E$2=$B$92,"EX OFFICIO",IF($E$2=$B$93,"EX OFFICIO","REANALISAR FUNDAMENTAÇÃO E/OU MODADALIDADE"))))))</f>
        <v>0</v>
      </c>
      <c r="P113" s="3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405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2:64" ht="13.5" hidden="1" x14ac:dyDescent="0.15">
      <c r="B114" s="20" t="s">
        <v>486</v>
      </c>
      <c r="C114" s="43"/>
      <c r="D114" s="43"/>
      <c r="E114" s="44"/>
      <c r="F114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4" s="44"/>
      <c r="H114" s="44"/>
      <c r="I114" s="44"/>
      <c r="J114" s="44"/>
      <c r="K114" s="46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23" t="s">
        <v>406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44" t="s">
        <v>503</v>
      </c>
      <c r="C115" s="43"/>
      <c r="D115" s="43"/>
      <c r="E115" s="44"/>
      <c r="F115" s="44" t="str">
        <f>IF($N$11&gt;=70,"ATENDE LIMITE MÍNIMO DE IDADE","NÃO ATENDE LIMITE MÍNIMO DE IDADE")</f>
        <v>NÃO ATENDE LIMITE MÍNIMO DE IDADE</v>
      </c>
      <c r="G115" s="44"/>
      <c r="H115" s="44"/>
      <c r="I115" s="44"/>
      <c r="J115" s="44"/>
      <c r="K115" s="46"/>
      <c r="L115" s="48"/>
      <c r="M115" s="48"/>
      <c r="N115" s="47"/>
      <c r="O115" s="255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23" t="s">
        <v>407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/>
      <c r="BJ115" s="719"/>
      <c r="BK115" s="720"/>
      <c r="BL115" s="721"/>
    </row>
    <row r="116" spans="2:64" ht="13.5" hidden="1" x14ac:dyDescent="0.15">
      <c r="B116" s="44"/>
      <c r="C116" s="43"/>
      <c r="D116" s="43"/>
      <c r="E116" s="44"/>
      <c r="F116" s="44"/>
      <c r="G116" s="44"/>
      <c r="H116" s="44"/>
      <c r="I116" s="44"/>
      <c r="J116" s="44"/>
      <c r="K116" s="46"/>
      <c r="L116" s="49" t="s">
        <v>498</v>
      </c>
      <c r="M116" s="11"/>
      <c r="N116" s="11"/>
      <c r="O116" s="255"/>
      <c r="P116" s="79"/>
      <c r="Q116" s="79"/>
      <c r="R116" s="79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23" t="s">
        <v>408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50"/>
      <c r="C117" s="50"/>
      <c r="D117" s="50"/>
      <c r="E117" s="50"/>
      <c r="F117" s="50"/>
      <c r="G117" s="50"/>
      <c r="H117" s="50"/>
      <c r="I117" s="50"/>
      <c r="J117" s="50"/>
      <c r="K117" s="51"/>
      <c r="L117" s="11" t="s">
        <v>499</v>
      </c>
      <c r="M117" s="11"/>
      <c r="N117" s="11"/>
      <c r="O117" s="255"/>
      <c r="P117" s="79"/>
      <c r="Q117" s="86" t="b">
        <f>IF(K2=O4,IF(E2=B87,R117,IF(E2=B88,R117,IF(E2=B94,R117,IF(G10="X",(30*365)-F61,(35*365)-F61)))),IF(K2=O5,IF(E2=B95,R117,IF(G10="X",(30*365)-F61,(35*365)-F61))))</f>
        <v>0</v>
      </c>
      <c r="R117" s="86" t="b">
        <f>IF($K$2=$O$4,IF($F$61&gt;=($F$37+$E$44),0,($F$37+$E$44)-$F$61),IF($K$2=$O$5,IF($F$61&gt;=($F$37+$E$44),0,($F$37+$E$44)-$F$61)))</f>
        <v>0</v>
      </c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409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2:64" ht="13.5" hidden="1" x14ac:dyDescent="0.15">
      <c r="B118" s="52"/>
      <c r="C118" s="52"/>
      <c r="D118" s="52"/>
      <c r="E118" s="52"/>
      <c r="F118" s="52"/>
      <c r="G118" s="52"/>
      <c r="H118" s="52"/>
      <c r="I118" s="52"/>
      <c r="J118" s="52"/>
      <c r="K118" s="53"/>
      <c r="L118" s="42" t="s">
        <v>500</v>
      </c>
      <c r="M118" s="11"/>
      <c r="N118" s="11"/>
      <c r="O118" s="255"/>
      <c r="P118" s="79"/>
      <c r="Q118" s="86">
        <f>IF(E2="VOLUNTÁRIA ESPECIAL",IF(D12="X",IF(G10="X",(25*365)-F61,(30*365)-F61)),IF(G10="X",(30*365)-F61,(35*365)-F61))</f>
        <v>12775</v>
      </c>
      <c r="R118" s="79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3" t="s">
        <v>410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17" t="s">
        <v>463</v>
      </c>
      <c r="M119" s="11"/>
      <c r="N119" s="11"/>
      <c r="O119" s="255" t="s">
        <v>504</v>
      </c>
      <c r="P119" s="79"/>
      <c r="Q119" s="87"/>
      <c r="R119" s="86">
        <f>IF(E2="VOLUNTÁRIA ESPECIAL",IF(D12="X",IF(G10="X",(25*365)-$F$37,(30*365)-$F$37)),IF(G10="X",(30*365)-$F$37,(35*365)-$F$37))</f>
        <v>12775</v>
      </c>
      <c r="S119" s="11"/>
      <c r="T119" s="5"/>
      <c r="U119" s="5"/>
      <c r="V119" s="5"/>
      <c r="W119" s="5"/>
      <c r="X119" s="5"/>
      <c r="Y119" s="5"/>
      <c r="Z119" s="5"/>
      <c r="AA119" s="5"/>
      <c r="AB119" s="5"/>
      <c r="AC119" s="69"/>
      <c r="AD119" s="70"/>
      <c r="AE119" s="70"/>
      <c r="AF119" s="70"/>
      <c r="AG119" s="69"/>
      <c r="AX119" s="11"/>
      <c r="AY119" s="11"/>
      <c r="AZ119" s="5"/>
      <c r="BA119" s="724"/>
      <c r="BB119" s="723" t="s">
        <v>411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2:64" ht="13.5" hidden="1" customHeight="1" x14ac:dyDescent="0.15">
      <c r="B120" s="6"/>
      <c r="C120" s="1943" t="s">
        <v>459</v>
      </c>
      <c r="D120" s="1943"/>
      <c r="E120" s="1943"/>
      <c r="F120" s="1943" t="s">
        <v>460</v>
      </c>
      <c r="G120" s="1943"/>
      <c r="H120" s="1943"/>
      <c r="I120" s="1943" t="s">
        <v>461</v>
      </c>
      <c r="J120" s="1943"/>
      <c r="K120" s="51"/>
      <c r="L120" s="51"/>
      <c r="M120" s="54"/>
      <c r="N120" s="54"/>
      <c r="O120" s="255" t="s">
        <v>487</v>
      </c>
      <c r="P120" s="78"/>
      <c r="Q120" s="78"/>
      <c r="R120" s="86">
        <f>IF(E2=B94,IF(G10="X",(25*365)-$F$37,(30*365)-$F$37),IF(G10="X",(30*365)-$F$37,(35*365)-$F$37))</f>
        <v>12775</v>
      </c>
      <c r="AX120" s="11"/>
      <c r="AY120" s="11"/>
      <c r="BB120" s="723" t="s">
        <v>412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2:64" ht="12.75" hidden="1" customHeight="1" x14ac:dyDescent="0.15">
      <c r="B121" s="40" t="s">
        <v>454</v>
      </c>
      <c r="C121" s="40" t="s">
        <v>457</v>
      </c>
      <c r="D121" s="8"/>
      <c r="E121" s="5" t="s">
        <v>456</v>
      </c>
      <c r="F121" s="6" t="s">
        <v>457</v>
      </c>
      <c r="G121" s="6"/>
      <c r="H121" s="6" t="s">
        <v>456</v>
      </c>
      <c r="I121" s="8" t="s">
        <v>457</v>
      </c>
      <c r="J121" s="8" t="s">
        <v>456</v>
      </c>
      <c r="K121" s="51"/>
      <c r="L121" s="18" t="s">
        <v>466</v>
      </c>
      <c r="M121" s="54"/>
      <c r="N121" s="54"/>
      <c r="O121" s="255" t="s">
        <v>509</v>
      </c>
      <c r="P121" s="78"/>
      <c r="Q121" s="86">
        <f>IF(K2=O7,IF($E$2=B87,IF($G$10="X",(30*365)-$F$61,(35*365)-$F$61)),IF($G$10="X",(30*365)-$F$61,(35*365)-$F$61))</f>
        <v>12775</v>
      </c>
      <c r="R121" s="78"/>
      <c r="AX121" s="11"/>
      <c r="AY121" s="11"/>
      <c r="BB121" s="723" t="s">
        <v>413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customHeight="1" x14ac:dyDescent="0.15">
      <c r="B122" s="16" t="s">
        <v>450</v>
      </c>
      <c r="C122" s="55">
        <f>30*365</f>
        <v>10950</v>
      </c>
      <c r="D122" s="55"/>
      <c r="E122" s="55">
        <f>35*365</f>
        <v>12775</v>
      </c>
      <c r="F122" s="55">
        <v>20089</v>
      </c>
      <c r="G122" s="55"/>
      <c r="H122" s="55">
        <v>21914</v>
      </c>
      <c r="I122" s="55">
        <f>F122-C125</f>
        <v>31039</v>
      </c>
      <c r="J122" s="55">
        <f>H122-E125</f>
        <v>34689</v>
      </c>
      <c r="K122" s="51"/>
      <c r="L122" s="51"/>
      <c r="M122" s="54"/>
      <c r="N122" s="54"/>
      <c r="P122" s="78"/>
      <c r="Q122" s="78"/>
      <c r="R122" s="78"/>
      <c r="AX122" s="11"/>
      <c r="AY122" s="11"/>
      <c r="BB122" s="723" t="s">
        <v>414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2.75" hidden="1" customHeight="1" x14ac:dyDescent="0.15">
      <c r="B123" s="16" t="s">
        <v>455</v>
      </c>
      <c r="C123" s="47">
        <f>25*365</f>
        <v>9125</v>
      </c>
      <c r="D123" s="47"/>
      <c r="E123" s="47">
        <f>30*365</f>
        <v>10950</v>
      </c>
      <c r="F123" s="55">
        <v>18264</v>
      </c>
      <c r="G123" s="55"/>
      <c r="H123" s="55">
        <v>20089</v>
      </c>
      <c r="I123" s="47">
        <f>ROUNDDOWN(I122/365,0)</f>
        <v>85</v>
      </c>
      <c r="J123" s="47">
        <f>ROUNDDOWN(J122/365,0)</f>
        <v>95</v>
      </c>
      <c r="K123" s="51"/>
      <c r="L123" s="51"/>
      <c r="M123" s="54"/>
      <c r="N123" s="54"/>
      <c r="P123" s="78"/>
      <c r="Q123" s="78"/>
      <c r="R123" s="78"/>
      <c r="AX123" s="11"/>
      <c r="AY123" s="11"/>
      <c r="BB123" s="723" t="s">
        <v>415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2.75" hidden="1" customHeight="1" x14ac:dyDescent="0.15">
      <c r="B124" s="48"/>
      <c r="C124" s="48"/>
      <c r="D124" s="48"/>
      <c r="E124" s="46"/>
      <c r="F124" s="48"/>
      <c r="G124" s="48"/>
      <c r="H124" s="48"/>
      <c r="I124" s="48">
        <f>55+30</f>
        <v>85</v>
      </c>
      <c r="J124" s="46">
        <f>60+35</f>
        <v>95</v>
      </c>
      <c r="K124" s="51"/>
      <c r="L124" s="51"/>
      <c r="M124" s="54"/>
      <c r="N124" s="54"/>
      <c r="AX124" s="5"/>
      <c r="AY124" s="5"/>
      <c r="BB124" s="723" t="s">
        <v>416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2.75" hidden="1" customHeight="1" x14ac:dyDescent="0.15">
      <c r="B125" s="48" t="s">
        <v>458</v>
      </c>
      <c r="C125" s="56">
        <f>ROUNDDOWN((F61-C122),0)</f>
        <v>-10950</v>
      </c>
      <c r="D125" s="48"/>
      <c r="E125" s="56">
        <f>ROUNDDOWN((F61-E122),0)</f>
        <v>-12775</v>
      </c>
      <c r="F125" s="48"/>
      <c r="G125" s="48"/>
      <c r="H125" s="48"/>
      <c r="I125" s="48" t="str">
        <f>IF($N$11&gt;=45,IF($G$10="X",IF(($N$11+$H$61)&gt;=$I$124,"ATENDE LIMITE MÍNIMO DE IDADE","NÃO ATENDE LIMITE MÍNIMO DE IDADE"),"REANALISAR FUNDAMENTAÇÃO E/OU MODALIDADE"),"REANALISAR FUNDAMENTAÇÃO E/OU MODALIDADE")</f>
        <v>REANALISAR FUNDAMENTAÇÃO E/OU MODALIDADE</v>
      </c>
      <c r="J125" s="48" t="str">
        <f>IF($N$11&gt;=55,IF($D$10="X",IF(($N$11+$H$61)&gt;=$J$124,"ATENDE LIMITE MÍNIMO DE IDADE","NÃO ATENDE LIMITE MÍNIMO DE IDADE"),"REANALISAR FUNDAMENTAÇÃO E/OU MODALIDADEr"),"REANALISAR FUNDAMENTAÇÃO E/OU MODALIDADE")</f>
        <v>REANALISAR FUNDAMENTAÇÃO E/OU MODALIDADE</v>
      </c>
      <c r="K125" s="51"/>
      <c r="L125" s="51"/>
      <c r="M125" s="54"/>
      <c r="N125" s="54"/>
      <c r="BB125" s="723" t="s">
        <v>417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2.75" hidden="1" customHeight="1" x14ac:dyDescent="0.15"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4"/>
      <c r="N126" s="54"/>
      <c r="BB126" s="723" t="s">
        <v>418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2.75" hidden="1" customHeight="1" thickBot="1" x14ac:dyDescent="0.2">
      <c r="B127" s="1848" t="s">
        <v>548</v>
      </c>
      <c r="C127" s="1848"/>
      <c r="D127" s="1848"/>
      <c r="E127" s="1848"/>
      <c r="F127" s="1848"/>
      <c r="G127" s="1848"/>
      <c r="H127" s="1848"/>
      <c r="I127" s="1848"/>
      <c r="J127" s="1848"/>
      <c r="K127" s="1848"/>
      <c r="L127" s="1848"/>
      <c r="M127" s="1848"/>
      <c r="N127" s="1848"/>
      <c r="BB127" s="312"/>
      <c r="BC127" s="313"/>
      <c r="BD127" s="314"/>
      <c r="BE127" s="314"/>
      <c r="BF127" s="315"/>
      <c r="BG127" s="315"/>
      <c r="BH127" s="316"/>
      <c r="BI127" s="317">
        <f>A147*1.45</f>
        <v>23.2</v>
      </c>
      <c r="BJ127" s="318">
        <v>113.29</v>
      </c>
      <c r="BK127" s="319">
        <v>113.29</v>
      </c>
      <c r="BL127" s="320">
        <v>157.35</v>
      </c>
    </row>
    <row r="128" spans="2:64" ht="12.75" hidden="1" customHeight="1" x14ac:dyDescent="0.15">
      <c r="B128" s="51" t="s">
        <v>656</v>
      </c>
      <c r="C128" s="21" t="s">
        <v>657</v>
      </c>
      <c r="D128" s="101">
        <v>36145</v>
      </c>
      <c r="E128" s="101">
        <v>37986</v>
      </c>
      <c r="F128" s="102">
        <v>37986</v>
      </c>
      <c r="G128" s="246" t="s">
        <v>608</v>
      </c>
      <c r="H128" s="51" t="s">
        <v>609</v>
      </c>
      <c r="I128" s="51" t="s">
        <v>610</v>
      </c>
      <c r="J128" s="21" t="s">
        <v>612</v>
      </c>
      <c r="M128" s="40" t="s">
        <v>658</v>
      </c>
      <c r="P128" s="109"/>
      <c r="Q128" s="110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BB128" s="321"/>
      <c r="BC128" s="322"/>
      <c r="BD128" s="322"/>
      <c r="BE128" s="322"/>
      <c r="BF128" s="323"/>
      <c r="BG128" s="323"/>
      <c r="BH128" s="323"/>
      <c r="BI128" s="324"/>
      <c r="BJ128" s="325"/>
      <c r="BK128" s="326"/>
      <c r="BL128" s="327"/>
    </row>
    <row r="129" spans="1:64" ht="12.75" hidden="1" customHeight="1" x14ac:dyDescent="0.15">
      <c r="A129" s="259">
        <v>1</v>
      </c>
      <c r="B129" s="107" t="s">
        <v>549</v>
      </c>
      <c r="C129" s="21" t="s">
        <v>613</v>
      </c>
      <c r="D129" s="104">
        <f>IF(ISERROR(HLOOKUP($N$34,$Q$39:$AA$40,2)),0,HLOOKUP($N$34,$Q$39:$AA$40,2))</f>
        <v>0</v>
      </c>
      <c r="E129" s="105">
        <f>IF(ISERROR(HLOOKUP($O$34,$Q$39:$AA$40,2)),0,HLOOKUP($O$34,$Q$39:$AA$40,2))</f>
        <v>0</v>
      </c>
      <c r="F129" s="106">
        <f>IF(ISERROR(HLOOKUP($O$60,$Q$39:$AA$40,2)),0,HLOOKUP($O$60,$Q$39:$AA$40,2))</f>
        <v>0</v>
      </c>
      <c r="G129" s="21" t="s">
        <v>611</v>
      </c>
      <c r="J129" s="21" t="s">
        <v>611</v>
      </c>
      <c r="M129" s="21" t="s">
        <v>659</v>
      </c>
      <c r="P129" s="328"/>
      <c r="Q129" s="328"/>
      <c r="R129" s="5"/>
      <c r="S129" s="8"/>
      <c r="T129" s="5"/>
      <c r="U129" s="5"/>
      <c r="V129" s="5"/>
      <c r="W129" s="27"/>
      <c r="X129" s="5"/>
      <c r="Y129" s="5"/>
      <c r="Z129" s="100"/>
      <c r="AA129" s="5"/>
      <c r="AB129" s="5"/>
      <c r="BB129" s="321"/>
      <c r="BC129" s="322"/>
      <c r="BD129" s="322"/>
      <c r="BE129" s="322"/>
      <c r="BF129" s="323"/>
      <c r="BG129" s="323"/>
      <c r="BH129" s="323"/>
      <c r="BI129" s="324"/>
      <c r="BJ129" s="325"/>
      <c r="BK129" s="326"/>
      <c r="BL129" s="327"/>
    </row>
    <row r="130" spans="1:64" ht="12.75" hidden="1" customHeight="1" x14ac:dyDescent="0.15">
      <c r="A130" s="259">
        <v>2</v>
      </c>
      <c r="B130" s="51" t="s">
        <v>550</v>
      </c>
      <c r="C130" s="21" t="s">
        <v>527</v>
      </c>
      <c r="D130" s="104">
        <f>IF(ISERROR(HLOOKUP($J$130,$Q$26:$AT$27,2)),0,HLOOKUP($J$130,$Q$26:$AT$27,2))</f>
        <v>0</v>
      </c>
      <c r="E130" s="105">
        <f>IF(ISERROR(HLOOKUP($K$130,$Q$26:$AT$27,2)),0,HLOOKUP($K$130,$Q$26:$AT$27,2))</f>
        <v>0</v>
      </c>
      <c r="F130" s="106">
        <f>IF(ISERROR(HLOOKUP($L$130,$Q$26:$AT$27,2)),0,HLOOKUP($L$130,$Q$26:$AT$27,2))</f>
        <v>0</v>
      </c>
      <c r="G130" s="67">
        <f>SUM($F$27:$F$32)</f>
        <v>0</v>
      </c>
      <c r="H130" s="67">
        <f>SUM($F$27:$F$32)+$J$51</f>
        <v>0</v>
      </c>
      <c r="I130" s="67">
        <f>SUM($F$27:$F$32)+$J$51+$J$60</f>
        <v>0</v>
      </c>
      <c r="J130" s="21">
        <f t="shared" ref="J130:J152" si="0">ROUNDDOWN(G130/365,0)</f>
        <v>0</v>
      </c>
      <c r="K130" s="21">
        <f t="shared" ref="K130:K152" si="1">ROUNDDOWN(H130/365,0)</f>
        <v>0</v>
      </c>
      <c r="L130" s="21">
        <f t="shared" ref="L130:L152" si="2">ROUNDDOWN(I130/365,0)</f>
        <v>0</v>
      </c>
      <c r="M130" s="21" t="s">
        <v>660</v>
      </c>
      <c r="P130" s="328"/>
      <c r="Q130" s="328"/>
      <c r="BB130" s="321"/>
      <c r="BC130" s="322"/>
      <c r="BD130" s="322"/>
      <c r="BE130" s="322"/>
      <c r="BF130" s="323"/>
      <c r="BG130" s="323"/>
      <c r="BH130" s="323"/>
      <c r="BI130" s="324"/>
      <c r="BJ130" s="325"/>
      <c r="BK130" s="326"/>
      <c r="BL130" s="327"/>
    </row>
    <row r="131" spans="1:64" ht="12.75" hidden="1" customHeight="1" x14ac:dyDescent="0.15">
      <c r="A131" s="259" t="s">
        <v>554</v>
      </c>
      <c r="B131" s="51" t="s">
        <v>615</v>
      </c>
      <c r="C131" s="21" t="s">
        <v>613</v>
      </c>
      <c r="D131" s="104">
        <f>IF(ISERROR(HLOOKUP($J$131,$Q$45:$AB$46,2)),0,HLOOKUP($J$131,$Q$45:$AB$46,2))</f>
        <v>0</v>
      </c>
      <c r="E131" s="105">
        <f>IF(ISERROR(HLOOKUP($K$131,$Q$45:$AB$46,2)),0,HLOOKUP($K$131,$Q$45:$AB$46,2))</f>
        <v>0</v>
      </c>
      <c r="F131" s="106">
        <f>IF(ISERROR(HLOOKUP($L$131,$Q$45:$AB$46,2)),0,HLOOKUP($L$131,$Q$45:$AB$46,2))</f>
        <v>0</v>
      </c>
      <c r="G131" s="67">
        <f>SUM($F$27:$F$32)</f>
        <v>0</v>
      </c>
      <c r="H131" s="67">
        <f>SUM($F$27:$F$32)+$J$51</f>
        <v>0</v>
      </c>
      <c r="I131" s="67">
        <f>SUM($F$27:$F$32)+$J$51+$J$60</f>
        <v>0</v>
      </c>
      <c r="J131" s="21">
        <f t="shared" si="0"/>
        <v>0</v>
      </c>
      <c r="K131" s="21">
        <f t="shared" si="1"/>
        <v>0</v>
      </c>
      <c r="L131" s="21">
        <f t="shared" si="2"/>
        <v>0</v>
      </c>
      <c r="M131" s="21" t="s">
        <v>660</v>
      </c>
      <c r="P131" s="328"/>
      <c r="Q131" s="328"/>
      <c r="BB131" s="321"/>
      <c r="BC131" s="322"/>
      <c r="BD131" s="322"/>
      <c r="BE131" s="322"/>
      <c r="BF131" s="323"/>
      <c r="BG131" s="323"/>
      <c r="BH131" s="323"/>
      <c r="BI131" s="324"/>
      <c r="BJ131" s="325"/>
      <c r="BK131" s="326"/>
      <c r="BL131" s="327"/>
    </row>
    <row r="132" spans="1:64" ht="12.75" hidden="1" customHeight="1" x14ac:dyDescent="0.15">
      <c r="A132" s="259">
        <v>3</v>
      </c>
      <c r="B132" s="51" t="s">
        <v>551</v>
      </c>
      <c r="C132" s="21" t="s">
        <v>613</v>
      </c>
      <c r="D132" s="104">
        <f>IF(ISERROR(HLOOKUP($J$132,$Q$48:$AB$49,2)),0,HLOOKUP($J$132,$Q$48:$AB$49,2))</f>
        <v>0</v>
      </c>
      <c r="E132" s="105">
        <f>IF(ISERROR(HLOOKUP($K$132,$Q$48:$AB$49,2)),0,HLOOKUP($K$132,$Q$48:$AB$49,2))</f>
        <v>0</v>
      </c>
      <c r="F132" s="106">
        <f>IF(ISERROR(HLOOKUP($L$132,$Q$48:$AB$49,2)),0,HLOOKUP($L$132,$Q$48:$AB$49,2))</f>
        <v>0</v>
      </c>
      <c r="G132" s="67">
        <f>SUM($F$30:$F$32)</f>
        <v>0</v>
      </c>
      <c r="H132" s="67">
        <f>SUM($F$30:$F$32)+$J$51</f>
        <v>0</v>
      </c>
      <c r="I132" s="67">
        <f>SUM($F$30:$F$32)+$J$51+$J$60</f>
        <v>0</v>
      </c>
      <c r="J132" s="21">
        <f t="shared" si="0"/>
        <v>0</v>
      </c>
      <c r="K132" s="21">
        <f t="shared" si="1"/>
        <v>0</v>
      </c>
      <c r="L132" s="21">
        <f t="shared" si="2"/>
        <v>0</v>
      </c>
      <c r="M132" s="21" t="s">
        <v>660</v>
      </c>
      <c r="P132" s="328"/>
      <c r="Q132" s="328"/>
      <c r="BB132" s="69"/>
      <c r="BC132" s="69"/>
      <c r="BD132" s="69"/>
      <c r="BE132" s="69"/>
      <c r="BF132" s="69"/>
      <c r="BG132" s="69"/>
      <c r="BH132" s="69"/>
      <c r="BI132" s="69"/>
      <c r="BJ132" s="69"/>
      <c r="BK132" s="326"/>
      <c r="BL132" s="327"/>
    </row>
    <row r="133" spans="1:64" ht="12.75" hidden="1" customHeight="1" x14ac:dyDescent="0.15">
      <c r="A133" s="259">
        <v>4</v>
      </c>
      <c r="B133" s="51" t="s">
        <v>552</v>
      </c>
      <c r="C133" s="21" t="s">
        <v>613</v>
      </c>
      <c r="D133" s="104">
        <f>IF(ISERROR(HLOOKUP($J$133,$Q$48:$Z$49,2)),0,HLOOKUP($J$133,$Q$48:$Z$49,2))</f>
        <v>0</v>
      </c>
      <c r="E133" s="105">
        <f>IF(ISERROR(HLOOKUP($K$133,$Q$48:$Z$49,2)),0,HLOOKUP($K$133,$Q$48:$Z$49,2))</f>
        <v>0</v>
      </c>
      <c r="F133" s="106">
        <f>IF(ISERROR(HLOOKUP($L$133,$Q$48:$Z$49,2)),0,HLOOKUP($L$133,$Q$48:$Z$49,2))</f>
        <v>0</v>
      </c>
      <c r="G133" s="67">
        <f>SUM($F$27:$F$32)</f>
        <v>0</v>
      </c>
      <c r="H133" s="67">
        <f>SUM($F$27:$F$32)+$J$51</f>
        <v>0</v>
      </c>
      <c r="I133" s="67">
        <f>SUM($F$27:$F$32)+$J$51+$J$60</f>
        <v>0</v>
      </c>
      <c r="J133" s="21">
        <f t="shared" si="0"/>
        <v>0</v>
      </c>
      <c r="K133" s="21">
        <f t="shared" si="1"/>
        <v>0</v>
      </c>
      <c r="L133" s="21">
        <f t="shared" si="2"/>
        <v>0</v>
      </c>
      <c r="M133" s="21" t="s">
        <v>660</v>
      </c>
      <c r="P133" s="328"/>
      <c r="Q133" s="328"/>
      <c r="BB133" s="69"/>
      <c r="BC133" s="69"/>
      <c r="BD133" s="69" t="s">
        <v>349</v>
      </c>
      <c r="BE133" s="70">
        <v>5</v>
      </c>
      <c r="BF133" s="70">
        <v>10</v>
      </c>
      <c r="BG133" s="70">
        <v>15</v>
      </c>
      <c r="BH133" s="70">
        <v>20</v>
      </c>
      <c r="BI133" s="70">
        <v>25</v>
      </c>
      <c r="BJ133" s="329" t="s">
        <v>365</v>
      </c>
      <c r="BK133" s="326"/>
      <c r="BL133" s="327"/>
    </row>
    <row r="134" spans="1:64" ht="12.75" hidden="1" customHeight="1" x14ac:dyDescent="0.15">
      <c r="A134" s="259">
        <v>5</v>
      </c>
      <c r="B134" s="51" t="s">
        <v>553</v>
      </c>
      <c r="C134" s="21" t="s">
        <v>613</v>
      </c>
      <c r="D134" s="104">
        <f>IF(ISERROR(HLOOKUP($J$134,$Q$48:$AB$49,2)),0,HLOOKUP($J$134,$Q$48:$AB$49,2))</f>
        <v>0</v>
      </c>
      <c r="E134" s="105">
        <f>IF(ISERROR(HLOOKUP($K$134,$Q$48:$AB$49,2)),0,HLOOKUP($K$134,$Q$48:$AB$49,2))</f>
        <v>0</v>
      </c>
      <c r="F134" s="106">
        <f>IF(ISERROR(HLOOKUP($L$134,$Q$48:$AB$49,2)),0,HLOOKUP($L$134,$Q$48:$AB$49,2))</f>
        <v>0</v>
      </c>
      <c r="G134" s="67">
        <f>SUM($F$30:$F$32)</f>
        <v>0</v>
      </c>
      <c r="H134" s="67">
        <f>SUM($F$30:$F$32)+$J$51</f>
        <v>0</v>
      </c>
      <c r="I134" s="67">
        <f>SUM($F$30:$F$32)+$J$51+$J$60</f>
        <v>0</v>
      </c>
      <c r="J134" s="21">
        <f t="shared" si="0"/>
        <v>0</v>
      </c>
      <c r="K134" s="21">
        <f t="shared" si="1"/>
        <v>0</v>
      </c>
      <c r="L134" s="21">
        <f t="shared" si="2"/>
        <v>0</v>
      </c>
      <c r="M134" s="21" t="s">
        <v>660</v>
      </c>
      <c r="P134" s="328"/>
      <c r="Q134" s="328"/>
      <c r="BB134" s="69"/>
      <c r="BC134" s="330" t="s">
        <v>419</v>
      </c>
      <c r="BD134" s="330" t="s">
        <v>420</v>
      </c>
      <c r="BE134" s="69" t="s">
        <v>421</v>
      </c>
      <c r="BF134" s="69" t="s">
        <v>422</v>
      </c>
      <c r="BG134" s="69" t="s">
        <v>423</v>
      </c>
      <c r="BH134" s="69" t="s">
        <v>424</v>
      </c>
      <c r="BI134" s="69" t="s">
        <v>425</v>
      </c>
      <c r="BJ134" s="69" t="s">
        <v>426</v>
      </c>
      <c r="BK134" s="326"/>
      <c r="BL134" s="327"/>
    </row>
    <row r="135" spans="1:64" ht="12.75" hidden="1" customHeight="1" x14ac:dyDescent="0.15">
      <c r="A135" s="259" t="s">
        <v>555</v>
      </c>
      <c r="B135" s="51" t="s">
        <v>616</v>
      </c>
      <c r="C135" s="21" t="s">
        <v>613</v>
      </c>
      <c r="D135" s="104">
        <f>IF(ISERROR(HLOOKUP($J$135,$Q$48:$V$49,2)),0,HLOOKUP($J$135,$Q$48:$V$49,2))</f>
        <v>0</v>
      </c>
      <c r="E135" s="105">
        <f>IF(ISERROR(HLOOKUP($K$135,$Q$48:$V$49,2)),0,HLOOKUP($K$135,$Q$48:$V$49,2))</f>
        <v>0</v>
      </c>
      <c r="F135" s="106">
        <f>IF(ISERROR(HLOOKUP($L$135,$Q$48:$V$49,2)),0,HLOOKUP($L$135,$Q$48:$V$49,2))</f>
        <v>0</v>
      </c>
      <c r="G135" s="67">
        <f>SUM($F$30:$F$32)</f>
        <v>0</v>
      </c>
      <c r="H135" s="67">
        <f>SUM($F$30:$F$32)+$J$51</f>
        <v>0</v>
      </c>
      <c r="I135" s="67">
        <f>SUM($F$30:$F$32)+$J$51+$J$60</f>
        <v>0</v>
      </c>
      <c r="J135" s="21">
        <f t="shared" si="0"/>
        <v>0</v>
      </c>
      <c r="K135" s="21">
        <f t="shared" si="1"/>
        <v>0</v>
      </c>
      <c r="L135" s="21">
        <f t="shared" si="2"/>
        <v>0</v>
      </c>
      <c r="M135" s="21" t="s">
        <v>660</v>
      </c>
      <c r="P135" s="328"/>
      <c r="Q135" s="328"/>
      <c r="BB135" s="69"/>
      <c r="BC135" s="330" t="s">
        <v>427</v>
      </c>
      <c r="BD135" s="330" t="s">
        <v>428</v>
      </c>
      <c r="BE135" s="69" t="s">
        <v>421</v>
      </c>
      <c r="BF135" s="69" t="s">
        <v>422</v>
      </c>
      <c r="BG135" s="69" t="s">
        <v>423</v>
      </c>
      <c r="BH135" s="69" t="s">
        <v>424</v>
      </c>
      <c r="BI135" s="69" t="s">
        <v>425</v>
      </c>
      <c r="BJ135" s="69" t="s">
        <v>426</v>
      </c>
      <c r="BK135" s="326"/>
      <c r="BL135" s="327"/>
    </row>
    <row r="136" spans="1:64" ht="12.75" hidden="1" customHeight="1" x14ac:dyDescent="0.15">
      <c r="A136" s="259">
        <v>6</v>
      </c>
      <c r="B136" s="51" t="s">
        <v>556</v>
      </c>
      <c r="C136" s="21" t="s">
        <v>613</v>
      </c>
      <c r="D136" s="104">
        <f>IF(ISERROR(HLOOKUP($J$136,$Q$48:$AA$49,2)),0,HLOOKUP($J$136,$Q$48:$AA$49,2))</f>
        <v>0</v>
      </c>
      <c r="E136" s="105">
        <f>IF(ISERROR(HLOOKUP(K136,$Q$48:$AA$49,2)),0,HLOOKUP(K136,$Q$48:$AA$49,2))</f>
        <v>0</v>
      </c>
      <c r="F136" s="106">
        <f>IF(ISERROR(HLOOKUP(L136,$Q$48:$AA$49,2)),0,HLOOKUP(L136,$Q$48:$AA$49,2))</f>
        <v>0</v>
      </c>
      <c r="G136" s="396">
        <f>SUM($F$27:$F$33)</f>
        <v>0</v>
      </c>
      <c r="H136" s="103">
        <f>SUM($F$27:$F$33)+$J$51</f>
        <v>0</v>
      </c>
      <c r="I136" s="103">
        <f>SUM($F$27:$F$33)+$J$51+$J$60</f>
        <v>0</v>
      </c>
      <c r="J136" s="21">
        <f t="shared" si="0"/>
        <v>0</v>
      </c>
      <c r="K136" s="21">
        <f t="shared" si="1"/>
        <v>0</v>
      </c>
      <c r="L136" s="21">
        <f t="shared" si="2"/>
        <v>0</v>
      </c>
      <c r="M136" s="21" t="s">
        <v>660</v>
      </c>
      <c r="P136" s="328"/>
      <c r="Q136" s="328"/>
      <c r="BB136" s="69"/>
      <c r="BC136" s="330" t="s">
        <v>429</v>
      </c>
      <c r="BD136" s="330" t="s">
        <v>430</v>
      </c>
      <c r="BE136" s="69" t="s">
        <v>421</v>
      </c>
      <c r="BF136" s="69" t="s">
        <v>422</v>
      </c>
      <c r="BG136" s="69" t="s">
        <v>423</v>
      </c>
      <c r="BH136" s="69" t="s">
        <v>424</v>
      </c>
      <c r="BI136" s="69" t="s">
        <v>425</v>
      </c>
      <c r="BJ136" s="69" t="s">
        <v>426</v>
      </c>
      <c r="BK136" s="7"/>
      <c r="BL136" s="7"/>
    </row>
    <row r="137" spans="1:64" ht="12.75" hidden="1" customHeight="1" x14ac:dyDescent="0.15">
      <c r="A137" s="259">
        <v>7</v>
      </c>
      <c r="B137" s="51" t="s">
        <v>557</v>
      </c>
      <c r="C137" s="21" t="s">
        <v>547</v>
      </c>
      <c r="D137" s="104">
        <f>IF(ISERROR(HLOOKUP($J$137,$Q$77:$W$83,2)),0,HLOOKUP($J$137,$Q$77:$W$83,2))</f>
        <v>0</v>
      </c>
      <c r="E137" s="105">
        <f>IF(ISERROR(HLOOKUP(K137,$Q$77:$W$83,2)),0,HLOOKUP(K137,$Q$77:$W$83,2))</f>
        <v>0</v>
      </c>
      <c r="F137" s="106">
        <f>IF(ISERROR(HLOOKUP(L137,$Q$77:$W$83,2)),0,HLOOKUP(L137,$Q$77:$W$83,2))</f>
        <v>0</v>
      </c>
      <c r="G137" s="396">
        <f>SUM($F$30:$F$32)</f>
        <v>0</v>
      </c>
      <c r="H137" s="103">
        <f>SUM($F$30:$F$32)+$J$51</f>
        <v>0</v>
      </c>
      <c r="I137" s="103">
        <f>SUM($F$30:$F$32)+$J$51+$J$60</f>
        <v>0</v>
      </c>
      <c r="J137" s="21">
        <f t="shared" si="0"/>
        <v>0</v>
      </c>
      <c r="K137" s="21">
        <f t="shared" si="1"/>
        <v>0</v>
      </c>
      <c r="L137" s="21">
        <f t="shared" si="2"/>
        <v>0</v>
      </c>
      <c r="M137" s="21" t="s">
        <v>660</v>
      </c>
      <c r="P137" s="328"/>
      <c r="Q137" s="328"/>
      <c r="BB137" s="69"/>
      <c r="BC137" s="330" t="s">
        <v>431</v>
      </c>
      <c r="BD137" s="330" t="s">
        <v>430</v>
      </c>
      <c r="BE137" s="69" t="s">
        <v>421</v>
      </c>
      <c r="BF137" s="69" t="s">
        <v>422</v>
      </c>
      <c r="BG137" s="69" t="s">
        <v>423</v>
      </c>
      <c r="BH137" s="69" t="s">
        <v>424</v>
      </c>
      <c r="BI137" s="69" t="s">
        <v>425</v>
      </c>
      <c r="BJ137" s="69" t="s">
        <v>426</v>
      </c>
      <c r="BK137" s="5"/>
      <c r="BL137" s="5"/>
    </row>
    <row r="138" spans="1:64" ht="12.75" hidden="1" customHeight="1" x14ac:dyDescent="0.15">
      <c r="A138" s="259" t="s">
        <v>558</v>
      </c>
      <c r="B138" s="51" t="s">
        <v>614</v>
      </c>
      <c r="C138" s="21" t="s">
        <v>547</v>
      </c>
      <c r="D138" s="104">
        <f>IF(ISERROR(HLOOKUP($J$138,$Q$77:$W$83,2)),0,HLOOKUP($J$138,$Q$77:$W$83,2))</f>
        <v>0</v>
      </c>
      <c r="E138" s="105">
        <f>IF(ISERROR(HLOOKUP(K138,$Q$77:$W$83,2)),0,HLOOKUP(K138,$Q$77:$W$83,2))</f>
        <v>0</v>
      </c>
      <c r="F138" s="106">
        <f>IF(ISERROR(HLOOKUP(L138,$Q$77:$W$83,2)),0,HLOOKUP(L138,$Q$77:$W$83,2))</f>
        <v>0</v>
      </c>
      <c r="G138" s="396">
        <f>SUM($F$30:$F$32)</f>
        <v>0</v>
      </c>
      <c r="H138" s="103">
        <f>SUM($F$30:$F$32)+$J$51</f>
        <v>0</v>
      </c>
      <c r="I138" s="103">
        <f>SUM($F$30:$F$32)+$J$51+$J$60</f>
        <v>0</v>
      </c>
      <c r="J138" s="21">
        <f t="shared" si="0"/>
        <v>0</v>
      </c>
      <c r="K138" s="21">
        <f t="shared" si="1"/>
        <v>0</v>
      </c>
      <c r="L138" s="21">
        <f t="shared" si="2"/>
        <v>0</v>
      </c>
      <c r="M138" s="21" t="s">
        <v>660</v>
      </c>
      <c r="P138" s="328"/>
      <c r="Q138" s="328"/>
      <c r="BB138" s="69"/>
      <c r="BC138" s="69" t="s">
        <v>400</v>
      </c>
      <c r="BD138" s="69"/>
      <c r="BE138" s="69" t="s">
        <v>329</v>
      </c>
      <c r="BF138" s="69" t="s">
        <v>356</v>
      </c>
      <c r="BG138" s="69" t="s">
        <v>432</v>
      </c>
      <c r="BH138" s="69" t="s">
        <v>432</v>
      </c>
      <c r="BI138" s="69" t="s">
        <v>432</v>
      </c>
      <c r="BJ138" s="69" t="s">
        <v>432</v>
      </c>
      <c r="BK138" s="5"/>
      <c r="BL138" s="5"/>
    </row>
    <row r="139" spans="1:64" ht="12.75" hidden="1" customHeight="1" x14ac:dyDescent="0.15">
      <c r="A139" s="259">
        <v>8</v>
      </c>
      <c r="B139" s="51" t="s">
        <v>559</v>
      </c>
      <c r="C139" s="21" t="s">
        <v>547</v>
      </c>
      <c r="D139" s="104">
        <f>IF(ISERROR(HLOOKUP($J$139,$Q$73:$W$74,2)),0,HLOOKUP($J$139,$Q$73:$W$74,2))</f>
        <v>0</v>
      </c>
      <c r="E139" s="105">
        <f>IF(ISERROR(HLOOKUP(K139,$Q$73:$W$74,2)),0,HLOOKUP(K139,$Q$73:$W$74,2))</f>
        <v>0</v>
      </c>
      <c r="F139" s="106">
        <f>IF(ISERROR(HLOOKUP(L139,$Q$73:$W$74,2)),0,HLOOKUP(L139,$Q$73:$W$74,2))</f>
        <v>0</v>
      </c>
      <c r="G139" s="396">
        <f>SUM($F$27:$F$32)</f>
        <v>0</v>
      </c>
      <c r="H139" s="103">
        <f>SUM($F$27:$F$32)+$J$51</f>
        <v>0</v>
      </c>
      <c r="I139" s="103">
        <f>SUM($F$27:$F$32)+$J$51+$J$60</f>
        <v>0</v>
      </c>
      <c r="J139" s="21">
        <f t="shared" si="0"/>
        <v>0</v>
      </c>
      <c r="K139" s="21">
        <f t="shared" si="1"/>
        <v>0</v>
      </c>
      <c r="L139" s="21">
        <f t="shared" si="2"/>
        <v>0</v>
      </c>
      <c r="M139" s="21" t="s">
        <v>660</v>
      </c>
      <c r="P139" s="328"/>
      <c r="Q139" s="328"/>
      <c r="BB139" s="69">
        <v>26</v>
      </c>
      <c r="BC139" s="69"/>
      <c r="BD139" s="69"/>
      <c r="BE139" s="69"/>
      <c r="BF139" s="69"/>
      <c r="BG139" s="69"/>
      <c r="BH139" s="69"/>
      <c r="BI139" s="69"/>
      <c r="BJ139" s="69"/>
      <c r="BK139" s="5"/>
      <c r="BL139" s="5"/>
    </row>
    <row r="140" spans="1:64" ht="12.75" hidden="1" customHeight="1" x14ac:dyDescent="0.15">
      <c r="A140" s="259">
        <v>9</v>
      </c>
      <c r="B140" s="51" t="s">
        <v>560</v>
      </c>
      <c r="C140" s="21" t="s">
        <v>547</v>
      </c>
      <c r="D140" s="104">
        <f>IF(ISERROR(HLOOKUP($J$140,$Q$77:$W$83,2)),0,HLOOKUP($J$140,$Q$77:$W$83,2))</f>
        <v>0</v>
      </c>
      <c r="E140" s="105">
        <f>IF(ISERROR(HLOOKUP(K140,$Q$77:$W$83,2)),0,HLOOKUP(K140,$Q$77:$W$83,2))</f>
        <v>0</v>
      </c>
      <c r="F140" s="106">
        <f>IF(ISERROR(HLOOKUP(L140,$Q$77:$W$83,2)),0,HLOOKUP(L140,$Q$77:$W$83,2))</f>
        <v>0</v>
      </c>
      <c r="G140" s="396">
        <f>SUM($F$27:$F$32)</f>
        <v>0</v>
      </c>
      <c r="H140" s="103">
        <f>SUM($F$27:$F$32)+$J$51</f>
        <v>0</v>
      </c>
      <c r="I140" s="103">
        <f>SUM($F$27:$F$32)+$J$51+$J$60</f>
        <v>0</v>
      </c>
      <c r="J140" s="21">
        <f t="shared" si="0"/>
        <v>0</v>
      </c>
      <c r="K140" s="21">
        <f t="shared" si="1"/>
        <v>0</v>
      </c>
      <c r="L140" s="21">
        <f t="shared" si="2"/>
        <v>0</v>
      </c>
      <c r="M140" s="21" t="s">
        <v>660</v>
      </c>
      <c r="P140" s="328"/>
      <c r="Q140" s="328"/>
      <c r="BB140" s="69"/>
      <c r="BC140" s="331"/>
      <c r="BD140" s="116"/>
      <c r="BE140" s="69"/>
      <c r="BF140" s="69"/>
      <c r="BG140" s="69"/>
      <c r="BH140" s="69"/>
      <c r="BI140" s="69"/>
      <c r="BJ140" s="69"/>
      <c r="BK140" s="5"/>
      <c r="BL140" s="5"/>
    </row>
    <row r="141" spans="1:64" ht="12.75" hidden="1" customHeight="1" x14ac:dyDescent="0.15">
      <c r="A141" s="259">
        <v>10</v>
      </c>
      <c r="B141" s="51" t="s">
        <v>561</v>
      </c>
      <c r="C141" s="21" t="s">
        <v>613</v>
      </c>
      <c r="D141" s="104">
        <f>IF(ISERROR(HLOOKUP($J$141,$Q$39:$Y$40,2)),0,HLOOKUP($J$141,$Q$39:$Y$40,2))</f>
        <v>0</v>
      </c>
      <c r="E141" s="105">
        <f>IF(ISERROR(HLOOKUP(K141,$Q$39:$Y$40,2)),0,HLOOKUP(K141,$Q$39:$Y$40,2))</f>
        <v>0</v>
      </c>
      <c r="F141" s="106">
        <f>IF(ISERROR(HLOOKUP(L141,$Q$39:$Y$40,2)),0,HLOOKUP(L141,$Q$39:$Y$40,2))</f>
        <v>0</v>
      </c>
      <c r="G141" s="396">
        <f>SUM($F$27:$F$32)</f>
        <v>0</v>
      </c>
      <c r="H141" s="103">
        <f>SUM($F$27:$F$32)+$J$51</f>
        <v>0</v>
      </c>
      <c r="I141" s="103">
        <f>SUM($F$27:$F$32)+$J$51+$J$60</f>
        <v>0</v>
      </c>
      <c r="J141" s="21">
        <f t="shared" si="0"/>
        <v>0</v>
      </c>
      <c r="K141" s="21">
        <f t="shared" si="1"/>
        <v>0</v>
      </c>
      <c r="L141" s="21">
        <f t="shared" si="2"/>
        <v>0</v>
      </c>
      <c r="M141" s="21" t="s">
        <v>660</v>
      </c>
      <c r="P141" s="328"/>
      <c r="Q141" s="328"/>
      <c r="BB141" s="69"/>
      <c r="BC141" s="69"/>
      <c r="BD141" s="69"/>
      <c r="BE141" s="69"/>
      <c r="BF141" s="69"/>
      <c r="BG141" s="69"/>
      <c r="BH141" s="69"/>
      <c r="BI141" s="69"/>
      <c r="BJ141" s="69"/>
      <c r="BK141" s="5"/>
      <c r="BL141" s="5"/>
    </row>
    <row r="142" spans="1:64" ht="12.75" hidden="1" customHeight="1" x14ac:dyDescent="0.15">
      <c r="A142" s="259">
        <v>11</v>
      </c>
      <c r="B142" s="51" t="s">
        <v>562</v>
      </c>
      <c r="C142" s="21" t="s">
        <v>547</v>
      </c>
      <c r="D142" s="104">
        <f>IF(ISERROR(HLOOKUP($J$142,$Q$73:$AB$74,2)),0,HLOOKUP($J$142,$Q$73:$AB$74,2))</f>
        <v>0</v>
      </c>
      <c r="E142" s="105">
        <f>IF(ISERROR(HLOOKUP(K142,$Q$73:$AB$74,2)),0,HLOOKUP(K142,$Q$73:$AB$74,2))</f>
        <v>0</v>
      </c>
      <c r="F142" s="106">
        <f>IF(ISERROR(HLOOKUP(L142,$Q$73:$AB$74,2)),0,HLOOKUP(L142,$Q$73:$AB$74,2))</f>
        <v>0</v>
      </c>
      <c r="G142" s="396">
        <f>SUM($F$30:$F$32)</f>
        <v>0</v>
      </c>
      <c r="H142" s="103">
        <f>SUM($F$30:$F$32)+$J$51</f>
        <v>0</v>
      </c>
      <c r="I142" s="103">
        <f>SUM($F$30:$F$32)+$J$51+$J$60</f>
        <v>0</v>
      </c>
      <c r="J142" s="21">
        <f t="shared" si="0"/>
        <v>0</v>
      </c>
      <c r="K142" s="21">
        <f t="shared" si="1"/>
        <v>0</v>
      </c>
      <c r="L142" s="21">
        <f t="shared" si="2"/>
        <v>0</v>
      </c>
      <c r="M142" s="21" t="s">
        <v>660</v>
      </c>
      <c r="P142" s="328"/>
      <c r="Q142" s="328"/>
      <c r="BB142" s="69"/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12</v>
      </c>
      <c r="B143" s="51" t="s">
        <v>563</v>
      </c>
      <c r="C143" s="21"/>
      <c r="D143" s="104"/>
      <c r="E143" s="105"/>
      <c r="F143" s="106"/>
      <c r="G143" s="396">
        <f>SUM($F$30:$F$32)</f>
        <v>0</v>
      </c>
      <c r="H143" s="103">
        <f>SUM($F$30:$F$32)+$J$51</f>
        <v>0</v>
      </c>
      <c r="I143" s="103">
        <f>SUM($F$30:$F$32)+$J$51+$J$60</f>
        <v>0</v>
      </c>
      <c r="J143" s="21">
        <f t="shared" si="0"/>
        <v>0</v>
      </c>
      <c r="K143" s="21">
        <f t="shared" si="1"/>
        <v>0</v>
      </c>
      <c r="L143" s="21">
        <f t="shared" si="2"/>
        <v>0</v>
      </c>
      <c r="M143" s="21" t="s">
        <v>660</v>
      </c>
      <c r="P143" s="328"/>
      <c r="Q143" s="328"/>
      <c r="BB143" s="69"/>
      <c r="BC143" s="69"/>
      <c r="BD143" s="69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13</v>
      </c>
      <c r="B144" s="51" t="s">
        <v>686</v>
      </c>
      <c r="C144" s="21" t="s">
        <v>527</v>
      </c>
      <c r="D144" s="104">
        <f>IF(ISERROR(HLOOKUP($J$144,$Q$26:$AT$27,2)),0,HLOOKUP($J$144,$Q$26:$AT$27,2))</f>
        <v>0</v>
      </c>
      <c r="E144" s="104">
        <f>IF(ISERROR(HLOOKUP(K144,$Q$26:$AT$27,2)),0,HLOOKUP(K144,$Q$26:$AT$27,2))</f>
        <v>0</v>
      </c>
      <c r="F144" s="104">
        <f>IF(ISERROR(HLOOKUP(L144,$Q$26:$AT$27,2)),0,HLOOKUP(L144,$Q$26:$AT$27,2))</f>
        <v>0</v>
      </c>
      <c r="G144" s="396">
        <f>SUM($F$30:$F$32)</f>
        <v>0</v>
      </c>
      <c r="H144" s="103">
        <f>SUM($F$30:$F$32)+$J$51</f>
        <v>0</v>
      </c>
      <c r="I144" s="103">
        <f>SUM($F$30:$F$32)+$J$51+$J$60</f>
        <v>0</v>
      </c>
      <c r="J144" s="21">
        <f t="shared" si="0"/>
        <v>0</v>
      </c>
      <c r="K144" s="21">
        <f t="shared" si="1"/>
        <v>0</v>
      </c>
      <c r="L144" s="21">
        <f t="shared" si="2"/>
        <v>0</v>
      </c>
      <c r="M144" s="21" t="s">
        <v>660</v>
      </c>
      <c r="P144" s="328"/>
      <c r="Q144" s="328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14</v>
      </c>
      <c r="B145" s="51" t="s">
        <v>564</v>
      </c>
      <c r="C145" s="21" t="s">
        <v>613</v>
      </c>
      <c r="D145" s="104">
        <f>IF(ISERROR(HLOOKUP(J145,$Q$48:$AB$49,2)),0,HLOOKUP(J145,$Q$48:$AB$49,2))</f>
        <v>0</v>
      </c>
      <c r="E145" s="104">
        <f>IF(ISERROR(HLOOKUP(K145,$Q$48:$AB$49,2)),0,HLOOKUP(K145,$Q$48:$AB$49,2))</f>
        <v>0</v>
      </c>
      <c r="F145" s="104">
        <f>IF(ISERROR(HLOOKUP(L145,$Q$48:$AB$49,2)),0,HLOOKUP(L145,$Q$48:$AB$49,2))</f>
        <v>0</v>
      </c>
      <c r="G145" s="396">
        <f>SUM($F$27:$F$32)</f>
        <v>0</v>
      </c>
      <c r="H145" s="103">
        <f>SUM($F$27:$F$32)+$J$51</f>
        <v>0</v>
      </c>
      <c r="I145" s="103">
        <f>SUM($F$27:$F$32)+$J$51+$J$60</f>
        <v>0</v>
      </c>
      <c r="J145" s="21">
        <f t="shared" si="0"/>
        <v>0</v>
      </c>
      <c r="K145" s="21">
        <f t="shared" si="1"/>
        <v>0</v>
      </c>
      <c r="L145" s="21">
        <f t="shared" si="2"/>
        <v>0</v>
      </c>
      <c r="M145" s="21" t="s">
        <v>660</v>
      </c>
      <c r="P145" s="328"/>
      <c r="Q145" s="328"/>
      <c r="AS145" s="5"/>
      <c r="BB145" s="69"/>
      <c r="BC145" s="69"/>
      <c r="BD145" s="69"/>
      <c r="BE145" s="69"/>
      <c r="BF145" s="69"/>
      <c r="BG145" s="69"/>
      <c r="BH145" s="69"/>
      <c r="BI145" s="69"/>
      <c r="BJ145" s="69"/>
      <c r="BK145" s="5"/>
      <c r="BL145" s="5"/>
    </row>
    <row r="146" spans="1:64" ht="12.75" hidden="1" customHeight="1" x14ac:dyDescent="0.15">
      <c r="A146" s="259">
        <v>15</v>
      </c>
      <c r="B146" s="51" t="s">
        <v>565</v>
      </c>
      <c r="C146" s="21" t="s">
        <v>613</v>
      </c>
      <c r="D146" s="104">
        <f>IF(ISERROR(HLOOKUP(J146,$Q$42:$AG$43,2)),0,HLOOKUP(J146,$Q$42:$AG$43,2))</f>
        <v>0</v>
      </c>
      <c r="E146" s="104">
        <f>IF(ISERROR(HLOOKUP(K146,$Q$42:$AG$43,2)),0,HLOOKUP(K146,$Q$42:$AG$43,2))</f>
        <v>0</v>
      </c>
      <c r="F146" s="104">
        <f>IF(ISERROR(HLOOKUP(L146,$Q$42:$AG$43,2)),0,HLOOKUP(L146,$Q$42:$AG$43,2))</f>
        <v>0</v>
      </c>
      <c r="G146" s="396">
        <f>SUM($F$27:$F$32)</f>
        <v>0</v>
      </c>
      <c r="H146" s="103">
        <f>SUM($F$27:$F$32)+$J$51</f>
        <v>0</v>
      </c>
      <c r="I146" s="103">
        <f>SUM($F$27:$F$32)+$J$51+$J$60</f>
        <v>0</v>
      </c>
      <c r="J146" s="21">
        <f t="shared" si="0"/>
        <v>0</v>
      </c>
      <c r="K146" s="21">
        <f t="shared" si="1"/>
        <v>0</v>
      </c>
      <c r="L146" s="21">
        <f t="shared" si="2"/>
        <v>0</v>
      </c>
      <c r="M146" s="21" t="s">
        <v>660</v>
      </c>
      <c r="P146" s="328"/>
      <c r="Q146" s="328"/>
      <c r="AS146" s="5"/>
      <c r="BB146" s="69" t="s">
        <v>427</v>
      </c>
      <c r="BC146" s="69"/>
      <c r="BD146" s="69"/>
      <c r="BE146" s="69"/>
      <c r="BF146" s="69"/>
      <c r="BG146" s="69"/>
      <c r="BH146" s="69"/>
      <c r="BI146" s="69"/>
      <c r="BJ146" s="69"/>
      <c r="BK146" s="116"/>
      <c r="BL146" s="332"/>
    </row>
    <row r="147" spans="1:64" ht="12.75" hidden="1" customHeight="1" x14ac:dyDescent="0.15">
      <c r="A147" s="259">
        <v>16</v>
      </c>
      <c r="B147" s="51" t="s">
        <v>566</v>
      </c>
      <c r="C147" s="21" t="s">
        <v>527</v>
      </c>
      <c r="D147" s="104">
        <f>IF(ISERROR(HLOOKUP(J147,$Q$26:$AT$27,2)),0,HLOOKUP(J147,$Q$26:$AT$27,2))</f>
        <v>0</v>
      </c>
      <c r="E147" s="104">
        <f>IF(ISERROR(HLOOKUP(K147,$Q$26:$AT$27,2)),0,HLOOKUP(K147,$Q$26:$AT$27,2))</f>
        <v>0</v>
      </c>
      <c r="F147" s="104">
        <f>IF(ISERROR(HLOOKUP(L147,$Q$26:$AT$27,2)),0,HLOOKUP(L147,$Q$26:$AT$27,2))</f>
        <v>0</v>
      </c>
      <c r="G147" s="396">
        <f t="shared" ref="G147:G152" si="3">SUM($F$30:$F$32)</f>
        <v>0</v>
      </c>
      <c r="H147" s="103">
        <f t="shared" ref="H147:H152" si="4">SUM($F$30:$F$32)+$J$51</f>
        <v>0</v>
      </c>
      <c r="I147" s="103">
        <f t="shared" ref="I147:I152" si="5">SUM($F$30:$F$32)+$J$51+$J$60</f>
        <v>0</v>
      </c>
      <c r="J147" s="21">
        <f t="shared" si="0"/>
        <v>0</v>
      </c>
      <c r="K147" s="21">
        <f t="shared" si="1"/>
        <v>0</v>
      </c>
      <c r="L147" s="21">
        <f t="shared" si="2"/>
        <v>0</v>
      </c>
      <c r="M147" s="21" t="s">
        <v>660</v>
      </c>
      <c r="P147" s="328"/>
      <c r="Q147" s="328"/>
      <c r="AS147" s="5"/>
      <c r="BB147" s="69"/>
      <c r="BC147" s="69"/>
      <c r="BD147" s="69"/>
      <c r="BE147" s="333"/>
      <c r="BF147" s="69"/>
      <c r="BG147" s="69"/>
      <c r="BH147" s="69"/>
      <c r="BI147" s="69"/>
      <c r="BJ147" s="69"/>
      <c r="BK147" s="69"/>
      <c r="BL147" s="69"/>
    </row>
    <row r="148" spans="1:64" ht="12.75" hidden="1" customHeight="1" x14ac:dyDescent="0.15">
      <c r="A148" s="259">
        <v>17</v>
      </c>
      <c r="B148" s="51" t="s">
        <v>567</v>
      </c>
      <c r="C148" s="21" t="s">
        <v>547</v>
      </c>
      <c r="D148" s="104">
        <f>IF(ISERROR(HLOOKUP(J148,$Q$73:$V$74,2)),0,HLOOKUP(J148,$Q$73:$V$74,2))</f>
        <v>0</v>
      </c>
      <c r="E148" s="104">
        <f>IF(ISERROR(HLOOKUP(K148,$Q$73:$V$74,2)),0,HLOOKUP(K148,$Q$73:$V$74,2))</f>
        <v>0</v>
      </c>
      <c r="F148" s="104">
        <f>IF(ISERROR(HLOOKUP(L148,$Q$73:$V$74,2)),0,HLOOKUP(L148,$Q$73:$V$74,2))</f>
        <v>0</v>
      </c>
      <c r="G148" s="396">
        <f t="shared" si="3"/>
        <v>0</v>
      </c>
      <c r="H148" s="103">
        <f t="shared" si="4"/>
        <v>0</v>
      </c>
      <c r="I148" s="103">
        <f t="shared" si="5"/>
        <v>0</v>
      </c>
      <c r="J148" s="21">
        <f t="shared" si="0"/>
        <v>0</v>
      </c>
      <c r="K148" s="21">
        <f t="shared" si="1"/>
        <v>0</v>
      </c>
      <c r="L148" s="21">
        <f t="shared" si="2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</row>
    <row r="149" spans="1:64" ht="12.75" hidden="1" customHeight="1" x14ac:dyDescent="0.15">
      <c r="A149" s="259">
        <v>18</v>
      </c>
      <c r="B149" s="51" t="s">
        <v>568</v>
      </c>
      <c r="C149" s="21" t="s">
        <v>527</v>
      </c>
      <c r="D149" s="104">
        <f>IF(ISERROR(HLOOKUP(J149,$Q$32:$AF$33,2)),0,HLOOKUP(J149,$Q$32:$AF$33,2))</f>
        <v>0</v>
      </c>
      <c r="E149" s="104">
        <f>IF(ISERROR(HLOOKUP(K149,$Q$32:$AF$33,2)),0,HLOOKUP(K149,$Q$32:$AF$33,2))</f>
        <v>0</v>
      </c>
      <c r="F149" s="104">
        <f>IF(ISERROR(HLOOKUP(L149,$Q$32:$AF$33,2)),0,HLOOKUP(L149,$Q$32:$AF$33,2))</f>
        <v>0</v>
      </c>
      <c r="G149" s="396">
        <f t="shared" si="3"/>
        <v>0</v>
      </c>
      <c r="H149" s="103">
        <f t="shared" si="4"/>
        <v>0</v>
      </c>
      <c r="I149" s="103">
        <f t="shared" si="5"/>
        <v>0</v>
      </c>
      <c r="J149" s="21">
        <f t="shared" si="0"/>
        <v>0</v>
      </c>
      <c r="K149" s="21">
        <f t="shared" si="1"/>
        <v>0</v>
      </c>
      <c r="L149" s="21">
        <f t="shared" si="2"/>
        <v>0</v>
      </c>
      <c r="M149" s="21" t="s">
        <v>660</v>
      </c>
      <c r="P149" s="328"/>
      <c r="Q149" s="328"/>
      <c r="AS149" s="5"/>
      <c r="BB149" s="69"/>
      <c r="BC149" s="69"/>
      <c r="BD149" s="69"/>
      <c r="BE149" s="333"/>
      <c r="BF149" s="69"/>
      <c r="BG149" s="69"/>
      <c r="BH149" s="69"/>
      <c r="BI149" s="69"/>
      <c r="BJ149" s="69"/>
      <c r="BK149" s="69"/>
      <c r="BL149" s="69"/>
    </row>
    <row r="150" spans="1:64" ht="12.75" hidden="1" customHeight="1" x14ac:dyDescent="0.15">
      <c r="A150" s="259">
        <v>19</v>
      </c>
      <c r="B150" s="51" t="s">
        <v>569</v>
      </c>
      <c r="C150" s="21" t="s">
        <v>613</v>
      </c>
      <c r="D150" s="104">
        <f>IF(ISERROR(HLOOKUP(J150,$Q$42:$AG$43,2)),0,HLOOKUP(J150,$Q$42:$AG$43,2))</f>
        <v>0</v>
      </c>
      <c r="E150" s="104">
        <f>IF(ISERROR(HLOOKUP(K150,$Q$42:$AG$43,2)),0,HLOOKUP(K150,$Q$42:$AG$43,2))</f>
        <v>0</v>
      </c>
      <c r="F150" s="104">
        <f>IF(ISERROR(HLOOKUP(L150,$Q$42:$AG$43,2)),0,HLOOKUP(L150,$Q$42:$AG$43,2))</f>
        <v>0</v>
      </c>
      <c r="G150" s="396">
        <f t="shared" si="3"/>
        <v>0</v>
      </c>
      <c r="H150" s="103">
        <f t="shared" si="4"/>
        <v>0</v>
      </c>
      <c r="I150" s="103">
        <f t="shared" si="5"/>
        <v>0</v>
      </c>
      <c r="J150" s="21">
        <f t="shared" si="0"/>
        <v>0</v>
      </c>
      <c r="K150" s="21">
        <f t="shared" si="1"/>
        <v>0</v>
      </c>
      <c r="L150" s="21">
        <f t="shared" si="2"/>
        <v>0</v>
      </c>
      <c r="M150" s="21" t="s">
        <v>660</v>
      </c>
      <c r="P150" s="328"/>
      <c r="Q150" s="328"/>
      <c r="AS150" s="5"/>
      <c r="BB150" s="11"/>
      <c r="BC150" s="5"/>
    </row>
    <row r="151" spans="1:64" ht="12.75" hidden="1" customHeight="1" x14ac:dyDescent="0.15">
      <c r="A151" s="259">
        <v>20</v>
      </c>
      <c r="B151" s="51" t="s">
        <v>570</v>
      </c>
      <c r="C151" s="21" t="s">
        <v>613</v>
      </c>
      <c r="D151" s="104">
        <f t="shared" ref="D151:F152" si="6">IF(ISERROR(HLOOKUP(J151,$Q$39:$Y$40,2)),0,HLOOKUP(J151,$Q$39:$Y$40,2))</f>
        <v>0</v>
      </c>
      <c r="E151" s="104">
        <f t="shared" si="6"/>
        <v>0</v>
      </c>
      <c r="F151" s="104">
        <f t="shared" si="6"/>
        <v>0</v>
      </c>
      <c r="G151" s="396">
        <f t="shared" si="3"/>
        <v>0</v>
      </c>
      <c r="H151" s="103">
        <f t="shared" si="4"/>
        <v>0</v>
      </c>
      <c r="I151" s="103">
        <f t="shared" si="5"/>
        <v>0</v>
      </c>
      <c r="J151" s="21">
        <f t="shared" si="0"/>
        <v>0</v>
      </c>
      <c r="K151" s="21">
        <f t="shared" si="1"/>
        <v>0</v>
      </c>
      <c r="L151" s="21">
        <f t="shared" si="2"/>
        <v>0</v>
      </c>
      <c r="M151" s="21" t="s">
        <v>660</v>
      </c>
      <c r="P151" s="328"/>
      <c r="Q151" s="328"/>
      <c r="AS151" s="5"/>
      <c r="BB151" s="11"/>
      <c r="BC151" s="5"/>
    </row>
    <row r="152" spans="1:64" ht="12.75" hidden="1" customHeight="1" x14ac:dyDescent="0.15">
      <c r="A152" s="259">
        <v>21</v>
      </c>
      <c r="B152" s="51" t="s">
        <v>571</v>
      </c>
      <c r="C152" s="21" t="s">
        <v>613</v>
      </c>
      <c r="D152" s="104">
        <f t="shared" si="6"/>
        <v>0</v>
      </c>
      <c r="E152" s="104">
        <f t="shared" si="6"/>
        <v>0</v>
      </c>
      <c r="F152" s="104">
        <f t="shared" si="6"/>
        <v>0</v>
      </c>
      <c r="G152" s="396">
        <f t="shared" si="3"/>
        <v>0</v>
      </c>
      <c r="H152" s="103">
        <f t="shared" si="4"/>
        <v>0</v>
      </c>
      <c r="I152" s="103">
        <f t="shared" si="5"/>
        <v>0</v>
      </c>
      <c r="J152" s="21">
        <f t="shared" si="0"/>
        <v>0</v>
      </c>
      <c r="K152" s="21">
        <f t="shared" si="1"/>
        <v>0</v>
      </c>
      <c r="L152" s="21">
        <f t="shared" si="2"/>
        <v>0</v>
      </c>
      <c r="M152" s="21" t="s">
        <v>660</v>
      </c>
      <c r="P152" s="328"/>
      <c r="Q152" s="328"/>
      <c r="AS152" s="5"/>
      <c r="BB152" s="11"/>
      <c r="BC152" s="5"/>
    </row>
    <row r="153" spans="1:64" ht="12.75" hidden="1" customHeight="1" x14ac:dyDescent="0.15">
      <c r="A153" s="259">
        <v>22</v>
      </c>
      <c r="B153" s="51" t="s">
        <v>572</v>
      </c>
      <c r="C153" s="21"/>
      <c r="D153" s="334"/>
      <c r="E153" s="335"/>
      <c r="F153" s="336"/>
      <c r="G153" s="397"/>
      <c r="H153" s="51"/>
      <c r="M153" s="21" t="s">
        <v>660</v>
      </c>
      <c r="P153" s="328"/>
      <c r="Q153" s="328"/>
      <c r="AS153" s="5"/>
      <c r="BB153" s="11"/>
      <c r="BC153" s="5"/>
    </row>
    <row r="154" spans="1:64" ht="12.75" hidden="1" customHeight="1" x14ac:dyDescent="0.15">
      <c r="A154" s="259">
        <v>23</v>
      </c>
      <c r="B154" s="51" t="s">
        <v>573</v>
      </c>
      <c r="C154" s="21"/>
      <c r="D154" s="334"/>
      <c r="E154" s="335"/>
      <c r="F154" s="336"/>
      <c r="G154" s="397"/>
      <c r="H154" s="51"/>
      <c r="M154" s="21" t="s">
        <v>660</v>
      </c>
      <c r="P154" s="328"/>
      <c r="Q154" s="328"/>
      <c r="AS154" s="5"/>
    </row>
    <row r="155" spans="1:64" ht="12.75" hidden="1" customHeight="1" x14ac:dyDescent="0.15">
      <c r="A155" s="259">
        <v>24</v>
      </c>
      <c r="B155" s="51" t="s">
        <v>574</v>
      </c>
      <c r="C155" s="21" t="s">
        <v>613</v>
      </c>
      <c r="D155" s="104">
        <f>IF(ISERROR(HLOOKUP(J155,$Q$42:$AG$43,2)),0,HLOOKUP(J155,$Q$42:$AG$43,2))</f>
        <v>0</v>
      </c>
      <c r="E155" s="104">
        <f>IF(ISERROR(HLOOKUP(K155,$Q$42:$AG$43,2)),0,HLOOKUP(K155,$Q$42:$AG$43,2))</f>
        <v>0</v>
      </c>
      <c r="F155" s="104">
        <f>IF(ISERROR(HLOOKUP(L155,$Q$42:$AG$43,2)),0,HLOOKUP(L155,$Q$42:$AG$43,2))</f>
        <v>0</v>
      </c>
      <c r="G155" s="396">
        <f>SUM($F$27:$F$32)</f>
        <v>0</v>
      </c>
      <c r="H155" s="103">
        <f>SUM($F$27:$F$32)+$J$51</f>
        <v>0</v>
      </c>
      <c r="I155" s="103">
        <f>SUM($F$27:$F$32)+$J$51+$J$60</f>
        <v>0</v>
      </c>
      <c r="J155" s="21">
        <f t="shared" ref="J155:J186" si="7">ROUNDDOWN(G155/365,0)</f>
        <v>0</v>
      </c>
      <c r="K155" s="21">
        <f t="shared" ref="K155:K186" si="8">ROUNDDOWN(H155/365,0)</f>
        <v>0</v>
      </c>
      <c r="L155" s="21">
        <f t="shared" ref="L155:L186" si="9">ROUNDDOWN(I155/365,0)</f>
        <v>0</v>
      </c>
      <c r="M155" s="21" t="s">
        <v>660</v>
      </c>
      <c r="P155" s="328"/>
      <c r="Q155" s="328"/>
      <c r="AS155" s="5"/>
    </row>
    <row r="156" spans="1:64" ht="12.75" hidden="1" customHeight="1" x14ac:dyDescent="0.15">
      <c r="A156" s="259">
        <v>25</v>
      </c>
      <c r="B156" s="51" t="s">
        <v>580</v>
      </c>
      <c r="C156" s="21" t="s">
        <v>527</v>
      </c>
      <c r="D156" s="104">
        <f>IF(ISERROR(HLOOKUP(J156,$Q$29:$AT$30,2)),0,HLOOKUP(J156,$Q$29:$AT$30,2))</f>
        <v>0</v>
      </c>
      <c r="E156" s="104">
        <f>IF(ISERROR(HLOOKUP(K156,$Q$29:$AT$30,2)),0,HLOOKUP(K156,$Q$29:$AT$30,2))</f>
        <v>0</v>
      </c>
      <c r="F156" s="104">
        <f>IF(ISERROR(HLOOKUP(L156,$Q$29:$AT$30,2)),0,HLOOKUP(L156,$Q$29:$AT$30,2))</f>
        <v>0</v>
      </c>
      <c r="G156" s="396">
        <f>SUM($F$30:$F$32)</f>
        <v>0</v>
      </c>
      <c r="H156" s="103">
        <f>SUM($F$30:$F$32)+$J$51</f>
        <v>0</v>
      </c>
      <c r="I156" s="103">
        <f>SUM($F$30:$F$32)+$J$51+$J$60</f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</row>
    <row r="157" spans="1:64" ht="12.75" hidden="1" customHeight="1" x14ac:dyDescent="0.15">
      <c r="A157" s="259">
        <v>26</v>
      </c>
      <c r="B157" s="51" t="s">
        <v>581</v>
      </c>
      <c r="C157" s="21" t="s">
        <v>547</v>
      </c>
      <c r="D157" s="104">
        <f>IF(ISERROR(HLOOKUP(J157,$Q$73:$W$74,2)),0,HLOOKUP(J157,$Q$73:$W$74,2))</f>
        <v>0</v>
      </c>
      <c r="E157" s="104">
        <f>IF(ISERROR(HLOOKUP(K157,$Q$73:$W$74,2)),0,HLOOKUP(K157,$Q$73:$W$74,2))</f>
        <v>0</v>
      </c>
      <c r="F157" s="104">
        <f>IF(ISERROR(HLOOKUP(L157,$Q$73:$W$74,2)),0,HLOOKUP(L157,$Q$73:$W$74,2))</f>
        <v>0</v>
      </c>
      <c r="G157" s="396">
        <f>SUM($F$27:$F$32)</f>
        <v>0</v>
      </c>
      <c r="H157" s="103">
        <f>SUM($F$27:$F$32)+$J$51</f>
        <v>0</v>
      </c>
      <c r="I157" s="103">
        <f>SUM($F$27:$F$32)+$J$51+$J$60</f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</row>
    <row r="158" spans="1:64" ht="12.75" hidden="1" customHeight="1" x14ac:dyDescent="0.15">
      <c r="A158" s="259" t="s">
        <v>582</v>
      </c>
      <c r="B158" s="51" t="s">
        <v>684</v>
      </c>
      <c r="C158" s="21" t="s">
        <v>547</v>
      </c>
      <c r="D158" s="104">
        <f>IF(ISERROR(HLOOKUP(J158,$Q$73:$V$74,2)),0,HLOOKUP(J158,$Q$73:$V$74,2))</f>
        <v>0</v>
      </c>
      <c r="E158" s="104">
        <f>IF(ISERROR(HLOOKUP(K158,$Q$73:$V$74,2)),0,HLOOKUP(K158,$Q$73:$V$74,2))</f>
        <v>0</v>
      </c>
      <c r="F158" s="104">
        <f>IF(ISERROR(HLOOKUP(L158,$Q$73:$V$74,2)),0,HLOOKUP(L158,$Q$73:$V$74,2))</f>
        <v>0</v>
      </c>
      <c r="G158" s="396">
        <f>SUM($F$27:$F$32)</f>
        <v>0</v>
      </c>
      <c r="H158" s="103">
        <f>SUM($F$27:$F$32)+$J$51</f>
        <v>0</v>
      </c>
      <c r="I158" s="103">
        <f>SUM($F$27:$F$32)+$J$51+$J$60</f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27</v>
      </c>
      <c r="B159" s="51" t="s">
        <v>583</v>
      </c>
      <c r="C159" s="21" t="s">
        <v>613</v>
      </c>
      <c r="D159" s="104">
        <f>IF(ISERROR(HLOOKUP(J159,$Q$48:$Z$49,2)),0,HLOOKUP(J159,$Q$48:$Z$49,2))</f>
        <v>0</v>
      </c>
      <c r="E159" s="104">
        <f>IF(ISERROR(HLOOKUP(K159,$Q$48:$Z$49,2)),0,HLOOKUP(K159,$Q$48:$Z$49,2))</f>
        <v>0</v>
      </c>
      <c r="F159" s="104">
        <f>IF(ISERROR(HLOOKUP(L159,$Q$48:$Z$49,2)),0,HLOOKUP(L159,$Q$48:$Z$49,2))</f>
        <v>0</v>
      </c>
      <c r="G159" s="396">
        <f t="shared" ref="G159:G166" si="10">SUM($F$30:$F$32)</f>
        <v>0</v>
      </c>
      <c r="H159" s="103">
        <f t="shared" ref="H159:H166" si="11">SUM($F$30:$F$32)+$J$51</f>
        <v>0</v>
      </c>
      <c r="I159" s="103">
        <f t="shared" ref="I159:I166" si="12">SUM($F$30:$F$32)+$J$51+$J$60</f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28</v>
      </c>
      <c r="B160" s="51" t="s">
        <v>584</v>
      </c>
      <c r="C160" s="21" t="s">
        <v>547</v>
      </c>
      <c r="D160" s="104">
        <f>IF(ISERROR(HLOOKUP(J160,$Q$73:$W$74,2)),0,HLOOKUP(J160,$Q$73:$W$74,2))</f>
        <v>0</v>
      </c>
      <c r="E160" s="104">
        <f>IF(ISERROR(HLOOKUP(K160,$Q$73:$W$74,2)),0,HLOOKUP(K160,$Q$73:$W$74,2))</f>
        <v>0</v>
      </c>
      <c r="F160" s="104">
        <f>IF(ISERROR(HLOOKUP(L160,$Q$73:$W$74,2)),0,HLOOKUP(L160,$Q$73:$W$74,2))</f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</row>
    <row r="161" spans="1:45" ht="12.75" hidden="1" customHeight="1" x14ac:dyDescent="0.15">
      <c r="A161" s="259">
        <v>29</v>
      </c>
      <c r="B161" s="51" t="s">
        <v>585</v>
      </c>
      <c r="C161" s="21" t="s">
        <v>613</v>
      </c>
      <c r="D161" s="104">
        <f>IF(ISERROR(HLOOKUP(J161,$Q$48:$V$49,2)),0,HLOOKUP(J161,$Q$48:$V$49,2))</f>
        <v>0</v>
      </c>
      <c r="E161" s="104">
        <f>IF(ISERROR(HLOOKUP(K161,$Q$48:$V$49,2)),0,HLOOKUP(K161,$Q$48:$V$49,2))</f>
        <v>0</v>
      </c>
      <c r="F161" s="104">
        <f>IF(ISERROR(HLOOKUP(L161,$Q$48:$V$49,2)),0,HLOOKUP(L161,$Q$48:$V$49,2))</f>
        <v>0</v>
      </c>
      <c r="G161" s="396">
        <f t="shared" si="10"/>
        <v>0</v>
      </c>
      <c r="H161" s="103">
        <f t="shared" si="11"/>
        <v>0</v>
      </c>
      <c r="I161" s="103">
        <f t="shared" si="12"/>
        <v>0</v>
      </c>
      <c r="J161" s="21">
        <f t="shared" si="7"/>
        <v>0</v>
      </c>
      <c r="K161" s="21">
        <f t="shared" si="8"/>
        <v>0</v>
      </c>
      <c r="L161" s="21">
        <f t="shared" si="9"/>
        <v>0</v>
      </c>
      <c r="M161" s="21" t="s">
        <v>660</v>
      </c>
      <c r="P161" s="328"/>
      <c r="Q161" s="328"/>
      <c r="AS161" s="5"/>
    </row>
    <row r="162" spans="1:45" ht="13.5" hidden="1" customHeight="1" x14ac:dyDescent="0.15">
      <c r="A162" s="259">
        <v>30</v>
      </c>
      <c r="B162" s="51" t="s">
        <v>586</v>
      </c>
      <c r="C162" s="21" t="s">
        <v>613</v>
      </c>
      <c r="D162" s="104">
        <f>IF(ISERROR(HLOOKUP(J162,$Q$48:$AA$49,2)),0,HLOOKUP(J162,$Q$48:$AA$49,2))</f>
        <v>0</v>
      </c>
      <c r="E162" s="104">
        <f>IF(ISERROR(HLOOKUP(K162,$Q$48:$AA$49,2)),0,HLOOKUP(K162,$Q$48:$AA$49,2))</f>
        <v>0</v>
      </c>
      <c r="F162" s="104">
        <f>IF(ISERROR(HLOOKUP(L162,$Q$48:$AA$49,2)),0,HLOOKUP(L162,$Q$48:$AA$49,2))</f>
        <v>0</v>
      </c>
      <c r="G162" s="396">
        <f t="shared" si="10"/>
        <v>0</v>
      </c>
      <c r="H162" s="103">
        <f t="shared" si="11"/>
        <v>0</v>
      </c>
      <c r="I162" s="103">
        <f t="shared" si="12"/>
        <v>0</v>
      </c>
      <c r="J162" s="21">
        <f t="shared" si="7"/>
        <v>0</v>
      </c>
      <c r="K162" s="21">
        <f t="shared" si="8"/>
        <v>0</v>
      </c>
      <c r="L162" s="21">
        <f t="shared" si="9"/>
        <v>0</v>
      </c>
      <c r="M162" s="21" t="s">
        <v>660</v>
      </c>
      <c r="P162" s="328"/>
      <c r="Q162" s="328"/>
      <c r="AS162" s="5"/>
    </row>
    <row r="163" spans="1:45" ht="12.75" hidden="1" customHeight="1" x14ac:dyDescent="0.15">
      <c r="A163" s="259" t="s">
        <v>587</v>
      </c>
      <c r="B163" s="51" t="s">
        <v>685</v>
      </c>
      <c r="C163" s="21" t="s">
        <v>547</v>
      </c>
      <c r="D163" s="104">
        <f>IF(ISERROR(HLOOKUP(J163,$Q$73:$X$74,2)),0,HLOOKUP(J163,$Q$73:$X$74,2))</f>
        <v>0</v>
      </c>
      <c r="E163" s="104">
        <f>IF(ISERROR(HLOOKUP(K163,$Q$73:$X$74,2)),0,HLOOKUP(K163,$Q$73:$X$74,2))</f>
        <v>0</v>
      </c>
      <c r="F163" s="104">
        <f>IF(ISERROR(HLOOKUP(L163,$Q$73:$X$74,2)),0,HLOOKUP(L163,$Q$73:$X$74,2))</f>
        <v>0</v>
      </c>
      <c r="G163" s="396">
        <f t="shared" si="10"/>
        <v>0</v>
      </c>
      <c r="H163" s="103">
        <f t="shared" si="11"/>
        <v>0</v>
      </c>
      <c r="I163" s="103">
        <f t="shared" si="12"/>
        <v>0</v>
      </c>
      <c r="J163" s="21">
        <f t="shared" si="7"/>
        <v>0</v>
      </c>
      <c r="K163" s="21">
        <f t="shared" si="8"/>
        <v>0</v>
      </c>
      <c r="L163" s="21">
        <f t="shared" si="9"/>
        <v>0</v>
      </c>
      <c r="M163" s="21" t="s">
        <v>660</v>
      </c>
      <c r="P163" s="328"/>
      <c r="Q163" s="328"/>
      <c r="AS163" s="116"/>
    </row>
    <row r="164" spans="1:45" ht="12.75" hidden="1" customHeight="1" x14ac:dyDescent="0.15">
      <c r="A164" s="259">
        <v>31</v>
      </c>
      <c r="B164" s="51" t="s">
        <v>588</v>
      </c>
      <c r="C164" s="21" t="s">
        <v>613</v>
      </c>
      <c r="D164" s="104">
        <f>IF(ISERROR(HLOOKUP(J164,$Q$42:$AG$43,2)),0,HLOOKUP(J164,$Q$42:$AG$43,2))</f>
        <v>0</v>
      </c>
      <c r="E164" s="104">
        <f>IF(ISERROR(HLOOKUP(K164,$Q$42:$AG$43,2)),0,HLOOKUP(K164,$Q$42:$AG$43,2))</f>
        <v>0</v>
      </c>
      <c r="F164" s="104">
        <f>IF(ISERROR(HLOOKUP(L164,$Q$42:$AG$43,2)),0,HLOOKUP(L164,$Q$42:$AG$43,2))</f>
        <v>0</v>
      </c>
      <c r="G164" s="396">
        <f t="shared" si="10"/>
        <v>0</v>
      </c>
      <c r="H164" s="103">
        <f t="shared" si="11"/>
        <v>0</v>
      </c>
      <c r="I164" s="103">
        <f t="shared" si="12"/>
        <v>0</v>
      </c>
      <c r="J164" s="21">
        <f t="shared" si="7"/>
        <v>0</v>
      </c>
      <c r="K164" s="21">
        <f t="shared" si="8"/>
        <v>0</v>
      </c>
      <c r="L164" s="21">
        <f t="shared" si="9"/>
        <v>0</v>
      </c>
      <c r="M164" s="21" t="s">
        <v>660</v>
      </c>
      <c r="P164" s="328"/>
      <c r="Q164" s="328"/>
      <c r="AS164" s="69"/>
    </row>
    <row r="165" spans="1:45" ht="12.75" hidden="1" customHeight="1" x14ac:dyDescent="0.15">
      <c r="A165" s="259">
        <v>32</v>
      </c>
      <c r="B165" s="338" t="s">
        <v>617</v>
      </c>
      <c r="C165" s="21" t="s">
        <v>613</v>
      </c>
      <c r="D165" s="104">
        <f>IF(ISERROR(HLOOKUP(J165,$Q$42:$AA$43,2)),0,HLOOKUP(J165,$Q$42:$AA$43,2))</f>
        <v>0</v>
      </c>
      <c r="E165" s="104">
        <f>IF(ISERROR(HLOOKUP(K165,$Q$42:$AA$43,2)),0,HLOOKUP(K165,$Q$42:$AA$43,2))</f>
        <v>0</v>
      </c>
      <c r="F165" s="104">
        <f>IF(ISERROR(HLOOKUP(L165,$Q$42:$AA$43,2)),0,HLOOKUP(L165,$Q$42:$AA$43,2))</f>
        <v>0</v>
      </c>
      <c r="G165" s="396">
        <f t="shared" si="10"/>
        <v>0</v>
      </c>
      <c r="H165" s="103">
        <f t="shared" si="11"/>
        <v>0</v>
      </c>
      <c r="I165" s="103">
        <f t="shared" si="12"/>
        <v>0</v>
      </c>
      <c r="J165" s="21">
        <f t="shared" si="7"/>
        <v>0</v>
      </c>
      <c r="K165" s="21">
        <f t="shared" si="8"/>
        <v>0</v>
      </c>
      <c r="L165" s="21">
        <f t="shared" si="9"/>
        <v>0</v>
      </c>
      <c r="M165" s="78" t="s">
        <v>661</v>
      </c>
      <c r="P165" s="44"/>
      <c r="Q165" s="44"/>
      <c r="AS165" s="69"/>
    </row>
    <row r="166" spans="1:45" ht="12.75" hidden="1" customHeight="1" x14ac:dyDescent="0.15">
      <c r="A166" s="259">
        <v>33</v>
      </c>
      <c r="B166" s="338" t="s">
        <v>618</v>
      </c>
      <c r="C166" s="21" t="s">
        <v>613</v>
      </c>
      <c r="D166" s="104">
        <f>IF(ISERROR(HLOOKUP(J166,$Q$39:$AA$40,2)),0,HLOOKUP(J166,$Q$39:$AA$40,2))</f>
        <v>0</v>
      </c>
      <c r="E166" s="104">
        <f>IF(ISERROR(HLOOKUP(K166,$Q$39:$AA$40,2)),0,HLOOKUP(K166,$Q$39:$AA$40,2))</f>
        <v>0</v>
      </c>
      <c r="F166" s="104">
        <f>IF(ISERROR(HLOOKUP(L166,$Q$39:$AA$40,2)),0,HLOOKUP(L166,$Q$39:$AA$40,2))</f>
        <v>0</v>
      </c>
      <c r="G166" s="396">
        <f t="shared" si="10"/>
        <v>0</v>
      </c>
      <c r="H166" s="103">
        <f t="shared" si="11"/>
        <v>0</v>
      </c>
      <c r="I166" s="103">
        <f t="shared" si="12"/>
        <v>0</v>
      </c>
      <c r="J166" s="21">
        <f t="shared" si="7"/>
        <v>0</v>
      </c>
      <c r="K166" s="21">
        <f t="shared" si="8"/>
        <v>0</v>
      </c>
      <c r="L166" s="21">
        <f t="shared" si="9"/>
        <v>0</v>
      </c>
      <c r="M166" s="78" t="s">
        <v>661</v>
      </c>
      <c r="P166" s="44"/>
      <c r="Q166" s="44"/>
      <c r="AS166" s="69"/>
    </row>
    <row r="167" spans="1:45" ht="12.75" hidden="1" customHeight="1" x14ac:dyDescent="0.15">
      <c r="A167" s="259">
        <v>34</v>
      </c>
      <c r="B167" s="338" t="s">
        <v>619</v>
      </c>
      <c r="C167" s="21" t="s">
        <v>527</v>
      </c>
      <c r="D167" s="104">
        <f>IF(ISERROR(HLOOKUP(J167,$Q$26:$AY$27,2)),0,HLOOKUP(J167,$Q$26:$AY$27,2))</f>
        <v>0</v>
      </c>
      <c r="E167" s="104">
        <f>IF(ISERROR(HLOOKUP(K167,$Q$26:$AY$27,2)),0,HLOOKUP(K167,$Q$26:$AY$27,2))</f>
        <v>0</v>
      </c>
      <c r="F167" s="104">
        <f>IF(ISERROR(HLOOKUP(L167,$Q$26:$AY$27,2)),0,HLOOKUP(L167,$Q$26:$AY$27,2))</f>
        <v>0</v>
      </c>
      <c r="G167" s="396">
        <f>SUM($F$27:$F$33)</f>
        <v>0</v>
      </c>
      <c r="H167" s="103">
        <f>SUM($F$27:$F$33)+$J$51</f>
        <v>0</v>
      </c>
      <c r="I167" s="103">
        <f>SUM($F$27:$F$33)+$J$51+$J$60</f>
        <v>0</v>
      </c>
      <c r="J167" s="21">
        <f t="shared" si="7"/>
        <v>0</v>
      </c>
      <c r="K167" s="21">
        <f t="shared" si="8"/>
        <v>0</v>
      </c>
      <c r="L167" s="21">
        <f t="shared" si="9"/>
        <v>0</v>
      </c>
      <c r="M167" s="78" t="s">
        <v>661</v>
      </c>
      <c r="P167" s="44"/>
      <c r="Q167" s="44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</row>
    <row r="168" spans="1:45" ht="12.75" hidden="1" customHeight="1" x14ac:dyDescent="0.15">
      <c r="A168" s="259">
        <v>35</v>
      </c>
      <c r="B168" s="338" t="s">
        <v>620</v>
      </c>
      <c r="C168" s="21" t="s">
        <v>613</v>
      </c>
      <c r="D168" s="104">
        <f>IF(ISERROR(HLOOKUP(J168,$Q$39:$AB$40,2)),0,HLOOKUP(J168,$Q$39:$AB$40,2))</f>
        <v>0</v>
      </c>
      <c r="E168" s="104">
        <f>IF(ISERROR(HLOOKUP(K168,$Q$39:$AB$40,2)),0,HLOOKUP(K168,$Q$39:$AB$40,2))</f>
        <v>0</v>
      </c>
      <c r="F168" s="104">
        <f>IF(ISERROR(HLOOKUP(L168,$Q$39:$AB$40,2)),0,HLOOKUP(L168,$Q$39:$AB$40,2))</f>
        <v>0</v>
      </c>
      <c r="G168" s="396">
        <f>SUM($F$27:$F$32)</f>
        <v>0</v>
      </c>
      <c r="H168" s="103">
        <f>SUM($F$27:$F$32)+$J$51</f>
        <v>0</v>
      </c>
      <c r="I168" s="103">
        <f>SUM($F$27:$F$32)+$J$51+$J$60</f>
        <v>0</v>
      </c>
      <c r="J168" s="21">
        <f t="shared" si="7"/>
        <v>0</v>
      </c>
      <c r="K168" s="21">
        <f t="shared" si="8"/>
        <v>0</v>
      </c>
      <c r="L168" s="21">
        <f t="shared" si="9"/>
        <v>0</v>
      </c>
      <c r="M168" s="78" t="s">
        <v>661</v>
      </c>
      <c r="P168" s="44"/>
      <c r="Q168" s="44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</row>
    <row r="169" spans="1:45" ht="12.75" hidden="1" customHeight="1" x14ac:dyDescent="0.15">
      <c r="A169" s="259">
        <v>36</v>
      </c>
      <c r="B169" s="339" t="s">
        <v>621</v>
      </c>
      <c r="C169" s="21" t="s">
        <v>613</v>
      </c>
      <c r="D169" s="104">
        <f>IF(ISERROR(HLOOKUP(J169,$Q$39:$AA$40,2)),0,HLOOKUP(J169,$Q$39:$AA$40,2))</f>
        <v>0</v>
      </c>
      <c r="E169" s="104">
        <f>IF(ISERROR(HLOOKUP(K169,$Q$39:$AA$40,2)),0,HLOOKUP(K169,$Q$39:$AA$40,2))</f>
        <v>0</v>
      </c>
      <c r="F169" s="104">
        <f>IF(ISERROR(HLOOKUP(L169,$Q$39:$AA$40,2)),0,HLOOKUP(L169,$Q$39:$AA$40,2))</f>
        <v>0</v>
      </c>
      <c r="G169" s="396">
        <f>SUM($F$30:$F$32)</f>
        <v>0</v>
      </c>
      <c r="H169" s="103">
        <f>SUM($F$30:$F$32)+$J$51</f>
        <v>0</v>
      </c>
      <c r="I169" s="103">
        <f>SUM($F$30:$F$32)+$J$51+$J$60</f>
        <v>0</v>
      </c>
      <c r="J169" s="21">
        <f t="shared" si="7"/>
        <v>0</v>
      </c>
      <c r="K169" s="21">
        <f t="shared" si="8"/>
        <v>0</v>
      </c>
      <c r="L169" s="21">
        <f t="shared" si="9"/>
        <v>0</v>
      </c>
      <c r="M169" s="78" t="s">
        <v>661</v>
      </c>
      <c r="P169" s="44"/>
      <c r="Q169" s="44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</row>
    <row r="170" spans="1:45" ht="12.75" hidden="1" customHeight="1" x14ac:dyDescent="0.15">
      <c r="A170" s="259">
        <v>37</v>
      </c>
      <c r="B170" s="340" t="s">
        <v>622</v>
      </c>
      <c r="C170" s="21" t="s">
        <v>547</v>
      </c>
      <c r="D170" s="104">
        <f t="shared" ref="D170:F171" si="13">IF(ISERROR(HLOOKUP(J170,$Q$73:$AB$74,2)),0,HLOOKUP(J170,$Q$73:$AB$74,2))</f>
        <v>0</v>
      </c>
      <c r="E170" s="104">
        <f t="shared" si="13"/>
        <v>0</v>
      </c>
      <c r="F170" s="104">
        <f t="shared" si="13"/>
        <v>0</v>
      </c>
      <c r="G170" s="396">
        <f>SUM($F$27:$F$32)</f>
        <v>0</v>
      </c>
      <c r="H170" s="103">
        <f>SUM($F$27:$F$32)+$J$51</f>
        <v>0</v>
      </c>
      <c r="I170" s="103">
        <f>SUM($F$27:$F$32)+$J$51+$J$60</f>
        <v>0</v>
      </c>
      <c r="J170" s="21">
        <f t="shared" si="7"/>
        <v>0</v>
      </c>
      <c r="K170" s="21">
        <f t="shared" si="8"/>
        <v>0</v>
      </c>
      <c r="L170" s="21">
        <f t="shared" si="9"/>
        <v>0</v>
      </c>
      <c r="M170" s="78" t="s">
        <v>661</v>
      </c>
      <c r="P170" s="44"/>
      <c r="Q170" s="44"/>
      <c r="AH170" s="69"/>
      <c r="AI170" s="116"/>
      <c r="AJ170" s="116"/>
      <c r="AK170" s="116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x14ac:dyDescent="0.15">
      <c r="A171" s="259">
        <v>38</v>
      </c>
      <c r="B171" s="340" t="s">
        <v>623</v>
      </c>
      <c r="C171" s="21" t="s">
        <v>547</v>
      </c>
      <c r="D171" s="104">
        <f t="shared" si="13"/>
        <v>0</v>
      </c>
      <c r="E171" s="104">
        <f t="shared" si="13"/>
        <v>0</v>
      </c>
      <c r="F171" s="104">
        <f t="shared" si="13"/>
        <v>0</v>
      </c>
      <c r="G171" s="396">
        <f>SUM($F$30:$F$32)</f>
        <v>0</v>
      </c>
      <c r="H171" s="103">
        <f>SUM($F$30:$F$32)+$J$51</f>
        <v>0</v>
      </c>
      <c r="I171" s="103">
        <f>SUM($F$30:$F$32)+$J$51+$J$60</f>
        <v>0</v>
      </c>
      <c r="J171" s="21">
        <f t="shared" si="7"/>
        <v>0</v>
      </c>
      <c r="K171" s="21">
        <f t="shared" si="8"/>
        <v>0</v>
      </c>
      <c r="L171" s="21">
        <f t="shared" si="9"/>
        <v>0</v>
      </c>
      <c r="M171" s="78" t="s">
        <v>661</v>
      </c>
      <c r="P171" s="44"/>
      <c r="Q171" s="44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</row>
    <row r="172" spans="1:45" ht="12.75" hidden="1" customHeight="1" thickBot="1" x14ac:dyDescent="0.2">
      <c r="A172" s="259">
        <v>39</v>
      </c>
      <c r="B172" s="340" t="s">
        <v>624</v>
      </c>
      <c r="C172" s="21" t="s">
        <v>613</v>
      </c>
      <c r="D172" s="104">
        <f>IF(ISERROR(HLOOKUP(J172,$Q$48:$Y$49,2)),0,HLOOKUP(J172,$Q$48:$Y$49,2))</f>
        <v>0</v>
      </c>
      <c r="E172" s="104">
        <f>IF(ISERROR(HLOOKUP(K172,$Q$48:$Y$49,2)),0,HLOOKUP(K172,$Q$48:$Y$49,2))</f>
        <v>0</v>
      </c>
      <c r="F172" s="104">
        <f>IF(ISERROR(HLOOKUP(L172,$Q$48:$Y$49,2)),0,HLOOKUP(L172,$Q$48:$Y$49,2))</f>
        <v>0</v>
      </c>
      <c r="G172" s="396">
        <f>SUM($F$30:$F$32)</f>
        <v>0</v>
      </c>
      <c r="H172" s="103">
        <f>SUM($F$30:$F$32)+$J$51</f>
        <v>0</v>
      </c>
      <c r="I172" s="103">
        <f>SUM($F$30:$F$32)+$J$51+$J$60</f>
        <v>0</v>
      </c>
      <c r="J172" s="21">
        <f t="shared" si="7"/>
        <v>0</v>
      </c>
      <c r="K172" s="21">
        <f t="shared" si="8"/>
        <v>0</v>
      </c>
      <c r="L172" s="21">
        <f t="shared" si="9"/>
        <v>0</v>
      </c>
      <c r="M172" s="78" t="s">
        <v>661</v>
      </c>
      <c r="P172" s="44"/>
      <c r="Q172" s="44"/>
    </row>
    <row r="173" spans="1:45" ht="12.75" hidden="1" customHeight="1" x14ac:dyDescent="0.15">
      <c r="A173" s="259">
        <v>40</v>
      </c>
      <c r="B173" s="340" t="s">
        <v>625</v>
      </c>
      <c r="C173" s="21" t="s">
        <v>613</v>
      </c>
      <c r="D173" s="104">
        <f>IF(ISERROR(HLOOKUP(J173,$Q$48:$AA$49,2)),0,HLOOKUP(J173,$Q$48:$AA$49,2))</f>
        <v>0</v>
      </c>
      <c r="E173" s="104">
        <f>IF(ISERROR(HLOOKUP(K173,$Q$48:$AA$49,2)),0,HLOOKUP(K173,$Q$48:$AA$49,2))</f>
        <v>0</v>
      </c>
      <c r="F173" s="104">
        <f>IF(ISERROR(HLOOKUP(L173,$Q$48:$AA$49,2)),0,HLOOKUP(L173,$Q$48:$AA$49,2))</f>
        <v>0</v>
      </c>
      <c r="G173" s="396">
        <f>SUM($F$27:$F$32)</f>
        <v>0</v>
      </c>
      <c r="H173" s="103">
        <f>SUM($F$27:$F$32)+$J$51</f>
        <v>0</v>
      </c>
      <c r="I173" s="103">
        <f>SUM($F$27:$F$32)+$J$51+$J$60</f>
        <v>0</v>
      </c>
      <c r="J173" s="21">
        <f t="shared" si="7"/>
        <v>0</v>
      </c>
      <c r="K173" s="21">
        <f t="shared" si="8"/>
        <v>0</v>
      </c>
      <c r="L173" s="21">
        <f t="shared" si="9"/>
        <v>0</v>
      </c>
      <c r="M173" s="78" t="s">
        <v>661</v>
      </c>
      <c r="N173" s="341" t="s">
        <v>613</v>
      </c>
      <c r="O173" s="256">
        <f>IF(ISERROR(HLOOKUP(J174,$Q$63:$AA$64,2)),0,HLOOKUP(J174,$Q$63:$AA$64,2))</f>
        <v>0</v>
      </c>
      <c r="P173" s="144">
        <f>IF(ISERROR(HLOOKUP(K174,$Q$63:$AA$64,2)),0,HLOOKUP(K174,$Q$63:$AA$64,2))</f>
        <v>0</v>
      </c>
      <c r="Q173" s="144">
        <f>IF(ISERROR(HLOOKUP(L174,$Q$63:$AA$64,2)),0,HLOOKUP(L174,$Q$63:$AA$64,2))</f>
        <v>0</v>
      </c>
      <c r="R173" s="342" t="s">
        <v>695</v>
      </c>
    </row>
    <row r="174" spans="1:45" ht="12.75" hidden="1" customHeight="1" thickBot="1" x14ac:dyDescent="0.2">
      <c r="A174" s="259">
        <v>41</v>
      </c>
      <c r="B174" s="340" t="s">
        <v>626</v>
      </c>
      <c r="C174" s="21" t="str">
        <f>IF($N$8&gt;=$R$174,$P$20,$P$19)</f>
        <v>TRIÊNIO</v>
      </c>
      <c r="D174" s="343">
        <f>IF($C$174=$N$173,$O$173,$O$174)</f>
        <v>0</v>
      </c>
      <c r="E174" s="343">
        <f>IF($C$174=$N$173,$P$173,$P$174)</f>
        <v>0</v>
      </c>
      <c r="F174" s="343">
        <f>IF($C$174=$N$173,$Q$173,$Q$174)</f>
        <v>0</v>
      </c>
      <c r="G174" s="396">
        <f>SUM($F$30:$F$32)</f>
        <v>0</v>
      </c>
      <c r="H174" s="103">
        <f>SUM($F$30:$F$32)+$J$51</f>
        <v>0</v>
      </c>
      <c r="I174" s="103">
        <f>SUM($F$30:$F$32)+$J$51+$J$60</f>
        <v>0</v>
      </c>
      <c r="J174" s="21">
        <f t="shared" si="7"/>
        <v>0</v>
      </c>
      <c r="K174" s="21">
        <f t="shared" si="8"/>
        <v>0</v>
      </c>
      <c r="L174" s="21">
        <f t="shared" si="9"/>
        <v>0</v>
      </c>
      <c r="M174" s="78" t="s">
        <v>661</v>
      </c>
      <c r="N174" s="344" t="s">
        <v>547</v>
      </c>
      <c r="O174" s="257">
        <f>IF(ISERROR(HLOOKUP(J174,$Q$73:$W$74,2)),0,HLOOKUP(J174,$Q$73:$W$74,2))</f>
        <v>0</v>
      </c>
      <c r="P174" s="145">
        <f>IF(ISERROR(HLOOKUP(K174,$Q$73:$W$74,2)),0,HLOOKUP(K174,$Q$73:$W$74,2))</f>
        <v>0</v>
      </c>
      <c r="Q174" s="145">
        <f>IF(ISERROR(HLOOKUP(L174,$Q$73:$W$74,2)),0,HLOOKUP(L174,$Q$73:$W$74,2))</f>
        <v>0</v>
      </c>
      <c r="R174" s="398">
        <v>36539</v>
      </c>
      <c r="S174" s="103"/>
      <c r="T174" s="103"/>
    </row>
    <row r="175" spans="1:45" ht="12.75" hidden="1" customHeight="1" x14ac:dyDescent="0.15">
      <c r="A175" s="259">
        <v>42</v>
      </c>
      <c r="B175" s="340" t="s">
        <v>627</v>
      </c>
      <c r="C175" s="21"/>
      <c r="D175" s="54"/>
      <c r="E175" s="54"/>
      <c r="F175" s="54"/>
      <c r="G175" s="396">
        <f>SUM($F$27:$F$32)</f>
        <v>0</v>
      </c>
      <c r="H175" s="103">
        <f>SUM($F$27:$F$32)+$J$51</f>
        <v>0</v>
      </c>
      <c r="I175" s="103">
        <f>SUM($F$27:$F$32)+$J$51+$J$60</f>
        <v>0</v>
      </c>
      <c r="J175" s="21">
        <f t="shared" si="7"/>
        <v>0</v>
      </c>
      <c r="K175" s="21">
        <f t="shared" si="8"/>
        <v>0</v>
      </c>
      <c r="L175" s="21">
        <f t="shared" si="9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43</v>
      </c>
      <c r="B176" s="340" t="s">
        <v>628</v>
      </c>
      <c r="C176" s="21" t="s">
        <v>527</v>
      </c>
      <c r="D176" s="104">
        <f>IF(ISERROR(HLOOKUP(J176,$Q$26:$AY$27,2)),0,HLOOKUP(J176,$Q$26:$AY$27,2))</f>
        <v>0</v>
      </c>
      <c r="E176" s="104">
        <f>IF(ISERROR(HLOOKUP(K176,$Q$26:$AY$27,2)),0,HLOOKUP(K176,$Q$26:$AY$27,2))</f>
        <v>0</v>
      </c>
      <c r="F176" s="104">
        <f>IF(ISERROR(HLOOKUP(L176,$Q$26:$AY$27,2)),0,HLOOKUP(L176,$Q$26:$AY$27,2))</f>
        <v>0</v>
      </c>
      <c r="G176" s="396">
        <f>SUM($F$27:$F$33)</f>
        <v>0</v>
      </c>
      <c r="H176" s="103">
        <f>SUM($F$27:$F$33)+$J$51</f>
        <v>0</v>
      </c>
      <c r="I176" s="103">
        <f>SUM($F$27:$F$33)+$J$51+$J$60</f>
        <v>0</v>
      </c>
      <c r="J176" s="21">
        <f t="shared" si="7"/>
        <v>0</v>
      </c>
      <c r="K176" s="21">
        <f t="shared" si="8"/>
        <v>0</v>
      </c>
      <c r="L176" s="21">
        <f t="shared" si="9"/>
        <v>0</v>
      </c>
      <c r="M176" s="78" t="s">
        <v>661</v>
      </c>
      <c r="P176" s="44"/>
      <c r="Q176" s="44"/>
    </row>
    <row r="177" spans="1:33" ht="12.75" hidden="1" customHeight="1" x14ac:dyDescent="0.15">
      <c r="A177" s="259">
        <v>44</v>
      </c>
      <c r="B177" s="340" t="s">
        <v>629</v>
      </c>
      <c r="C177" s="21" t="s">
        <v>547</v>
      </c>
      <c r="D177" s="104">
        <f t="shared" ref="D177:F178" si="14">IF(ISERROR(HLOOKUP(J177,$Q$73:$W$74,2)),0,HLOOKUP(J177,$Q$73:$W$74,2))</f>
        <v>0</v>
      </c>
      <c r="E177" s="104">
        <f t="shared" si="14"/>
        <v>0</v>
      </c>
      <c r="F177" s="104">
        <f t="shared" si="14"/>
        <v>0</v>
      </c>
      <c r="G177" s="396">
        <f>SUM($F$27:$F$32)</f>
        <v>0</v>
      </c>
      <c r="H177" s="103">
        <f>SUM($F$27:$F$32)+$J$51</f>
        <v>0</v>
      </c>
      <c r="I177" s="103">
        <f>SUM($F$27:$F$32)+$J$51+$J$60</f>
        <v>0</v>
      </c>
      <c r="J177" s="21">
        <f t="shared" si="7"/>
        <v>0</v>
      </c>
      <c r="K177" s="21">
        <f t="shared" si="8"/>
        <v>0</v>
      </c>
      <c r="L177" s="21">
        <f t="shared" si="9"/>
        <v>0</v>
      </c>
      <c r="M177" s="78" t="s">
        <v>661</v>
      </c>
      <c r="P177" s="44"/>
      <c r="Q177" s="44"/>
    </row>
    <row r="178" spans="1:33" ht="12.75" hidden="1" customHeight="1" x14ac:dyDescent="0.15">
      <c r="A178" s="259">
        <v>45</v>
      </c>
      <c r="B178" s="340" t="s">
        <v>630</v>
      </c>
      <c r="C178" s="21" t="s">
        <v>547</v>
      </c>
      <c r="D178" s="104">
        <f t="shared" si="14"/>
        <v>0</v>
      </c>
      <c r="E178" s="104">
        <f t="shared" si="14"/>
        <v>0</v>
      </c>
      <c r="F178" s="104">
        <f t="shared" si="14"/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7"/>
        <v>0</v>
      </c>
      <c r="K178" s="21">
        <f t="shared" si="8"/>
        <v>0</v>
      </c>
      <c r="L178" s="21">
        <f t="shared" si="9"/>
        <v>0</v>
      </c>
      <c r="M178" s="78" t="s">
        <v>661</v>
      </c>
      <c r="P178" s="44"/>
      <c r="Q178" s="44"/>
    </row>
    <row r="179" spans="1:33" ht="12.75" hidden="1" customHeight="1" x14ac:dyDescent="0.15">
      <c r="A179" s="259">
        <v>46</v>
      </c>
      <c r="B179" s="340" t="s">
        <v>631</v>
      </c>
      <c r="C179" s="21" t="s">
        <v>527</v>
      </c>
      <c r="D179" s="104">
        <f>IF(ISERROR(HLOOKUP(J179,$Q$26:$AY$27,2)),0,HLOOKUP(J179,$Q$26:$AY$27,2))</f>
        <v>0</v>
      </c>
      <c r="E179" s="104">
        <f>IF(ISERROR(HLOOKUP(K179,$Q$26:$AY$27,2)),0,HLOOKUP(K179,$Q$26:$AY$27,2))</f>
        <v>0</v>
      </c>
      <c r="F179" s="104">
        <f>IF(ISERROR(HLOOKUP(L179,$Q$26:$AY$27,2)),0,HLOOKUP(L179,$Q$26:$AY$27,2))</f>
        <v>0</v>
      </c>
      <c r="G179" s="396">
        <f>SUM($F$27:$F$32)</f>
        <v>0</v>
      </c>
      <c r="H179" s="103">
        <f>SUM($F$27:$F$32)+$J$51</f>
        <v>0</v>
      </c>
      <c r="I179" s="103">
        <f>SUM($F$27:$F$32)+$J$51+$J$60</f>
        <v>0</v>
      </c>
      <c r="J179" s="21">
        <f t="shared" si="7"/>
        <v>0</v>
      </c>
      <c r="K179" s="21">
        <f t="shared" si="8"/>
        <v>0</v>
      </c>
      <c r="L179" s="21">
        <f t="shared" si="9"/>
        <v>0</v>
      </c>
      <c r="M179" s="78" t="s">
        <v>661</v>
      </c>
      <c r="P179" s="44"/>
      <c r="Q179" s="44"/>
    </row>
    <row r="180" spans="1:33" ht="12.75" hidden="1" customHeight="1" x14ac:dyDescent="0.15">
      <c r="A180" s="259">
        <v>47</v>
      </c>
      <c r="B180" s="340" t="s">
        <v>632</v>
      </c>
      <c r="C180" s="21" t="s">
        <v>613</v>
      </c>
      <c r="D180" s="104">
        <f>IF(ISERROR(HLOOKUP(J180,$Q$48:$Z$49,2)),0,HLOOKUP(J180,$Q$48:$Z$49,2))</f>
        <v>0</v>
      </c>
      <c r="E180" s="104">
        <f>IF(ISERROR(HLOOKUP(K180,$Q$48:$Z$49,2)),0,HLOOKUP(K180,$Q$48:$Z$49,2))</f>
        <v>0</v>
      </c>
      <c r="F180" s="104">
        <f>IF(ISERROR(HLOOKUP(L180,$Q$48:$Z$49,2)),0,HLOOKUP(L180,$Q$48:$Z$49,2))</f>
        <v>0</v>
      </c>
      <c r="G180" s="396">
        <f>SUM($F$30:$F$32)</f>
        <v>0</v>
      </c>
      <c r="H180" s="103">
        <f>SUM($F$30:$F$32)+$J$51</f>
        <v>0</v>
      </c>
      <c r="I180" s="103">
        <f>SUM($F$30:$F$32)+$J$51+$J$60</f>
        <v>0</v>
      </c>
      <c r="J180" s="21">
        <f t="shared" si="7"/>
        <v>0</v>
      </c>
      <c r="K180" s="21">
        <f t="shared" si="8"/>
        <v>0</v>
      </c>
      <c r="L180" s="21">
        <f t="shared" si="9"/>
        <v>0</v>
      </c>
      <c r="M180" s="78" t="s">
        <v>661</v>
      </c>
      <c r="P180" s="44"/>
      <c r="Q180" s="44"/>
    </row>
    <row r="181" spans="1:33" ht="12.75" hidden="1" customHeight="1" x14ac:dyDescent="0.15">
      <c r="A181" s="259">
        <v>48</v>
      </c>
      <c r="B181" s="340" t="s">
        <v>633</v>
      </c>
      <c r="C181" s="21" t="s">
        <v>613</v>
      </c>
      <c r="D181" s="104">
        <f>IF(ISERROR(HLOOKUP(J181,$Q$48:$AJ$49,2)),0,HLOOKUP(J181,$Q$48:$AJ$49,2))</f>
        <v>0</v>
      </c>
      <c r="E181" s="104">
        <f>IF(ISERROR(HLOOKUP(K181,$Q$48:$AJ$49,2)),0,HLOOKUP(K181,$Q$48:$AJ$49,2))</f>
        <v>0</v>
      </c>
      <c r="F181" s="104">
        <f>IF(ISERROR(HLOOKUP(L181,$Q$48:$AJ$49,2)),0,HLOOKUP(L181,$Q$48:$AJ$49,2))</f>
        <v>0</v>
      </c>
      <c r="G181" s="396">
        <f>SUM($F$30:$F$33)</f>
        <v>0</v>
      </c>
      <c r="H181" s="103">
        <f>SUM($F$30:$F$33)+$J$51</f>
        <v>0</v>
      </c>
      <c r="I181" s="103">
        <f>SUM($F$30:$F$33)+$J$51+$J$60</f>
        <v>0</v>
      </c>
      <c r="J181" s="21">
        <f t="shared" si="7"/>
        <v>0</v>
      </c>
      <c r="K181" s="21">
        <f t="shared" si="8"/>
        <v>0</v>
      </c>
      <c r="L181" s="21">
        <f t="shared" si="9"/>
        <v>0</v>
      </c>
      <c r="M181" s="78" t="s">
        <v>661</v>
      </c>
      <c r="P181" s="44"/>
      <c r="Q181" s="44"/>
    </row>
    <row r="182" spans="1:33" ht="12.75" hidden="1" customHeight="1" x14ac:dyDescent="0.15">
      <c r="A182" s="259">
        <v>49</v>
      </c>
      <c r="B182" s="340" t="s">
        <v>634</v>
      </c>
      <c r="C182" s="21" t="s">
        <v>613</v>
      </c>
      <c r="D182" s="104">
        <f>IF(ISERROR(HLOOKUP(J182,$Q$48:$Z$49,2)),0,HLOOKUP(J182,$Q$48:$Z$49,2))</f>
        <v>0</v>
      </c>
      <c r="E182" s="104">
        <f>IF(ISERROR(HLOOKUP(K182,$Q$48:$Z$49,2)),0,HLOOKUP(K182,$Q$48:$Z$49,2))</f>
        <v>0</v>
      </c>
      <c r="F182" s="104">
        <f>IF(ISERROR(HLOOKUP(L182,$Q$48:$Z$49,2)),0,HLOOKUP(L182,$Q$48:$Z$49,2))</f>
        <v>0</v>
      </c>
      <c r="G182" s="396">
        <f>SUM($F$30:$F$33)</f>
        <v>0</v>
      </c>
      <c r="H182" s="103">
        <f>SUM($F$30:$F$33)+$J$51</f>
        <v>0</v>
      </c>
      <c r="I182" s="103">
        <f>SUM($F$30:$F$33)+$J$51+$J$60</f>
        <v>0</v>
      </c>
      <c r="J182" s="21">
        <f t="shared" si="7"/>
        <v>0</v>
      </c>
      <c r="K182" s="21">
        <f t="shared" si="8"/>
        <v>0</v>
      </c>
      <c r="L182" s="21">
        <f t="shared" si="9"/>
        <v>0</v>
      </c>
      <c r="M182" s="78" t="s">
        <v>661</v>
      </c>
      <c r="P182" s="44"/>
      <c r="Q182" s="44"/>
    </row>
    <row r="183" spans="1:33" ht="12.75" hidden="1" customHeight="1" x14ac:dyDescent="0.15">
      <c r="A183" s="259">
        <v>50</v>
      </c>
      <c r="B183" s="340" t="s">
        <v>635</v>
      </c>
      <c r="C183" s="21" t="s">
        <v>613</v>
      </c>
      <c r="D183" s="104">
        <f>IF(ISERROR(HLOOKUP(J183,$Q$39:$AB$40,2)),0,HLOOKUP(J183,$Q$39:$AB$40,2))</f>
        <v>0</v>
      </c>
      <c r="E183" s="104">
        <f>IF(ISERROR(HLOOKUP(K183,$Q$39:$AB$40,2)),0,HLOOKUP(K183,$Q$39:$AB$40,2))</f>
        <v>0</v>
      </c>
      <c r="F183" s="104">
        <f>IF(ISERROR(HLOOKUP(L183,$Q$39:$AB$40,2)),0,HLOOKUP(L183,$Q$39:$AB$40,2))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7"/>
        <v>0</v>
      </c>
      <c r="K183" s="21">
        <f t="shared" si="8"/>
        <v>0</v>
      </c>
      <c r="L183" s="21">
        <f t="shared" si="9"/>
        <v>0</v>
      </c>
      <c r="M183" s="78" t="s">
        <v>661</v>
      </c>
      <c r="P183" s="44"/>
      <c r="Q183" s="44"/>
    </row>
    <row r="184" spans="1:33" ht="12.75" hidden="1" customHeight="1" x14ac:dyDescent="0.15">
      <c r="A184" s="259">
        <v>51</v>
      </c>
      <c r="B184" s="340" t="s">
        <v>636</v>
      </c>
      <c r="C184" s="21" t="s">
        <v>613</v>
      </c>
      <c r="D184" s="104">
        <f>IF(ISERROR(HLOOKUP(J184,$Q$39:$AA$40,2)),0,HLOOKUP(J184,$Q$39:$AA$40,2))</f>
        <v>0</v>
      </c>
      <c r="E184" s="104">
        <f>IF(ISERROR(HLOOKUP(K184,$Q$39:$AA$40,2)),0,HLOOKUP(K184,$Q$39:$AA$40,2))</f>
        <v>0</v>
      </c>
      <c r="F184" s="104">
        <f>IF(ISERROR(HLOOKUP(L184,$Q$39:$AA$40,2)),0,HLOOKUP(L184,$Q$39:$AA$40,2))</f>
        <v>0</v>
      </c>
      <c r="G184" s="396">
        <f>SUM($F$30:$F$32)</f>
        <v>0</v>
      </c>
      <c r="H184" s="103">
        <f>SUM($F$30:$F$32)+$J$51</f>
        <v>0</v>
      </c>
      <c r="I184" s="103">
        <f>SUM($F$30:$F$32)+$J$51+$J$60</f>
        <v>0</v>
      </c>
      <c r="J184" s="21">
        <f t="shared" si="7"/>
        <v>0</v>
      </c>
      <c r="K184" s="21">
        <f t="shared" si="8"/>
        <v>0</v>
      </c>
      <c r="L184" s="21">
        <f t="shared" si="9"/>
        <v>0</v>
      </c>
      <c r="M184" s="78" t="s">
        <v>661</v>
      </c>
      <c r="P184" s="44"/>
      <c r="Q184" s="44"/>
    </row>
    <row r="185" spans="1:33" ht="12.75" hidden="1" customHeight="1" x14ac:dyDescent="0.15">
      <c r="A185" s="259">
        <v>52</v>
      </c>
      <c r="B185" s="340" t="s">
        <v>637</v>
      </c>
      <c r="C185" s="21" t="s">
        <v>613</v>
      </c>
      <c r="D185" s="104">
        <f>IF(ISERROR(HLOOKUP(J185,$Q$66:$X$67,2)),0,HLOOKUP(J185,$Q$66:$X$67,2))</f>
        <v>0</v>
      </c>
      <c r="E185" s="104">
        <f>IF(ISERROR(HLOOKUP(K185,$Q$66:$X$67,2)),0,HLOOKUP(K185,$Q$66:$X$67,2))</f>
        <v>0</v>
      </c>
      <c r="F185" s="104">
        <f>IF(ISERROR(HLOOKUP(L185,$Q$66:$X$67,2)),0,HLOOKUP(L185,$Q$66:$X$67,2))</f>
        <v>0</v>
      </c>
      <c r="G185" s="396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7"/>
        <v>0</v>
      </c>
      <c r="K185" s="21">
        <f t="shared" si="8"/>
        <v>0</v>
      </c>
      <c r="L185" s="21">
        <f t="shared" si="9"/>
        <v>0</v>
      </c>
      <c r="M185" s="78" t="s">
        <v>661</v>
      </c>
      <c r="P185" s="44"/>
      <c r="Q185" s="44"/>
    </row>
    <row r="186" spans="1:33" ht="12.75" hidden="1" customHeight="1" x14ac:dyDescent="0.15">
      <c r="A186" s="259">
        <v>53</v>
      </c>
      <c r="B186" s="340" t="s">
        <v>638</v>
      </c>
      <c r="C186" s="21" t="s">
        <v>613</v>
      </c>
      <c r="D186" s="104">
        <f>IF(ISERROR(HLOOKUP(J186,$Q$48:$AA$49,2)),0,HLOOKUP(J186,$Q$48:$AA$49,2))</f>
        <v>0</v>
      </c>
      <c r="E186" s="104">
        <f>IF(ISERROR(HLOOKUP(K186,$Q$48:$AA$49,2)),0,HLOOKUP(K186,$Q$48:$AA$49,2))</f>
        <v>0</v>
      </c>
      <c r="F186" s="104">
        <f>IF(ISERROR(HLOOKUP(L186,$Q$48:$AA$49,2)),0,HLOOKUP(L186,$Q$48:$AA$49,2))</f>
        <v>0</v>
      </c>
      <c r="G186" s="396">
        <f>SUM($F$30:$F$32)</f>
        <v>0</v>
      </c>
      <c r="H186" s="103">
        <f>SUM($F$30:$F$32)+$J$51</f>
        <v>0</v>
      </c>
      <c r="I186" s="103">
        <f>SUM($F$30:$F$32)+$J$51+$J$60</f>
        <v>0</v>
      </c>
      <c r="J186" s="21">
        <f t="shared" si="7"/>
        <v>0</v>
      </c>
      <c r="K186" s="21">
        <f t="shared" si="8"/>
        <v>0</v>
      </c>
      <c r="L186" s="21">
        <f t="shared" si="9"/>
        <v>0</v>
      </c>
      <c r="M186" s="78" t="s">
        <v>661</v>
      </c>
      <c r="P186" s="44"/>
      <c r="Q186" s="44"/>
    </row>
    <row r="187" spans="1:33" ht="12.75" hidden="1" customHeight="1" x14ac:dyDescent="0.15">
      <c r="A187" s="259">
        <v>54</v>
      </c>
      <c r="B187" s="340" t="s">
        <v>639</v>
      </c>
      <c r="C187" s="21" t="s">
        <v>613</v>
      </c>
      <c r="D187" s="104">
        <f>IF(ISERROR(HLOOKUP(J187,$Q$39:$AA$40,2)),0,HLOOKUP(J187,$Q$39:$AA$40,2))</f>
        <v>0</v>
      </c>
      <c r="E187" s="104">
        <f>IF(ISERROR(HLOOKUP(K187,$Q$39:$AA$40,2)),0,HLOOKUP(K187,$Q$39:$AA$40,2))</f>
        <v>0</v>
      </c>
      <c r="F187" s="104">
        <f>IF(ISERROR(HLOOKUP(L187,$Q$39:$AA$40,2)),0,HLOOKUP(L187,$Q$39:$AA$40,2))</f>
        <v>0</v>
      </c>
      <c r="G187" s="396">
        <f>SUM($F$27:$F$32)</f>
        <v>0</v>
      </c>
      <c r="H187" s="103">
        <f>SUM($F$27:$F$32)+$J$51</f>
        <v>0</v>
      </c>
      <c r="I187" s="103">
        <f>SUM($F$27:$F$32)+$J$51+$J$60</f>
        <v>0</v>
      </c>
      <c r="J187" s="21">
        <f t="shared" ref="J187:J218" si="15">ROUNDDOWN(G187/365,0)</f>
        <v>0</v>
      </c>
      <c r="K187" s="21">
        <f t="shared" ref="K187:K218" si="16">ROUNDDOWN(H187/365,0)</f>
        <v>0</v>
      </c>
      <c r="L187" s="21">
        <f t="shared" ref="L187:L218" si="17">ROUNDDOWN(I187/365,0)</f>
        <v>0</v>
      </c>
      <c r="M187" s="78" t="s">
        <v>661</v>
      </c>
      <c r="P187" s="44"/>
      <c r="Q187" s="44"/>
    </row>
    <row r="188" spans="1:33" ht="12.75" hidden="1" customHeight="1" x14ac:dyDescent="0.15">
      <c r="A188" s="259">
        <v>55</v>
      </c>
      <c r="B188" s="340" t="s">
        <v>640</v>
      </c>
      <c r="C188" s="21" t="s">
        <v>613</v>
      </c>
      <c r="D188" s="104">
        <f>IF(ISERROR(HLOOKUP(J188,$Q$60:$AA$61,2)),0,HLOOKUP(J188,$Q$60:$AA$61,2))</f>
        <v>0</v>
      </c>
      <c r="E188" s="104">
        <f>IF(ISERROR(HLOOKUP(K188,$Q$60:$AA$61,2)),0,HLOOKUP(K188,$Q$60:$AA$61,2))</f>
        <v>0</v>
      </c>
      <c r="F188" s="104">
        <f>IF(ISERROR(HLOOKUP(L188,$Q$60:$AA$61,2)),0,HLOOKUP(L188,$Q$60:$AA$61,2))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5"/>
        <v>0</v>
      </c>
      <c r="K188" s="21">
        <f t="shared" si="16"/>
        <v>0</v>
      </c>
      <c r="L188" s="21">
        <f t="shared" si="17"/>
        <v>0</v>
      </c>
      <c r="M188" s="78" t="s">
        <v>661</v>
      </c>
      <c r="P188" s="44"/>
      <c r="Q188" s="44"/>
    </row>
    <row r="189" spans="1:33" ht="12.75" hidden="1" customHeight="1" x14ac:dyDescent="0.15">
      <c r="A189" s="259">
        <v>56</v>
      </c>
      <c r="B189" s="340" t="s">
        <v>683</v>
      </c>
      <c r="C189" s="21" t="s">
        <v>547</v>
      </c>
      <c r="D189" s="104">
        <f>IF(ISERROR(HLOOKUP(J189,$Q$80:$W$81,2)),0,HLOOKUP(J189,$Q$80:$W$81,2))</f>
        <v>0</v>
      </c>
      <c r="E189" s="104">
        <f>IF(ISERROR(HLOOKUP(K189,$Q$80:$W$81,2)),0,HLOOKUP(K189,$Q$80:$W$81,2))</f>
        <v>0</v>
      </c>
      <c r="F189" s="104">
        <f>IF(ISERROR(HLOOKUP(L189,$Q$80:$W$81,2)),0,HLOOKUP(L189,$Q$80:$W$81,2))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5"/>
        <v>0</v>
      </c>
      <c r="K189" s="21">
        <f t="shared" si="16"/>
        <v>0</v>
      </c>
      <c r="L189" s="21">
        <f t="shared" si="17"/>
        <v>0</v>
      </c>
      <c r="M189" s="78" t="s">
        <v>661</v>
      </c>
      <c r="P189" s="44"/>
      <c r="Q189" s="44"/>
    </row>
    <row r="190" spans="1:33" ht="12.75" hidden="1" customHeight="1" x14ac:dyDescent="0.15">
      <c r="A190" s="259">
        <v>57</v>
      </c>
      <c r="B190" s="340" t="s">
        <v>699</v>
      </c>
      <c r="C190" s="21" t="s">
        <v>613</v>
      </c>
      <c r="D190" s="104">
        <f>IF(ISERROR(HLOOKUP(J190,$Q$48:$AA$49,2)),0,HLOOKUP(J190,$Q$48:$AA$49,2))</f>
        <v>0</v>
      </c>
      <c r="E190" s="104">
        <f>IF(ISERROR(HLOOKUP(K190,$Q$48:$AA$49,2)),0,HLOOKUP(K190,$Q$48:$AA$49,2))</f>
        <v>0</v>
      </c>
      <c r="F190" s="104">
        <f>IF(ISERROR(HLOOKUP(L190,$Q$48:$AA$49,2)),0,HLOOKUP(L190,$Q$48:$AA$49,2))</f>
        <v>0</v>
      </c>
      <c r="G190" s="396">
        <f>SUM($F$30:$F$32)</f>
        <v>0</v>
      </c>
      <c r="H190" s="103">
        <f>SUM($F$30:$F$32)+$J$51</f>
        <v>0</v>
      </c>
      <c r="I190" s="103">
        <f>SUM($F$30:$F$32)+$J$51+$J$60</f>
        <v>0</v>
      </c>
      <c r="J190" s="21">
        <f t="shared" si="15"/>
        <v>0</v>
      </c>
      <c r="K190" s="21">
        <f t="shared" si="16"/>
        <v>0</v>
      </c>
      <c r="L190" s="21">
        <f t="shared" si="17"/>
        <v>0</v>
      </c>
      <c r="M190" s="78" t="s">
        <v>661</v>
      </c>
      <c r="P190" s="44"/>
      <c r="Q190" s="44"/>
    </row>
    <row r="191" spans="1:33" ht="12.75" hidden="1" customHeight="1" x14ac:dyDescent="0.15">
      <c r="A191" s="259">
        <v>58</v>
      </c>
      <c r="B191" s="340" t="s">
        <v>641</v>
      </c>
      <c r="C191" s="21" t="s">
        <v>613</v>
      </c>
      <c r="D191" s="104">
        <f>IF(ISERROR(HLOOKUP(J191,$Q$69:$AC$70,2)),0,HLOOKUP(J191,$Q$69:$AC$70,2))</f>
        <v>0</v>
      </c>
      <c r="E191" s="104">
        <f>IF(ISERROR(HLOOKUP(K191,$Q$69:$AC$70,2)),0,HLOOKUP(K191,$Q$69:$AC$70,2))</f>
        <v>0</v>
      </c>
      <c r="F191" s="104">
        <f>IF(ISERROR(HLOOKUP(L191,$Q$69:$AC$70,2)),0,HLOOKUP(L191,$Q$69:$AC$70,2))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15"/>
        <v>0</v>
      </c>
      <c r="K191" s="21">
        <f t="shared" si="16"/>
        <v>0</v>
      </c>
      <c r="L191" s="21">
        <f t="shared" si="17"/>
        <v>0</v>
      </c>
      <c r="M191" s="78" t="s">
        <v>661</v>
      </c>
      <c r="P191" s="44"/>
      <c r="Q191" s="44"/>
    </row>
    <row r="192" spans="1:33" ht="12.75" hidden="1" customHeight="1" x14ac:dyDescent="0.15">
      <c r="A192" s="259">
        <v>59</v>
      </c>
      <c r="B192" s="340" t="s">
        <v>642</v>
      </c>
      <c r="C192" s="21" t="s">
        <v>613</v>
      </c>
      <c r="D192" s="104">
        <f>IF(ISERROR(HLOOKUP(J192,$Q$39:$AB$40,2)),0,HLOOKUP(J192,$Q$39:$AB$40,2))</f>
        <v>0</v>
      </c>
      <c r="E192" s="104">
        <f>IF(ISERROR(HLOOKUP(K192,$Q$39:$AB$40,2)),0,HLOOKUP(K192,$Q$39:$AB$40,2))</f>
        <v>0</v>
      </c>
      <c r="F192" s="104">
        <f>IF(ISERROR(HLOOKUP(L192,$Q$39:$AB$40,2)),0,HLOOKUP(L192,$Q$39:$AB$40,2))</f>
        <v>0</v>
      </c>
      <c r="G192" s="396">
        <f>SUM($F$27:$F$33)</f>
        <v>0</v>
      </c>
      <c r="H192" s="103">
        <f>SUM($F$27:$F$33)+$J$51</f>
        <v>0</v>
      </c>
      <c r="I192" s="103">
        <f>SUM($F$27:$F$33)+$J$51+$J$60</f>
        <v>0</v>
      </c>
      <c r="J192" s="21">
        <f t="shared" si="15"/>
        <v>0</v>
      </c>
      <c r="K192" s="21">
        <f t="shared" si="16"/>
        <v>0</v>
      </c>
      <c r="L192" s="21">
        <f t="shared" si="17"/>
        <v>0</v>
      </c>
      <c r="M192" s="78" t="s">
        <v>661</v>
      </c>
      <c r="P192" s="44"/>
      <c r="Q192" s="44"/>
      <c r="AC192" s="69"/>
      <c r="AD192" s="69"/>
      <c r="AE192" s="69"/>
      <c r="AF192" s="69"/>
      <c r="AG192" s="69"/>
    </row>
    <row r="193" spans="1:33" ht="12.75" hidden="1" customHeight="1" x14ac:dyDescent="0.15">
      <c r="A193" s="259">
        <v>60</v>
      </c>
      <c r="B193" s="340" t="s">
        <v>643</v>
      </c>
      <c r="C193" s="21" t="s">
        <v>547</v>
      </c>
      <c r="D193" s="104">
        <f>IF(ISERROR(HLOOKUP(J193,$Q$80:$W$81,2)),0,HLOOKUP(J193,$Q$80:$W$81,2))</f>
        <v>0</v>
      </c>
      <c r="E193" s="104">
        <f>IF(ISERROR(HLOOKUP(K193,$Q$80:$W$81,2)),0,HLOOKUP(K193,$Q$80:$W$81,2))</f>
        <v>0</v>
      </c>
      <c r="F193" s="104">
        <f>IF(ISERROR(HLOOKUP(L193,$Q$80:$W$81,2)),0,HLOOKUP(L193,$Q$80:$W$81,2))</f>
        <v>0</v>
      </c>
      <c r="G193" s="396">
        <f>SUM($F$30:$F$33)</f>
        <v>0</v>
      </c>
      <c r="H193" s="103">
        <f>SUM($F$30:$F$33)+$J$51</f>
        <v>0</v>
      </c>
      <c r="I193" s="103">
        <f>SUM($F$30:$F$33)+$J$51+$J$60</f>
        <v>0</v>
      </c>
      <c r="J193" s="21">
        <f t="shared" si="15"/>
        <v>0</v>
      </c>
      <c r="K193" s="21">
        <f t="shared" si="16"/>
        <v>0</v>
      </c>
      <c r="L193" s="21">
        <f t="shared" si="17"/>
        <v>0</v>
      </c>
      <c r="M193" s="78" t="s">
        <v>661</v>
      </c>
      <c r="P193" s="44"/>
      <c r="Q193" s="44"/>
      <c r="AC193" s="69"/>
      <c r="AD193" s="69"/>
      <c r="AE193" s="69"/>
      <c r="AF193" s="69"/>
      <c r="AG193" s="69"/>
    </row>
    <row r="194" spans="1:33" ht="12.75" hidden="1" customHeight="1" x14ac:dyDescent="0.15">
      <c r="A194" s="259">
        <v>61</v>
      </c>
      <c r="B194" s="340" t="s">
        <v>644</v>
      </c>
      <c r="C194" s="21" t="s">
        <v>613</v>
      </c>
      <c r="D194" s="104">
        <f>IF(ISERROR(HLOOKUP(J194,$Q$39:$AA$40,2)),0,HLOOKUP(J194,$Q$39:$AA$40,2))</f>
        <v>0</v>
      </c>
      <c r="E194" s="104">
        <f>IF(ISERROR(HLOOKUP(K194,$Q$39:$AA$40,2)),0,HLOOKUP(K194,$Q$39:$AA$40,2))</f>
        <v>0</v>
      </c>
      <c r="F194" s="104">
        <f>IF(ISERROR(HLOOKUP(L194,$Q$39:$AA$40,2)),0,HLOOKUP(L194,$Q$39:$AA$40,2))</f>
        <v>0</v>
      </c>
      <c r="G194" s="396">
        <f>SUM($F$27:$F$33)</f>
        <v>0</v>
      </c>
      <c r="H194" s="103">
        <f>SUM($F$27:$F$33)+$J$51</f>
        <v>0</v>
      </c>
      <c r="I194" s="103">
        <f>SUM($F$27:$F$33)+$J$51+$J$60</f>
        <v>0</v>
      </c>
      <c r="J194" s="21">
        <f t="shared" si="15"/>
        <v>0</v>
      </c>
      <c r="K194" s="21">
        <f t="shared" si="16"/>
        <v>0</v>
      </c>
      <c r="L194" s="21">
        <f t="shared" si="17"/>
        <v>0</v>
      </c>
      <c r="M194" s="78" t="s">
        <v>661</v>
      </c>
      <c r="P194" s="44"/>
      <c r="Q194" s="44"/>
      <c r="AC194" s="69"/>
      <c r="AD194" s="69"/>
      <c r="AE194" s="69"/>
      <c r="AF194" s="69"/>
      <c r="AG194" s="69"/>
    </row>
    <row r="195" spans="1:33" ht="12.75" hidden="1" customHeight="1" x14ac:dyDescent="0.15">
      <c r="A195" s="259">
        <v>62</v>
      </c>
      <c r="B195" s="345" t="s">
        <v>645</v>
      </c>
      <c r="C195" s="21" t="s">
        <v>527</v>
      </c>
      <c r="D195" s="104">
        <f>IF(ISERROR(HLOOKUP(J195,$Q$26:$AY$27,2)),0,HLOOKUP(J195,$Q$26:$AY$27,2))</f>
        <v>0</v>
      </c>
      <c r="E195" s="104">
        <f>IF(ISERROR(HLOOKUP(K195,$Q$26:$AY$27,2)),0,HLOOKUP(K195,$Q$26:$AY$27,2))</f>
        <v>0</v>
      </c>
      <c r="F195" s="104">
        <f>IF(ISERROR(HLOOKUP(L195,$Q$26:$AY$27,2)),0,HLOOKUP(L195,$Q$26:$AY$27,2))</f>
        <v>0</v>
      </c>
      <c r="G195" s="396">
        <f>SUM($F$30:$F$32)</f>
        <v>0</v>
      </c>
      <c r="H195" s="103">
        <f>SUM($F$27:$F$32)+$J$51</f>
        <v>0</v>
      </c>
      <c r="I195" s="103">
        <f>SUM($F$27:$F$32)+$J$51+$J$60</f>
        <v>0</v>
      </c>
      <c r="J195" s="21">
        <f t="shared" si="15"/>
        <v>0</v>
      </c>
      <c r="K195" s="21">
        <f t="shared" si="16"/>
        <v>0</v>
      </c>
      <c r="L195" s="21">
        <f t="shared" si="17"/>
        <v>0</v>
      </c>
      <c r="M195" s="346" t="s">
        <v>662</v>
      </c>
      <c r="P195" s="44"/>
      <c r="Q195" s="44"/>
      <c r="AC195" s="69"/>
      <c r="AD195" s="69"/>
      <c r="AE195" s="69"/>
      <c r="AF195" s="69"/>
      <c r="AG195" s="69"/>
    </row>
    <row r="196" spans="1:33" ht="12.75" hidden="1" customHeight="1" x14ac:dyDescent="0.15">
      <c r="A196" s="259">
        <v>63</v>
      </c>
      <c r="B196" s="345" t="s">
        <v>646</v>
      </c>
      <c r="C196" s="21"/>
      <c r="D196" s="54"/>
      <c r="E196" s="54"/>
      <c r="F196" s="54"/>
      <c r="G196" s="54"/>
      <c r="H196" s="54"/>
      <c r="I196" s="347"/>
      <c r="J196" s="21">
        <f t="shared" si="15"/>
        <v>0</v>
      </c>
      <c r="K196" s="21">
        <f t="shared" si="16"/>
        <v>0</v>
      </c>
      <c r="L196" s="21">
        <f t="shared" si="17"/>
        <v>0</v>
      </c>
      <c r="M196" s="346" t="s">
        <v>662</v>
      </c>
      <c r="P196" s="44"/>
      <c r="Q196" s="44"/>
      <c r="AC196" s="69"/>
      <c r="AD196" s="69"/>
      <c r="AE196" s="69"/>
      <c r="AF196" s="69"/>
      <c r="AG196" s="348"/>
    </row>
    <row r="197" spans="1:33" s="308" customFormat="1" ht="12.75" hidden="1" customHeight="1" x14ac:dyDescent="0.15">
      <c r="A197" s="304">
        <v>64</v>
      </c>
      <c r="B197" s="349" t="s">
        <v>647</v>
      </c>
      <c r="C197" s="308" t="s">
        <v>613</v>
      </c>
      <c r="D197" s="305">
        <f>IF(ISERROR(HLOOKUP(J197,$Q$48:$AB$49,2)),0,HLOOKUP(J197,$Q$48:$AB$49,2))</f>
        <v>0</v>
      </c>
      <c r="E197" s="305">
        <f>IF(ISERROR(HLOOKUP(K197,$Q$48:$AB$49,2)),0,HLOOKUP(K197,$Q$48:$AB$49,2))</f>
        <v>0</v>
      </c>
      <c r="F197" s="305">
        <f>IF(ISERROR(HLOOKUP(L197,$Q$48:$AB$49,2)),0,HLOOKUP(L197,$Q$48:$AB$49,2))</f>
        <v>0</v>
      </c>
      <c r="G197" s="350">
        <f>SUM($F$30:$F$33)+$O$197</f>
        <v>0</v>
      </c>
      <c r="H197" s="350">
        <f>$G$197+$J$51</f>
        <v>0</v>
      </c>
      <c r="I197" s="350">
        <f>$G$197+$J$51+$J$60</f>
        <v>0</v>
      </c>
      <c r="J197" s="351">
        <f t="shared" si="15"/>
        <v>0</v>
      </c>
      <c r="K197" s="351">
        <f t="shared" si="16"/>
        <v>0</v>
      </c>
      <c r="L197" s="351">
        <f t="shared" si="17"/>
        <v>0</v>
      </c>
      <c r="M197" s="352" t="s">
        <v>662</v>
      </c>
      <c r="N197" s="310">
        <f>SUM($F$27:$F$29)</f>
        <v>0</v>
      </c>
      <c r="O197" s="309">
        <f>IF($N$197&gt;365,365,$N$197)</f>
        <v>0</v>
      </c>
      <c r="P197" s="353"/>
      <c r="Q197" s="353"/>
      <c r="AC197" s="354"/>
      <c r="AD197" s="354"/>
      <c r="AE197" s="354"/>
      <c r="AF197" s="354"/>
      <c r="AG197" s="354"/>
    </row>
    <row r="198" spans="1:33" ht="12.75" hidden="1" customHeight="1" x14ac:dyDescent="0.15">
      <c r="A198" s="259">
        <v>65</v>
      </c>
      <c r="B198" s="345" t="s">
        <v>648</v>
      </c>
      <c r="C198" s="21" t="s">
        <v>547</v>
      </c>
      <c r="D198" s="104">
        <f>IF(ISERROR(HLOOKUP(J198,$Q$73:$AB$74,2)),0,HLOOKUP(J198,$Q$73:$AB$74,2))</f>
        <v>0</v>
      </c>
      <c r="E198" s="105">
        <f>IF(ISERROR(HLOOKUP(K198,$Q$73:$AB$74,2)),0,HLOOKUP(K198,$Q$73:$AB$74,2))</f>
        <v>0</v>
      </c>
      <c r="F198" s="106">
        <f>IF(ISERROR(HLOOKUP(L198,$Q$73:$AB$74,2)),0,HLOOKUP(L198,$Q$73:$AB$74,2))</f>
        <v>0</v>
      </c>
      <c r="G198" s="355">
        <f>SUM($F$27:$F$32)</f>
        <v>0</v>
      </c>
      <c r="H198" s="355">
        <f>SUM($F$27:$F$32)+$J$51</f>
        <v>0</v>
      </c>
      <c r="I198" s="355">
        <f>SUM($F$27:$F$32)+$J$51+$J$60</f>
        <v>0</v>
      </c>
      <c r="J198" s="21">
        <f t="shared" si="15"/>
        <v>0</v>
      </c>
      <c r="K198" s="21">
        <f t="shared" si="16"/>
        <v>0</v>
      </c>
      <c r="L198" s="21">
        <f t="shared" si="17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348"/>
    </row>
    <row r="199" spans="1:33" ht="12.75" hidden="1" customHeight="1" x14ac:dyDescent="0.15">
      <c r="A199" s="259">
        <v>66</v>
      </c>
      <c r="B199" s="345" t="s">
        <v>649</v>
      </c>
      <c r="C199" s="21" t="s">
        <v>613</v>
      </c>
      <c r="D199" s="104">
        <f>IF(ISERROR(HLOOKUP(J199,$Q$39:$Z$40,2)),0,HLOOKUP(J199,$Q$39:$Z$40,2))</f>
        <v>0</v>
      </c>
      <c r="E199" s="104">
        <f>IF(ISERROR(HLOOKUP(K199,$Q$39:$Z$40,2)),0,HLOOKUP(K199,$Q$39:$Z$40,2))</f>
        <v>0</v>
      </c>
      <c r="F199" s="104">
        <f>IF(ISERROR(HLOOKUP(L199,$Q$39:$Z$40,2)),0,HLOOKUP(L199,$Q$39:$Z$40,2))</f>
        <v>0</v>
      </c>
      <c r="G199" s="355">
        <f>SUM($F$30:$F$32)</f>
        <v>0</v>
      </c>
      <c r="H199" s="355">
        <f>SUM($F$30:$F$32)+$J$51</f>
        <v>0</v>
      </c>
      <c r="I199" s="355">
        <f>SUM($F$30:$F$32)+$J$51+$J$60</f>
        <v>0</v>
      </c>
      <c r="J199" s="356">
        <f t="shared" si="15"/>
        <v>0</v>
      </c>
      <c r="K199" s="356">
        <f t="shared" si="16"/>
        <v>0</v>
      </c>
      <c r="L199" s="356">
        <f t="shared" si="17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ht="12.75" hidden="1" customHeight="1" x14ac:dyDescent="0.15">
      <c r="A200" s="259">
        <v>67</v>
      </c>
      <c r="B200" s="345" t="s">
        <v>650</v>
      </c>
      <c r="C200" s="21" t="s">
        <v>613</v>
      </c>
      <c r="D200" s="104">
        <f>IF(ISERROR(HLOOKUP(J200,$Q$51:$Y$52,2)),0,HLOOKUP(J200,$Q$51:$Y$52,2))</f>
        <v>0</v>
      </c>
      <c r="E200" s="104">
        <f>IF(ISERROR(HLOOKUP(K200,$Q$51:$Y$52,2)),0,HLOOKUP(K200,$Q$51:$Y$52,2))</f>
        <v>0</v>
      </c>
      <c r="F200" s="104">
        <f>IF(ISERROR(HLOOKUP(L200,$Q$51:$Y$52,2)),0,HLOOKUP(L200,$Q$51:$Y$52,2))</f>
        <v>0</v>
      </c>
      <c r="G200" s="396">
        <f>SUM($F$30:$F$32)</f>
        <v>0</v>
      </c>
      <c r="H200" s="103">
        <f>SUM($F$30:$F$32)+$J$51</f>
        <v>0</v>
      </c>
      <c r="I200" s="103">
        <f>SUM($F$30:$F$32)+$J$51+$J$60</f>
        <v>0</v>
      </c>
      <c r="J200" s="21">
        <f t="shared" si="15"/>
        <v>0</v>
      </c>
      <c r="K200" s="21">
        <f t="shared" si="16"/>
        <v>0</v>
      </c>
      <c r="L200" s="21">
        <f t="shared" si="17"/>
        <v>0</v>
      </c>
      <c r="M200" s="346" t="s">
        <v>662</v>
      </c>
      <c r="P200" s="44"/>
      <c r="Q200" s="44"/>
      <c r="AC200" s="69"/>
      <c r="AD200" s="69"/>
      <c r="AE200" s="69"/>
      <c r="AF200" s="69"/>
      <c r="AG200" s="348"/>
    </row>
    <row r="201" spans="1:33" s="308" customFormat="1" ht="12.75" hidden="1" customHeight="1" x14ac:dyDescent="0.15">
      <c r="A201" s="304">
        <v>68</v>
      </c>
      <c r="B201" s="349" t="s">
        <v>651</v>
      </c>
      <c r="C201" s="308" t="s">
        <v>547</v>
      </c>
      <c r="D201" s="305">
        <f>IF(ISERROR(HLOOKUP(J201,$Q$73:$W$74,2)),0,HLOOKUP(J201,$Q$73:$W$74,2))</f>
        <v>0</v>
      </c>
      <c r="E201" s="305">
        <f>IF(ISERROR(HLOOKUP(K201,$Q$73:$W$74,2)),0,HLOOKUP(K201,$Q$73:$W$74,2))</f>
        <v>0</v>
      </c>
      <c r="F201" s="305">
        <f>IF(ISERROR(HLOOKUP(L201,$Q$73:$W$74,2)),0,HLOOKUP(L201,$Q$73:$W$74,2))</f>
        <v>0</v>
      </c>
      <c r="G201" s="350">
        <f>$N$201</f>
        <v>0</v>
      </c>
      <c r="H201" s="350">
        <f>$G$201+$J$51</f>
        <v>0</v>
      </c>
      <c r="I201" s="350">
        <f>$G$201+$J$51+$J$60</f>
        <v>0</v>
      </c>
      <c r="J201" s="308">
        <f t="shared" si="15"/>
        <v>0</v>
      </c>
      <c r="K201" s="308">
        <f t="shared" si="16"/>
        <v>0</v>
      </c>
      <c r="L201" s="308">
        <f t="shared" si="17"/>
        <v>0</v>
      </c>
      <c r="M201" s="352" t="s">
        <v>662</v>
      </c>
      <c r="N201" s="310">
        <f>SUM(F30:F32)</f>
        <v>0</v>
      </c>
      <c r="O201" s="309"/>
      <c r="P201" s="353"/>
      <c r="Q201" s="353"/>
      <c r="AC201" s="354"/>
      <c r="AD201" s="354"/>
      <c r="AE201" s="354"/>
      <c r="AF201" s="354"/>
      <c r="AG201" s="354"/>
    </row>
    <row r="202" spans="1:33" ht="12.75" hidden="1" customHeight="1" x14ac:dyDescent="0.15">
      <c r="A202" s="259">
        <v>69</v>
      </c>
      <c r="B202" s="345" t="s">
        <v>652</v>
      </c>
      <c r="C202" s="21" t="s">
        <v>613</v>
      </c>
      <c r="D202" s="104">
        <f>IF(ISERROR(HLOOKUP(J202,$Q$39:$Z$40,2)),0,HLOOKUP(J202,$Q$39:$Z$40,2))</f>
        <v>0</v>
      </c>
      <c r="E202" s="104">
        <f>IF(ISERROR(HLOOKUP(K202,$Q$39:$Z$40,2)),0,HLOOKUP(K202,$Q$39:$Z$40,2))</f>
        <v>0</v>
      </c>
      <c r="F202" s="104">
        <f>IF(ISERROR(HLOOKUP(L202,$Q$39:$Z$40,2)),0,HLOOKUP(L202,$Q$39:$Z$40,2))</f>
        <v>0</v>
      </c>
      <c r="G202" s="396">
        <f>SUM($F$30:$F$32)</f>
        <v>0</v>
      </c>
      <c r="H202" s="103">
        <f>SUM($F$30:$F$32)+$J$51</f>
        <v>0</v>
      </c>
      <c r="I202" s="103">
        <f>SUM($F$30:$F$32)+$J$51+$J$60</f>
        <v>0</v>
      </c>
      <c r="J202" s="21">
        <f t="shared" si="15"/>
        <v>0</v>
      </c>
      <c r="K202" s="21">
        <f t="shared" si="16"/>
        <v>0</v>
      </c>
      <c r="L202" s="21">
        <f t="shared" si="17"/>
        <v>0</v>
      </c>
      <c r="M202" s="346" t="s">
        <v>662</v>
      </c>
      <c r="P202" s="44"/>
      <c r="Q202" s="44"/>
      <c r="AC202" s="69"/>
      <c r="AD202" s="69"/>
      <c r="AE202" s="69"/>
      <c r="AF202" s="69"/>
      <c r="AG202" s="69"/>
    </row>
    <row r="203" spans="1:33" ht="13.5" hidden="1" x14ac:dyDescent="0.15">
      <c r="A203" s="259">
        <v>70</v>
      </c>
      <c r="B203" s="345" t="s">
        <v>653</v>
      </c>
      <c r="C203" s="21" t="s">
        <v>613</v>
      </c>
      <c r="D203" s="104">
        <f>IF(ISERROR(HLOOKUP(J203,$Q$48:$AB$49,2)),0,HLOOKUP(J203,$Q$48:$AB$49,2))</f>
        <v>0</v>
      </c>
      <c r="E203" s="104">
        <f>IF(ISERROR(HLOOKUP(K203,$Q$48:$AB$49,2)),0,HLOOKUP(K203,$Q$48:$AB$49,2))</f>
        <v>0</v>
      </c>
      <c r="F203" s="104">
        <f>IF(ISERROR(HLOOKUP(L203,$Q$48:$AB$49,2)),0,HLOOKUP(L203,$Q$48:$AB$49,2))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15"/>
        <v>0</v>
      </c>
      <c r="K203" s="21">
        <f t="shared" si="16"/>
        <v>0</v>
      </c>
      <c r="L203" s="21">
        <f t="shared" si="17"/>
        <v>0</v>
      </c>
      <c r="M203" s="346" t="s">
        <v>662</v>
      </c>
      <c r="P203" s="44"/>
      <c r="Q203" s="44"/>
    </row>
    <row r="204" spans="1:33" ht="13.5" hidden="1" x14ac:dyDescent="0.15">
      <c r="A204" s="259">
        <v>71</v>
      </c>
      <c r="B204" s="345" t="s">
        <v>654</v>
      </c>
      <c r="C204" s="21" t="s">
        <v>613</v>
      </c>
      <c r="D204" s="104">
        <f>IF(ISERROR(HLOOKUP(J204,$Q$48:$AA$49,2)),0,HLOOKUP(J204,$Q$48:$AA$49,2))</f>
        <v>0</v>
      </c>
      <c r="E204" s="104">
        <f>IF(ISERROR(HLOOKUP(K204,$Q$48:$AA$49,2)),0,HLOOKUP(K204,$Q$48:$AA$49,2))</f>
        <v>0</v>
      </c>
      <c r="F204" s="104">
        <f>IF(ISERROR(HLOOKUP(L204,$Q$48:$AA$49,2)),0,HLOOKUP(L204,$Q$48:$AA$49,2))</f>
        <v>0</v>
      </c>
      <c r="G204" s="396">
        <f>SUM($F$30:$F$32)</f>
        <v>0</v>
      </c>
      <c r="H204" s="103">
        <f>SUM($F$30:$F$32)+$J$51</f>
        <v>0</v>
      </c>
      <c r="I204" s="103">
        <f>SUM($F$30:$F$32)+$J$51+$J$60</f>
        <v>0</v>
      </c>
      <c r="J204" s="21">
        <f t="shared" si="15"/>
        <v>0</v>
      </c>
      <c r="K204" s="21">
        <f t="shared" si="16"/>
        <v>0</v>
      </c>
      <c r="L204" s="21">
        <f t="shared" si="17"/>
        <v>0</v>
      </c>
      <c r="M204" s="346" t="s">
        <v>662</v>
      </c>
      <c r="P204" s="44"/>
      <c r="Q204" s="44"/>
    </row>
    <row r="205" spans="1:33" ht="13.5" hidden="1" x14ac:dyDescent="0.15">
      <c r="A205" s="259">
        <v>72</v>
      </c>
      <c r="B205" s="345" t="s">
        <v>655</v>
      </c>
      <c r="C205" s="21" t="s">
        <v>527</v>
      </c>
      <c r="D205" s="104">
        <f>IF(ISERROR(HLOOKUP(J205,$Q$54:$AR$55,2)),0,HLOOKUP(J205,$Q$54:$AR$55,2))</f>
        <v>0</v>
      </c>
      <c r="E205" s="104">
        <f>IF(ISERROR(HLOOKUP(K205,$Q$54:$AR$55,2)),0,HLOOKUP(K205,$Q$54:$AR$55,2))</f>
        <v>0</v>
      </c>
      <c r="F205" s="104">
        <f>IF(ISERROR(HLOOKUP(L205,$Q$54:$AR$55,2)),0,HLOOKUP(L205,$Q$54:$AR$55,2))</f>
        <v>0</v>
      </c>
      <c r="G205" s="396">
        <f>SUM($F$27:$F$32)</f>
        <v>0</v>
      </c>
      <c r="H205" s="103">
        <f>SUM($F$27:$F$32)+$J$51</f>
        <v>0</v>
      </c>
      <c r="I205" s="103">
        <f>SUM($F$27:$F$32)+$J$51+$J$60</f>
        <v>0</v>
      </c>
      <c r="J205" s="21">
        <f t="shared" si="15"/>
        <v>0</v>
      </c>
      <c r="K205" s="21">
        <f t="shared" si="16"/>
        <v>0</v>
      </c>
      <c r="L205" s="21">
        <f t="shared" si="17"/>
        <v>0</v>
      </c>
      <c r="M205" s="346" t="s">
        <v>662</v>
      </c>
      <c r="P205" s="44"/>
      <c r="Q205" s="44"/>
    </row>
    <row r="206" spans="1:33" ht="13.5" hidden="1" x14ac:dyDescent="0.15">
      <c r="A206" s="259">
        <v>73</v>
      </c>
      <c r="B206" s="345" t="s">
        <v>663</v>
      </c>
      <c r="C206" s="21" t="s">
        <v>527</v>
      </c>
      <c r="D206" s="104">
        <f t="shared" ref="D206:F207" si="18">IF(ISERROR(HLOOKUP(J206,$Q$26:$AY$27,2)),0,HLOOKUP(J206,$Q$26:$AY$27,2))</f>
        <v>0</v>
      </c>
      <c r="E206" s="104">
        <f t="shared" si="18"/>
        <v>0</v>
      </c>
      <c r="F206" s="104">
        <f t="shared" si="18"/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15"/>
        <v>0</v>
      </c>
      <c r="K206" s="21">
        <f t="shared" si="16"/>
        <v>0</v>
      </c>
      <c r="L206" s="21">
        <f t="shared" si="17"/>
        <v>0</v>
      </c>
      <c r="M206" s="346" t="s">
        <v>662</v>
      </c>
      <c r="P206" s="44"/>
      <c r="Q206" s="44"/>
    </row>
    <row r="207" spans="1:33" ht="13.5" hidden="1" x14ac:dyDescent="0.15">
      <c r="A207" s="259">
        <v>74</v>
      </c>
      <c r="B207" s="345" t="s">
        <v>664</v>
      </c>
      <c r="C207" s="21" t="s">
        <v>527</v>
      </c>
      <c r="D207" s="104">
        <f t="shared" si="18"/>
        <v>0</v>
      </c>
      <c r="E207" s="104">
        <f t="shared" si="18"/>
        <v>0</v>
      </c>
      <c r="F207" s="104">
        <f t="shared" si="18"/>
        <v>0</v>
      </c>
      <c r="G207" s="396">
        <f>SUM($F$30:$F$32)</f>
        <v>0</v>
      </c>
      <c r="H207" s="103">
        <f>SUM($F$30:$F$32)+$J$51</f>
        <v>0</v>
      </c>
      <c r="I207" s="103">
        <f>SUM($F$30:$F$32)+$J$51+$J$60</f>
        <v>0</v>
      </c>
      <c r="J207" s="21">
        <f t="shared" si="15"/>
        <v>0</v>
      </c>
      <c r="K207" s="21">
        <f t="shared" si="16"/>
        <v>0</v>
      </c>
      <c r="L207" s="21">
        <f t="shared" si="17"/>
        <v>0</v>
      </c>
      <c r="M207" s="346" t="s">
        <v>662</v>
      </c>
      <c r="P207" s="44"/>
      <c r="Q207" s="44"/>
    </row>
    <row r="208" spans="1:33" ht="13.5" hidden="1" x14ac:dyDescent="0.15">
      <c r="A208" s="259">
        <v>75</v>
      </c>
      <c r="B208" s="345" t="s">
        <v>665</v>
      </c>
      <c r="C208" s="21" t="s">
        <v>547</v>
      </c>
      <c r="D208" s="104">
        <f>IF(ISERROR(HLOOKUP(J208,$Q$73:$W$74,2)),0,HLOOKUP(J208,$Q$73:$W$74,2))</f>
        <v>0</v>
      </c>
      <c r="E208" s="104">
        <f>IF(ISERROR(HLOOKUP(K208,$Q$73:$W$74,2)),0,HLOOKUP(K208,$Q$73:$W$74,2))</f>
        <v>0</v>
      </c>
      <c r="F208" s="104">
        <f>IF(ISERROR(HLOOKUP(L208,$Q$73:$W$74,2)),0,HLOOKUP(L208,$Q$73:$W$74,2))</f>
        <v>0</v>
      </c>
      <c r="G208" s="396">
        <f>SUM($F$27:$F$32)</f>
        <v>0</v>
      </c>
      <c r="H208" s="103">
        <f>SUM($F$27:$F$32)+$J$51</f>
        <v>0</v>
      </c>
      <c r="I208" s="103">
        <f>SUM($F$27:$F$32)+$J$51+$J$60</f>
        <v>0</v>
      </c>
      <c r="J208" s="21">
        <f t="shared" si="15"/>
        <v>0</v>
      </c>
      <c r="K208" s="21">
        <f t="shared" si="16"/>
        <v>0</v>
      </c>
      <c r="L208" s="21">
        <f t="shared" si="17"/>
        <v>0</v>
      </c>
      <c r="M208" s="346" t="s">
        <v>662</v>
      </c>
      <c r="P208" s="44"/>
      <c r="Q208" s="44"/>
    </row>
    <row r="209" spans="1:32" ht="13.5" hidden="1" x14ac:dyDescent="0.15">
      <c r="A209" s="259">
        <v>76</v>
      </c>
      <c r="B209" s="345" t="s">
        <v>689</v>
      </c>
      <c r="C209" s="21" t="s">
        <v>613</v>
      </c>
      <c r="D209" s="104">
        <f>IF(ISERROR(HLOOKUP(J209,$Q$48:$AB$49,2)),0,HLOOKUP(J209,$Q$48:$AB$49,2))</f>
        <v>0</v>
      </c>
      <c r="E209" s="104">
        <f>IF(ISERROR(HLOOKUP(K209,$Q$48:$AB$49,2)),0,HLOOKUP(K209,$Q$48:$AB$49,2))</f>
        <v>0</v>
      </c>
      <c r="F209" s="104">
        <f>IF(ISERROR(HLOOKUP(L209,$Q$48:$AB$49,2)),0,HLOOKUP(L209,$Q$48:$AB$49,2))</f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15"/>
        <v>0</v>
      </c>
      <c r="K209" s="21">
        <f t="shared" si="16"/>
        <v>0</v>
      </c>
      <c r="L209" s="21">
        <f t="shared" si="17"/>
        <v>0</v>
      </c>
      <c r="M209" s="346" t="s">
        <v>662</v>
      </c>
      <c r="P209" s="44"/>
      <c r="Q209" s="44"/>
    </row>
    <row r="210" spans="1:32" ht="13.5" hidden="1" x14ac:dyDescent="0.15">
      <c r="A210" s="259">
        <v>77</v>
      </c>
      <c r="B210" s="345" t="s">
        <v>666</v>
      </c>
      <c r="C210" s="21" t="s">
        <v>613</v>
      </c>
      <c r="D210" s="104">
        <f>IF(ISERROR(HLOOKUP(J210,$Q$48:$AA$49,2)),0,HLOOKUP(J210,$Q$48:$AA$49,2))</f>
        <v>0</v>
      </c>
      <c r="E210" s="104">
        <f>IF(ISERROR(HLOOKUP(K210,$Q$48:$AA$49,2)),0,HLOOKUP(K210,$Q$48:$AA$49,2))</f>
        <v>0</v>
      </c>
      <c r="F210" s="104">
        <f>IF(ISERROR(HLOOKUP(L210,$Q$48:$AA$49,2)),0,HLOOKUP(L210,$Q$48:$AA$49,2))</f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15"/>
        <v>0</v>
      </c>
      <c r="K210" s="21">
        <f t="shared" si="16"/>
        <v>0</v>
      </c>
      <c r="L210" s="21">
        <f t="shared" si="17"/>
        <v>0</v>
      </c>
      <c r="M210" s="346" t="s">
        <v>662</v>
      </c>
      <c r="P210" s="44"/>
      <c r="Q210" s="44"/>
    </row>
    <row r="211" spans="1:32" ht="13.5" hidden="1" x14ac:dyDescent="0.15">
      <c r="A211" s="259">
        <v>78</v>
      </c>
      <c r="B211" s="345" t="s">
        <v>667</v>
      </c>
      <c r="C211" s="21" t="s">
        <v>613</v>
      </c>
      <c r="D211" s="104">
        <f>IF(ISERROR(HLOOKUP(J211,$Q$57:$AA$58,2)),0,HLOOKUP(J211,$Q$57:$AA$58,2))</f>
        <v>0</v>
      </c>
      <c r="E211" s="104">
        <f>IF(ISERROR(HLOOKUP(K211,$Q$57:$AA$58,2)),0,HLOOKUP(K211,$Q$57:$AA$58,2))</f>
        <v>0</v>
      </c>
      <c r="F211" s="104">
        <f>IF(ISERROR(HLOOKUP(L211,$Q$57:$AA$58,2)),0,HLOOKUP(L211,$Q$57:$AA$58,2))</f>
        <v>0</v>
      </c>
      <c r="G211" s="396">
        <f>SUM($F$29:$F$32)</f>
        <v>0</v>
      </c>
      <c r="H211" s="103">
        <f>SUM($F$29:$F$32)+$J$51</f>
        <v>0</v>
      </c>
      <c r="I211" s="103">
        <f>SUM($F$29:$F$32)+$J$51+$J$60</f>
        <v>0</v>
      </c>
      <c r="J211" s="21">
        <f t="shared" si="15"/>
        <v>0</v>
      </c>
      <c r="K211" s="21">
        <f t="shared" si="16"/>
        <v>0</v>
      </c>
      <c r="L211" s="21">
        <f t="shared" si="17"/>
        <v>0</v>
      </c>
      <c r="M211" s="346" t="s">
        <v>662</v>
      </c>
      <c r="P211" s="44"/>
      <c r="Q211" s="44"/>
    </row>
    <row r="212" spans="1:32" s="308" customFormat="1" ht="13.5" hidden="1" x14ac:dyDescent="0.15">
      <c r="A212" s="304">
        <v>79</v>
      </c>
      <c r="B212" s="349" t="s">
        <v>668</v>
      </c>
      <c r="C212" s="308" t="s">
        <v>613</v>
      </c>
      <c r="D212" s="305">
        <f>IF(ISERROR(HLOOKUP(J212,$Q$39:$AA$40,2)),0,HLOOKUP(J212,$Q$39:$AA$40,2))</f>
        <v>0</v>
      </c>
      <c r="E212" s="305">
        <f>IF(ISERROR(HLOOKUP(K212,$Q$39:$AA$40,2)),0,HLOOKUP(K212,$Q$39:$AA$40,2))</f>
        <v>0</v>
      </c>
      <c r="F212" s="305">
        <f>IF(ISERROR(HLOOKUP(L212,$Q$39:$AA$40,2)),0,HLOOKUP(L212,$Q$39:$AA$40,2))</f>
        <v>0</v>
      </c>
      <c r="G212" s="399">
        <f>$N$212+$F$33</f>
        <v>0</v>
      </c>
      <c r="H212" s="307">
        <f>$G$212+$J$51</f>
        <v>0</v>
      </c>
      <c r="I212" s="307">
        <f>$N$212+$J$51+$J$60</f>
        <v>0</v>
      </c>
      <c r="J212" s="308">
        <f t="shared" si="15"/>
        <v>0</v>
      </c>
      <c r="K212" s="308">
        <f t="shared" si="16"/>
        <v>0</v>
      </c>
      <c r="L212" s="308">
        <f t="shared" si="17"/>
        <v>0</v>
      </c>
      <c r="M212" s="352" t="s">
        <v>662</v>
      </c>
      <c r="N212" s="308">
        <f>IF($C$30&gt;=$A$36,$E$30-$C$30+1,IF($C$31&gt;=$A$36,$E$31-$C$31+1,IF($C$32&gt;=$A$36,$E$32-$C$32+1,IF($E$30&lt;&gt;0,$E$30-$A$36+1,IF($E$31&lt;&gt;0,$E$31-$A$36+1,IF($E$32&lt;&gt;0,$E$32-$A$36+1,0))))))</f>
        <v>0</v>
      </c>
      <c r="O212" s="309"/>
      <c r="P212" s="353"/>
      <c r="Q212" s="353"/>
      <c r="AD212" s="310"/>
      <c r="AE212" s="310"/>
      <c r="AF212" s="310"/>
    </row>
    <row r="213" spans="1:32" ht="13.5" hidden="1" x14ac:dyDescent="0.15">
      <c r="A213" s="259">
        <v>80</v>
      </c>
      <c r="B213" s="345" t="s">
        <v>669</v>
      </c>
      <c r="C213" s="21" t="s">
        <v>547</v>
      </c>
      <c r="D213" s="104">
        <f>IF(ISERROR(HLOOKUP(J213,$Q$73:$V$74,2)),0,HLOOKUP(J213,$Q$73:$V$74,2))</f>
        <v>0</v>
      </c>
      <c r="E213" s="104">
        <f>IF(ISERROR(HLOOKUP(K213,$Q$73:$V$74,2)),0,HLOOKUP(K213,$Q$73:$V$74,2))</f>
        <v>0</v>
      </c>
      <c r="F213" s="104">
        <f>IF(ISERROR(HLOOKUP(L213,$Q$73:$V$74,2)),0,HLOOKUP(L213,$Q$73:$V$74,2))</f>
        <v>0</v>
      </c>
      <c r="G213" s="396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15"/>
        <v>0</v>
      </c>
      <c r="K213" s="21">
        <f t="shared" si="16"/>
        <v>0</v>
      </c>
      <c r="L213" s="21">
        <f t="shared" si="17"/>
        <v>0</v>
      </c>
      <c r="M213" s="346" t="s">
        <v>662</v>
      </c>
      <c r="P213" s="44"/>
      <c r="Q213" s="44"/>
    </row>
    <row r="214" spans="1:32" ht="13.5" hidden="1" x14ac:dyDescent="0.15">
      <c r="A214" s="259" t="s">
        <v>703</v>
      </c>
      <c r="B214" s="345" t="s">
        <v>701</v>
      </c>
      <c r="C214" s="21" t="s">
        <v>702</v>
      </c>
      <c r="D214" s="148">
        <f>IF(J214&lt;=10,0.1,IF(J214&lt;=20,0.2,0.3))</f>
        <v>0.1</v>
      </c>
      <c r="E214" s="148">
        <f>IF(K214&lt;=10,0.1,IF(K214&lt;=20,0.2,0.3))</f>
        <v>0.1</v>
      </c>
      <c r="F214" s="148">
        <f>IF(L214&lt;=10,0.1,IF(L214&lt;=20,0.2,0.3))</f>
        <v>0.1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15"/>
        <v>0</v>
      </c>
      <c r="K214" s="21">
        <f t="shared" si="16"/>
        <v>0</v>
      </c>
      <c r="L214" s="21">
        <f t="shared" si="17"/>
        <v>0</v>
      </c>
      <c r="M214" s="346" t="s">
        <v>662</v>
      </c>
      <c r="P214" s="44"/>
      <c r="Q214" s="44"/>
    </row>
    <row r="215" spans="1:32" ht="13.5" hidden="1" x14ac:dyDescent="0.15">
      <c r="A215" s="259">
        <v>81</v>
      </c>
      <c r="B215" s="345" t="s">
        <v>670</v>
      </c>
      <c r="C215" s="21" t="s">
        <v>547</v>
      </c>
      <c r="D215" s="104">
        <f>IF(ISERROR(HLOOKUP(J215,$Q$73:$W$74,2)),0,HLOOKUP(J215,$Q$73:$W$74,2))</f>
        <v>0</v>
      </c>
      <c r="E215" s="104">
        <f>IF(ISERROR(HLOOKUP(K215,$Q$73:$W$74,2)),0,HLOOKUP(K215,$Q$73:$W$74,2))</f>
        <v>0</v>
      </c>
      <c r="F215" s="104">
        <f>IF(ISERROR(HLOOKUP(L215,$Q$73:$W$74,2)),0,HLOOKUP(L215,$Q$73:$W$74,2))</f>
        <v>0</v>
      </c>
      <c r="G215" s="396">
        <f>SUM($F$27:$F$33)</f>
        <v>0</v>
      </c>
      <c r="H215" s="103">
        <f>SUM($F$27:$F$33)+$J$51</f>
        <v>0</v>
      </c>
      <c r="I215" s="103">
        <f>SUM($F$27:$F$33)+$J$51+$J$60</f>
        <v>0</v>
      </c>
      <c r="J215" s="21">
        <f t="shared" si="15"/>
        <v>0</v>
      </c>
      <c r="K215" s="21">
        <f t="shared" si="16"/>
        <v>0</v>
      </c>
      <c r="L215" s="21">
        <f t="shared" si="17"/>
        <v>0</v>
      </c>
      <c r="M215" s="346" t="s">
        <v>662</v>
      </c>
      <c r="P215" s="44"/>
      <c r="Q215" s="44"/>
    </row>
    <row r="216" spans="1:32" ht="13.5" hidden="1" x14ac:dyDescent="0.15">
      <c r="A216" s="259">
        <v>82</v>
      </c>
      <c r="B216" s="345" t="s">
        <v>671</v>
      </c>
      <c r="C216" s="21" t="s">
        <v>613</v>
      </c>
      <c r="D216" s="104">
        <f>IF(ISERROR(HLOOKUP(J216,$Q$42:$AA$43,2)),0,HLOOKUP(J216,$Q$42:$AA$43,2))</f>
        <v>0</v>
      </c>
      <c r="E216" s="104">
        <f>IF(ISERROR(HLOOKUP(K216,$Q$42:$AA$43,2)),0,HLOOKUP(K216,$Q$42:$AA$43,2))</f>
        <v>0</v>
      </c>
      <c r="F216" s="104">
        <f>IF(ISERROR(HLOOKUP(L216,$Q$42:$AA$43,2)),0,HLOOKUP(L216,$Q$42:$AA$43,2))</f>
        <v>0</v>
      </c>
      <c r="G216" s="396">
        <f>SUM($F$30:$F$32)</f>
        <v>0</v>
      </c>
      <c r="H216" s="103">
        <f>SUM($F$30:$F$32)+$J$51</f>
        <v>0</v>
      </c>
      <c r="I216" s="103">
        <f>SUM($F$30:$F$32)+$J$51+$J$60</f>
        <v>0</v>
      </c>
      <c r="J216" s="21">
        <f t="shared" si="15"/>
        <v>0</v>
      </c>
      <c r="K216" s="21">
        <f t="shared" si="16"/>
        <v>0</v>
      </c>
      <c r="L216" s="21">
        <f t="shared" si="17"/>
        <v>0</v>
      </c>
      <c r="M216" s="346" t="s">
        <v>662</v>
      </c>
      <c r="P216" s="44"/>
      <c r="Q216" s="44"/>
    </row>
    <row r="217" spans="1:32" ht="13.5" hidden="1" x14ac:dyDescent="0.15">
      <c r="A217" s="259">
        <v>83</v>
      </c>
      <c r="B217" s="345" t="s">
        <v>672</v>
      </c>
      <c r="C217" s="21"/>
      <c r="E217" s="40"/>
      <c r="J217" s="21">
        <f t="shared" si="15"/>
        <v>0</v>
      </c>
      <c r="K217" s="21">
        <f t="shared" si="16"/>
        <v>0</v>
      </c>
      <c r="L217" s="21">
        <f t="shared" si="17"/>
        <v>0</v>
      </c>
      <c r="M217" s="346" t="s">
        <v>662</v>
      </c>
      <c r="P217" s="44"/>
      <c r="Q217" s="44"/>
    </row>
    <row r="218" spans="1:32" ht="13.5" hidden="1" x14ac:dyDescent="0.15">
      <c r="A218" s="259">
        <v>84</v>
      </c>
      <c r="B218" s="108" t="s">
        <v>673</v>
      </c>
      <c r="C218" s="21" t="s">
        <v>613</v>
      </c>
      <c r="D218" s="104">
        <f>IF(ISERROR(HLOOKUP(J218,$Q$48:$AB$49,2)),0,HLOOKUP(J218,$Q$48:$AB$49,2))</f>
        <v>0</v>
      </c>
      <c r="E218" s="104">
        <f>IF(ISERROR(HLOOKUP(K218,$Q$48:$AB$49,2)),0,HLOOKUP(K218,$Q$48:$AB$49,2))</f>
        <v>0</v>
      </c>
      <c r="F218" s="104">
        <f>IF(ISERROR(HLOOKUP(L218,$Q$48:$AB$49,2)),0,HLOOKUP(L218,$Q$48:$AB$49,2))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15"/>
        <v>0</v>
      </c>
      <c r="K218" s="21">
        <f t="shared" si="16"/>
        <v>0</v>
      </c>
      <c r="L218" s="21">
        <f t="shared" si="17"/>
        <v>0</v>
      </c>
      <c r="M218" s="346" t="s">
        <v>662</v>
      </c>
      <c r="N218" s="104">
        <f>IF(ISERROR(HLOOKUP(L218,$Q$48:$AB$49,2)),0,HLOOKUP(L218,$Q$48:$AB$49,2))</f>
        <v>0</v>
      </c>
      <c r="P218" s="44"/>
      <c r="Q218" s="44"/>
    </row>
    <row r="219" spans="1:32" ht="13.5" hidden="1" x14ac:dyDescent="0.15">
      <c r="A219" s="259">
        <v>85</v>
      </c>
      <c r="B219" s="108" t="s">
        <v>674</v>
      </c>
      <c r="C219" s="21" t="s">
        <v>527</v>
      </c>
      <c r="D219" s="104">
        <f>IF(ISERROR(HLOOKUP(J219,$Q$35:$AY$36,2)),0,HLOOKUP(J219,$Q$35:$AY$36,2))</f>
        <v>0</v>
      </c>
      <c r="E219" s="104">
        <f>IF(ISERROR(HLOOKUP(K219,$Q$35:$AY$36,2)),0,HLOOKUP(K219,$Q$35:$AY$36,2))</f>
        <v>0</v>
      </c>
      <c r="F219" s="104">
        <f>IF(ISERROR(HLOOKUP(L219,$Q$35:$AY$36,2)),0,HLOOKUP(L219,$Q$35:$AY$36,2))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ref="J219:J226" si="19">ROUNDDOWN(G219/365,0)</f>
        <v>0</v>
      </c>
      <c r="K219" s="21">
        <f t="shared" ref="K219:K226" si="20">ROUNDDOWN(H219/365,0)</f>
        <v>0</v>
      </c>
      <c r="L219" s="21">
        <f t="shared" ref="L219:L226" si="21">ROUNDDOWN(I219/365,0)</f>
        <v>0</v>
      </c>
      <c r="M219" s="346" t="s">
        <v>662</v>
      </c>
      <c r="P219" s="44"/>
      <c r="Q219" s="44"/>
    </row>
    <row r="220" spans="1:32" ht="13.5" hidden="1" x14ac:dyDescent="0.15">
      <c r="A220" s="259">
        <v>86</v>
      </c>
      <c r="B220" s="108" t="s">
        <v>675</v>
      </c>
      <c r="C220" s="21" t="s">
        <v>613</v>
      </c>
      <c r="D220" s="104">
        <f>IF(ISERROR(HLOOKUP(J220,$Q$60:$AC$61,2)),0,HLOOKUP(J220,$Q$60:$AC$61,2))</f>
        <v>0</v>
      </c>
      <c r="E220" s="104">
        <f>IF(ISERROR(HLOOKUP(K220,$Q$60:$AC$61,2)),0,HLOOKUP(K220,$Q$60:$AC$61,2))</f>
        <v>0</v>
      </c>
      <c r="F220" s="104">
        <f>IF(ISERROR(HLOOKUP(L220,$Q$60:$AC$61,2)),0,HLOOKUP(L220,$Q$60:$AC$61,2))</f>
        <v>0</v>
      </c>
      <c r="G220" s="396">
        <f>SUM($F$30:$F$32)</f>
        <v>0</v>
      </c>
      <c r="H220" s="103">
        <f>SUM($F$30:$F$32)+$J$51</f>
        <v>0</v>
      </c>
      <c r="I220" s="103">
        <f>SUM($F$30:$F$32)+$J$51+$J$60</f>
        <v>0</v>
      </c>
      <c r="J220" s="21">
        <f t="shared" si="19"/>
        <v>0</v>
      </c>
      <c r="K220" s="21">
        <f t="shared" si="20"/>
        <v>0</v>
      </c>
      <c r="L220" s="21">
        <f t="shared" si="21"/>
        <v>0</v>
      </c>
      <c r="M220" s="346" t="s">
        <v>662</v>
      </c>
      <c r="P220" s="44"/>
      <c r="Q220" s="44"/>
    </row>
    <row r="221" spans="1:32" ht="13.5" hidden="1" x14ac:dyDescent="0.15">
      <c r="A221" s="259">
        <v>87</v>
      </c>
      <c r="B221" s="108" t="s">
        <v>677</v>
      </c>
      <c r="C221" s="21"/>
      <c r="D221" s="21"/>
      <c r="J221" s="21">
        <f t="shared" si="19"/>
        <v>0</v>
      </c>
      <c r="K221" s="21">
        <f t="shared" si="20"/>
        <v>0</v>
      </c>
      <c r="L221" s="21">
        <f t="shared" si="21"/>
        <v>0</v>
      </c>
      <c r="M221" s="346" t="s">
        <v>662</v>
      </c>
      <c r="P221" s="44"/>
      <c r="Q221" s="44"/>
    </row>
    <row r="222" spans="1:32" ht="13.5" hidden="1" x14ac:dyDescent="0.15">
      <c r="A222" s="259">
        <v>88</v>
      </c>
      <c r="B222" s="108" t="s">
        <v>678</v>
      </c>
      <c r="C222" s="21" t="s">
        <v>613</v>
      </c>
      <c r="D222" s="104">
        <f>IF(ISERROR(HLOOKUP(J222,$Q$39:$AA$40,2)),0,HLOOKUP(J222,$Q$39:$AA$40,2))</f>
        <v>0</v>
      </c>
      <c r="E222" s="104">
        <f>IF(ISERROR(HLOOKUP(K222,$Q$39:$AA$40,2)),0,HLOOKUP(K222,$Q$39:$AA$40,2))</f>
        <v>0</v>
      </c>
      <c r="F222" s="104">
        <f>IF(ISERROR(HLOOKUP(L222,$Q$39:$AA$40,2)),0,HLOOKUP(L222,$Q$39:$AA$40,2))</f>
        <v>0</v>
      </c>
      <c r="G222" s="396">
        <f>SUM($F$27:$F$32)</f>
        <v>0</v>
      </c>
      <c r="H222" s="103">
        <f>SUM($F$27:$F$32)+$J$51</f>
        <v>0</v>
      </c>
      <c r="I222" s="103">
        <f>SUM($F$27:$F$32)+$J$51+$J$60</f>
        <v>0</v>
      </c>
      <c r="J222" s="21">
        <f t="shared" si="19"/>
        <v>0</v>
      </c>
      <c r="K222" s="21">
        <f t="shared" si="20"/>
        <v>0</v>
      </c>
      <c r="L222" s="21">
        <f t="shared" si="21"/>
        <v>0</v>
      </c>
      <c r="M222" s="346" t="s">
        <v>662</v>
      </c>
      <c r="P222" s="44"/>
      <c r="Q222" s="44"/>
    </row>
    <row r="223" spans="1:32" ht="13.5" hidden="1" x14ac:dyDescent="0.15">
      <c r="A223" s="259">
        <v>89</v>
      </c>
      <c r="B223" s="108" t="s">
        <v>679</v>
      </c>
      <c r="C223" s="21" t="s">
        <v>613</v>
      </c>
      <c r="D223" s="104">
        <f>IF(ISERROR(HLOOKUP(J223,$Q$48:$V$49,2)),0,HLOOKUP(J223,$Q$48:$V$49,2))</f>
        <v>0</v>
      </c>
      <c r="E223" s="104">
        <f>IF(ISERROR(HLOOKUP(K223,$Q$48:$V$49,2)),0,HLOOKUP(K223,$Q$48:$V$49,2))</f>
        <v>0</v>
      </c>
      <c r="F223" s="104">
        <f>IF(ISERROR(HLOOKUP(L223,$Q$48:$V$49,2)),0,HLOOKUP(L223,$Q$48:$V$49,2))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19"/>
        <v>0</v>
      </c>
      <c r="K223" s="21">
        <f t="shared" si="20"/>
        <v>0</v>
      </c>
      <c r="L223" s="21">
        <f t="shared" si="21"/>
        <v>0</v>
      </c>
      <c r="M223" s="346" t="s">
        <v>662</v>
      </c>
      <c r="P223" s="44"/>
      <c r="Q223" s="44"/>
    </row>
    <row r="224" spans="1:32" ht="13.5" hidden="1" x14ac:dyDescent="0.15">
      <c r="A224" s="259">
        <v>90</v>
      </c>
      <c r="B224" s="108" t="s">
        <v>680</v>
      </c>
      <c r="C224" s="21" t="s">
        <v>527</v>
      </c>
      <c r="D224" s="104">
        <f>IF(ISERROR(HLOOKUP(J224,$Q$26:$AY$27,2)),0,HLOOKUP(J224,$Q$26:$AY$27,2))</f>
        <v>0</v>
      </c>
      <c r="E224" s="104">
        <f>IF(ISERROR(HLOOKUP(K224,$Q$26:$AY$27,2)),0,HLOOKUP(K224,$Q$26:$AY$27,2))</f>
        <v>0</v>
      </c>
      <c r="F224" s="104">
        <f>IF(ISERROR(HLOOKUP(L224,$Q$26:$AY$27,2)),0,HLOOKUP(L224,$Q$26:$AY$27,2))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19"/>
        <v>0</v>
      </c>
      <c r="K224" s="21">
        <f t="shared" si="20"/>
        <v>0</v>
      </c>
      <c r="L224" s="21">
        <f t="shared" si="21"/>
        <v>0</v>
      </c>
      <c r="M224" s="346" t="s">
        <v>662</v>
      </c>
      <c r="P224" s="44"/>
      <c r="Q224" s="44"/>
    </row>
    <row r="225" spans="1:40" ht="13.5" hidden="1" x14ac:dyDescent="0.15">
      <c r="A225" s="259">
        <v>91</v>
      </c>
      <c r="B225" s="108" t="s">
        <v>681</v>
      </c>
      <c r="C225" s="21" t="s">
        <v>613</v>
      </c>
      <c r="D225" s="104">
        <f>IF(ISERROR(HLOOKUP(J225,$Q$42:$AA$43,2)),0,HLOOKUP(J225,$Q$42:$AA$43,2))</f>
        <v>0</v>
      </c>
      <c r="E225" s="104">
        <f>IF(ISERROR(HLOOKUP(K225,$Q$42:$AA$43,2)),0,HLOOKUP(K225,$Q$42:$AA$43,2))</f>
        <v>0</v>
      </c>
      <c r="F225" s="104">
        <f>IF(ISERROR(HLOOKUP(L225,$Q$42:$AA$43,2)),0,HLOOKUP(L225,$Q$42:$AA$43,2))</f>
        <v>0</v>
      </c>
      <c r="G225" s="396">
        <f>SUM($F$30:$F$32)</f>
        <v>0</v>
      </c>
      <c r="H225" s="103">
        <f>SUM($F$30:$F$32)+$J$51</f>
        <v>0</v>
      </c>
      <c r="I225" s="103">
        <f>SUM($F$30:$F$32)+$J$51+$J$60</f>
        <v>0</v>
      </c>
      <c r="J225" s="21">
        <f t="shared" si="19"/>
        <v>0</v>
      </c>
      <c r="K225" s="21">
        <f t="shared" si="20"/>
        <v>0</v>
      </c>
      <c r="L225" s="21">
        <f t="shared" si="21"/>
        <v>0</v>
      </c>
      <c r="M225" s="346" t="s">
        <v>662</v>
      </c>
      <c r="P225" s="44"/>
      <c r="Q225" s="44"/>
    </row>
    <row r="226" spans="1:40" ht="13.5" hidden="1" x14ac:dyDescent="0.15">
      <c r="A226" s="259">
        <v>92</v>
      </c>
      <c r="B226" s="108" t="s">
        <v>682</v>
      </c>
      <c r="C226" s="21" t="s">
        <v>613</v>
      </c>
      <c r="D226" s="104">
        <f>IF(ISERROR(HLOOKUP(J226,$Q$42:$Z$43,2)),0,HLOOKUP(J226,$Q$42:$Z$43,2))</f>
        <v>0</v>
      </c>
      <c r="E226" s="104">
        <f>IF(ISERROR(HLOOKUP(K226,$Q$42:$Z$43,2)),0,HLOOKUP(K226,$Q$42:$Z$43,2))</f>
        <v>0</v>
      </c>
      <c r="F226" s="104">
        <f>IF(ISERROR(HLOOKUP(L226,$Q$42:$Z$43,2)),0,HLOOKUP(L226,$Q$42:$Z$43,2))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19"/>
        <v>0</v>
      </c>
      <c r="K226" s="21">
        <f t="shared" si="20"/>
        <v>0</v>
      </c>
      <c r="L226" s="21">
        <f t="shared" si="21"/>
        <v>0</v>
      </c>
      <c r="M226" s="346" t="s">
        <v>662</v>
      </c>
      <c r="P226" s="44"/>
      <c r="Q226" s="44"/>
    </row>
    <row r="227" spans="1:40" ht="13.5" hidden="1" x14ac:dyDescent="0.15">
      <c r="B227" s="10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357"/>
      <c r="N227" s="54"/>
      <c r="O227" s="258"/>
      <c r="P227" s="44"/>
      <c r="Q227" s="44"/>
    </row>
    <row r="228" spans="1:40" ht="13.5" hidden="1" x14ac:dyDescent="0.15">
      <c r="B228" s="248" t="s">
        <v>720</v>
      </c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258"/>
    </row>
    <row r="229" spans="1:40" ht="13.5" hidden="1" x14ac:dyDescent="0.15">
      <c r="A229" s="259">
        <v>1</v>
      </c>
      <c r="B229" s="51" t="s">
        <v>550</v>
      </c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258"/>
    </row>
    <row r="230" spans="1:40" ht="13.5" hidden="1" x14ac:dyDescent="0.15">
      <c r="A230" s="259" t="s">
        <v>721</v>
      </c>
      <c r="B230" s="51" t="s">
        <v>615</v>
      </c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58"/>
    </row>
    <row r="231" spans="1:40" ht="13.5" hidden="1" x14ac:dyDescent="0.15">
      <c r="A231" s="259">
        <v>2</v>
      </c>
      <c r="B231" s="338" t="s">
        <v>617</v>
      </c>
      <c r="C231" s="109"/>
      <c r="D231" s="109"/>
      <c r="E231" s="110"/>
      <c r="F231" s="358"/>
      <c r="G231" s="111"/>
      <c r="H231" s="111"/>
      <c r="I231" s="111"/>
      <c r="J231" s="46"/>
      <c r="K231" s="46"/>
      <c r="L231" s="46"/>
      <c r="M231" s="46"/>
      <c r="N231" s="9"/>
      <c r="O231" s="258"/>
    </row>
    <row r="232" spans="1:40" ht="13.5" hidden="1" x14ac:dyDescent="0.15">
      <c r="A232" s="259">
        <v>3</v>
      </c>
      <c r="B232" s="345" t="s">
        <v>645</v>
      </c>
      <c r="C232" s="104"/>
      <c r="D232" s="105"/>
      <c r="E232" s="106"/>
      <c r="F232" s="47"/>
      <c r="G232" s="47"/>
      <c r="H232" s="47"/>
      <c r="I232" s="47"/>
      <c r="J232" s="46"/>
      <c r="K232" s="46"/>
      <c r="L232" s="46"/>
      <c r="M232" s="46"/>
      <c r="N232" s="46"/>
      <c r="O232" s="258"/>
    </row>
    <row r="233" spans="1:40" ht="13.5" hidden="1" x14ac:dyDescent="0.15">
      <c r="A233" s="259">
        <v>4</v>
      </c>
      <c r="B233" s="338" t="s">
        <v>618</v>
      </c>
      <c r="C233" s="104"/>
      <c r="D233" s="104"/>
      <c r="E233" s="104"/>
      <c r="F233" s="112"/>
      <c r="G233" s="112"/>
      <c r="H233" s="112"/>
      <c r="I233" s="112"/>
      <c r="J233" s="46"/>
      <c r="K233" s="46"/>
      <c r="L233" s="46"/>
      <c r="M233" s="46"/>
      <c r="N233" s="46"/>
      <c r="O233" s="258"/>
    </row>
    <row r="234" spans="1:40" ht="13.5" hidden="1" x14ac:dyDescent="0.15">
      <c r="A234" s="259">
        <v>5</v>
      </c>
      <c r="B234" s="345" t="s">
        <v>646</v>
      </c>
      <c r="C234" s="104"/>
      <c r="D234" s="104"/>
      <c r="E234" s="104"/>
      <c r="F234" s="112"/>
      <c r="G234" s="112"/>
      <c r="H234" s="112"/>
      <c r="I234" s="112"/>
      <c r="J234" s="46"/>
      <c r="K234" s="46"/>
      <c r="L234" s="46"/>
      <c r="M234" s="46"/>
      <c r="N234" s="46"/>
      <c r="O234" s="258"/>
    </row>
    <row r="235" spans="1:40" ht="13.5" hidden="1" x14ac:dyDescent="0.15">
      <c r="A235" s="259">
        <v>6</v>
      </c>
      <c r="B235" s="345" t="s">
        <v>647</v>
      </c>
      <c r="C235" s="104"/>
      <c r="D235" s="104"/>
      <c r="E235" s="104"/>
      <c r="F235" s="112"/>
      <c r="G235" s="112"/>
      <c r="H235" s="112"/>
      <c r="I235" s="112"/>
      <c r="J235" s="46"/>
      <c r="K235" s="46"/>
      <c r="L235" s="46"/>
      <c r="M235" s="46"/>
      <c r="N235" s="46"/>
      <c r="O235" s="258"/>
    </row>
    <row r="236" spans="1:40" ht="13.5" hidden="1" x14ac:dyDescent="0.15">
      <c r="A236" s="259">
        <v>7</v>
      </c>
      <c r="B236" s="51" t="s">
        <v>551</v>
      </c>
      <c r="C236" s="104"/>
      <c r="D236" s="104"/>
      <c r="E236" s="104"/>
      <c r="F236" s="112"/>
      <c r="G236" s="112"/>
      <c r="H236" s="112"/>
      <c r="I236" s="112"/>
      <c r="J236" s="46"/>
      <c r="K236" s="46"/>
      <c r="L236" s="46"/>
      <c r="M236" s="46"/>
      <c r="N236" s="46"/>
      <c r="O236" s="258"/>
    </row>
    <row r="237" spans="1:40" ht="13.5" hidden="1" x14ac:dyDescent="0.15">
      <c r="A237" s="259">
        <v>8</v>
      </c>
      <c r="B237" s="51" t="s">
        <v>552</v>
      </c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258"/>
    </row>
    <row r="238" spans="1:40" ht="13.5" hidden="1" x14ac:dyDescent="0.15">
      <c r="A238" s="259">
        <v>9</v>
      </c>
      <c r="B238" s="51" t="s">
        <v>553</v>
      </c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58"/>
      <c r="AH238" s="69"/>
      <c r="AI238" s="69"/>
      <c r="AJ238" s="69"/>
      <c r="AK238" s="69"/>
      <c r="AL238" s="69"/>
      <c r="AM238" s="69"/>
      <c r="AN238" s="69"/>
    </row>
    <row r="239" spans="1:40" ht="13.5" hidden="1" x14ac:dyDescent="0.15">
      <c r="A239" s="259" t="s">
        <v>722</v>
      </c>
      <c r="B239" s="51" t="s">
        <v>616</v>
      </c>
      <c r="C239" s="109"/>
      <c r="D239" s="109"/>
      <c r="E239" s="110"/>
      <c r="F239" s="358"/>
      <c r="G239" s="111"/>
      <c r="H239" s="111"/>
      <c r="I239" s="111"/>
      <c r="J239" s="46"/>
      <c r="K239" s="46"/>
      <c r="L239" s="46"/>
      <c r="M239" s="46"/>
      <c r="N239" s="9"/>
      <c r="O239" s="258"/>
      <c r="AH239" s="69"/>
      <c r="AI239" s="69"/>
      <c r="AJ239" s="69"/>
      <c r="AK239" s="69"/>
      <c r="AL239" s="69"/>
      <c r="AM239" s="69"/>
      <c r="AN239" s="69"/>
    </row>
    <row r="240" spans="1:40" ht="13.5" hidden="1" x14ac:dyDescent="0.15">
      <c r="A240" s="259">
        <v>10</v>
      </c>
      <c r="B240" s="338" t="s">
        <v>619</v>
      </c>
      <c r="C240" s="104"/>
      <c r="D240" s="105"/>
      <c r="E240" s="106"/>
      <c r="F240" s="46"/>
      <c r="G240" s="46"/>
      <c r="H240" s="46"/>
      <c r="I240" s="46"/>
      <c r="J240" s="46"/>
      <c r="K240" s="46"/>
      <c r="L240" s="46"/>
      <c r="M240" s="46"/>
      <c r="N240" s="46"/>
      <c r="O240" s="258"/>
      <c r="AH240" s="69"/>
      <c r="AI240" s="69"/>
      <c r="AJ240" s="69"/>
      <c r="AK240" s="69"/>
      <c r="AL240" s="69"/>
      <c r="AM240" s="69"/>
      <c r="AN240" s="69"/>
    </row>
    <row r="241" spans="1:40" ht="13.5" hidden="1" x14ac:dyDescent="0.15">
      <c r="A241" s="259">
        <v>11</v>
      </c>
      <c r="B241" s="345" t="s">
        <v>648</v>
      </c>
      <c r="C241" s="104"/>
      <c r="D241" s="105"/>
      <c r="E241" s="106"/>
      <c r="F241" s="47"/>
      <c r="G241" s="47"/>
      <c r="H241" s="47"/>
      <c r="I241" s="47"/>
      <c r="J241" s="46"/>
      <c r="K241" s="46"/>
      <c r="L241" s="46"/>
      <c r="M241" s="46"/>
      <c r="N241" s="46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>
        <v>12</v>
      </c>
      <c r="B242" s="345" t="s">
        <v>649</v>
      </c>
      <c r="C242" s="104"/>
      <c r="D242" s="105"/>
      <c r="E242" s="106"/>
      <c r="F242" s="47"/>
      <c r="G242" s="111"/>
      <c r="H242" s="47"/>
      <c r="I242" s="47"/>
      <c r="J242" s="46"/>
      <c r="K242" s="46"/>
      <c r="L242" s="46"/>
      <c r="M242" s="46"/>
      <c r="N242" s="46"/>
      <c r="O242" s="258"/>
      <c r="AH242" s="69"/>
      <c r="AI242" s="69"/>
      <c r="AJ242" s="69"/>
      <c r="AK242" s="69"/>
      <c r="AL242" s="69"/>
      <c r="AM242" s="69"/>
      <c r="AN242" s="69"/>
    </row>
    <row r="243" spans="1:40" ht="13.5" hidden="1" x14ac:dyDescent="0.15">
      <c r="A243" s="259">
        <v>13</v>
      </c>
      <c r="B243" s="338" t="s">
        <v>620</v>
      </c>
      <c r="C243" s="104"/>
      <c r="D243" s="105"/>
      <c r="E243" s="106"/>
      <c r="F243" s="47"/>
      <c r="G243" s="111"/>
      <c r="H243" s="47"/>
      <c r="I243" s="47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14</v>
      </c>
      <c r="B244" s="345" t="s">
        <v>650</v>
      </c>
      <c r="C244" s="104"/>
      <c r="D244" s="105"/>
      <c r="E244" s="106"/>
      <c r="F244" s="47"/>
      <c r="G244" s="111"/>
      <c r="H244" s="47"/>
      <c r="I244" s="47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15</v>
      </c>
      <c r="B245" s="345" t="s">
        <v>651</v>
      </c>
      <c r="C245" s="104"/>
      <c r="D245" s="105"/>
      <c r="E245" s="106"/>
      <c r="F245" s="47"/>
      <c r="G245" s="111"/>
      <c r="H245" s="47"/>
      <c r="I245" s="47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16</v>
      </c>
      <c r="B246" s="339" t="s">
        <v>621</v>
      </c>
      <c r="C246" s="104"/>
      <c r="D246" s="105"/>
      <c r="E246" s="106"/>
      <c r="F246" s="112"/>
      <c r="G246" s="112"/>
      <c r="H246" s="112"/>
      <c r="I246" s="112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17</v>
      </c>
      <c r="B247" s="345" t="s">
        <v>652</v>
      </c>
      <c r="C247" s="104"/>
      <c r="D247" s="105"/>
      <c r="E247" s="106"/>
      <c r="F247" s="112"/>
      <c r="G247" s="112"/>
      <c r="H247" s="112"/>
      <c r="I247" s="112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18</v>
      </c>
      <c r="B248" s="345" t="s">
        <v>653</v>
      </c>
      <c r="C248" s="104"/>
      <c r="D248" s="104"/>
      <c r="E248" s="104"/>
      <c r="F248" s="112"/>
      <c r="G248" s="112"/>
      <c r="H248" s="112"/>
      <c r="I248" s="112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19</v>
      </c>
      <c r="B249" s="340" t="s">
        <v>622</v>
      </c>
      <c r="C249" s="104"/>
      <c r="D249" s="104"/>
      <c r="E249" s="104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20</v>
      </c>
      <c r="B250" s="345" t="s">
        <v>654</v>
      </c>
      <c r="C250" s="104"/>
      <c r="D250" s="104"/>
      <c r="E250" s="104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21</v>
      </c>
      <c r="B251" s="340" t="s">
        <v>623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22</v>
      </c>
      <c r="B252" s="345" t="s">
        <v>655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23</v>
      </c>
      <c r="B253" s="340" t="s">
        <v>624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24</v>
      </c>
      <c r="B254" s="340" t="s">
        <v>625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25</v>
      </c>
      <c r="B255" s="340" t="s">
        <v>626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26</v>
      </c>
      <c r="B256" s="51" t="s">
        <v>556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27</v>
      </c>
      <c r="B257" s="107" t="s">
        <v>549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28</v>
      </c>
      <c r="B258" s="340" t="s">
        <v>627</v>
      </c>
      <c r="C258" s="359"/>
      <c r="D258" s="111"/>
      <c r="E258" s="360"/>
      <c r="F258" s="112"/>
      <c r="G258" s="112"/>
      <c r="H258" s="112"/>
      <c r="I258" s="112"/>
      <c r="J258" s="46"/>
      <c r="K258" s="46"/>
      <c r="L258" s="46"/>
      <c r="M258" s="46"/>
      <c r="N258" s="361"/>
      <c r="O258" s="258"/>
    </row>
    <row r="259" spans="1:15" ht="13.5" hidden="1" x14ac:dyDescent="0.15">
      <c r="A259" s="259">
        <v>29</v>
      </c>
      <c r="B259" s="345" t="s">
        <v>663</v>
      </c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58"/>
    </row>
    <row r="260" spans="1:15" ht="13.5" hidden="1" x14ac:dyDescent="0.15">
      <c r="A260" s="259">
        <v>30</v>
      </c>
      <c r="B260" s="340" t="s">
        <v>628</v>
      </c>
      <c r="C260" s="109"/>
      <c r="D260" s="109"/>
      <c r="E260" s="110"/>
      <c r="F260" s="358"/>
      <c r="G260" s="111"/>
      <c r="H260" s="111"/>
      <c r="I260" s="111"/>
      <c r="J260" s="46"/>
      <c r="K260" s="46"/>
      <c r="L260" s="46"/>
      <c r="M260" s="46"/>
      <c r="N260" s="9"/>
      <c r="O260" s="258"/>
    </row>
    <row r="261" spans="1:15" ht="13.5" hidden="1" x14ac:dyDescent="0.15">
      <c r="A261" s="259">
        <v>31</v>
      </c>
      <c r="B261" s="51" t="s">
        <v>557</v>
      </c>
      <c r="C261" s="104"/>
      <c r="D261" s="105"/>
      <c r="E261" s="106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 t="s">
        <v>723</v>
      </c>
      <c r="B262" s="51" t="s">
        <v>614</v>
      </c>
      <c r="C262" s="104"/>
      <c r="D262" s="105"/>
      <c r="E262" s="106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32</v>
      </c>
      <c r="B263" s="345" t="s">
        <v>664</v>
      </c>
      <c r="C263" s="104"/>
      <c r="D263" s="105"/>
      <c r="E263" s="106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33</v>
      </c>
      <c r="B264" s="340" t="s">
        <v>629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34</v>
      </c>
      <c r="B265" s="345" t="s">
        <v>665</v>
      </c>
      <c r="C265" s="104"/>
      <c r="D265" s="105"/>
      <c r="E265" s="106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35</v>
      </c>
      <c r="B266" s="51" t="s">
        <v>559</v>
      </c>
      <c r="C266" s="104"/>
      <c r="D266" s="104"/>
      <c r="E266" s="104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36</v>
      </c>
      <c r="B267" s="51" t="s">
        <v>560</v>
      </c>
      <c r="C267" s="104"/>
      <c r="D267" s="104"/>
      <c r="E267" s="104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37</v>
      </c>
      <c r="B268" s="345" t="s">
        <v>689</v>
      </c>
      <c r="C268" s="104"/>
      <c r="D268" s="104"/>
      <c r="E268" s="104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38</v>
      </c>
      <c r="B269" s="345" t="s">
        <v>666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39</v>
      </c>
      <c r="B270" s="340" t="s">
        <v>630</v>
      </c>
      <c r="C270" s="104"/>
      <c r="D270" s="104"/>
      <c r="E270" s="104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40</v>
      </c>
      <c r="B271" s="340" t="s">
        <v>631</v>
      </c>
      <c r="C271" s="9"/>
      <c r="D271" s="9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41</v>
      </c>
      <c r="B272" s="51" t="s">
        <v>561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42</v>
      </c>
      <c r="B273" s="345" t="s">
        <v>667</v>
      </c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43</v>
      </c>
      <c r="B274" s="51" t="s">
        <v>562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44</v>
      </c>
      <c r="B275" s="51" t="s">
        <v>563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45</v>
      </c>
      <c r="B276" s="51" t="s">
        <v>686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46</v>
      </c>
      <c r="B277" s="345" t="s">
        <v>668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47</v>
      </c>
      <c r="B278" s="345" t="s">
        <v>669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 t="s">
        <v>724</v>
      </c>
      <c r="B279" s="345" t="s">
        <v>701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48</v>
      </c>
      <c r="B280" s="51" t="s">
        <v>564</v>
      </c>
      <c r="C280" s="9"/>
      <c r="D280" s="9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49</v>
      </c>
      <c r="B281" s="345" t="s">
        <v>670</v>
      </c>
      <c r="C281" s="9"/>
      <c r="D281" s="9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50</v>
      </c>
      <c r="B282" s="340" t="s">
        <v>632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51</v>
      </c>
      <c r="B283" s="51" t="s">
        <v>565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52</v>
      </c>
      <c r="B284" s="51" t="s">
        <v>566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53</v>
      </c>
      <c r="B285" s="51" t="s">
        <v>567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54</v>
      </c>
      <c r="B286" s="51" t="s">
        <v>568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55</v>
      </c>
      <c r="B287" s="51" t="s">
        <v>569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56</v>
      </c>
      <c r="B288" s="340" t="s">
        <v>633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57</v>
      </c>
      <c r="B289" s="51" t="s">
        <v>570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58</v>
      </c>
      <c r="B290" s="51" t="s">
        <v>571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59</v>
      </c>
      <c r="B291" s="345" t="s">
        <v>671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60</v>
      </c>
      <c r="B292" s="51" t="s">
        <v>572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61</v>
      </c>
      <c r="B293" s="51" t="s">
        <v>573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62</v>
      </c>
      <c r="B294" s="51" t="s">
        <v>574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63</v>
      </c>
      <c r="B295" s="345" t="s">
        <v>672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64</v>
      </c>
      <c r="B296" s="51" t="s">
        <v>580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65</v>
      </c>
      <c r="B297" s="51" t="s">
        <v>583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258"/>
    </row>
    <row r="298" spans="1:15" ht="13.5" hidden="1" x14ac:dyDescent="0.15">
      <c r="A298" s="259">
        <v>66</v>
      </c>
      <c r="B298" s="340" t="s">
        <v>634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258"/>
    </row>
    <row r="299" spans="1:15" ht="13.5" hidden="1" x14ac:dyDescent="0.15">
      <c r="A299" s="259">
        <v>67</v>
      </c>
      <c r="B299" s="51" t="s">
        <v>581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258"/>
    </row>
    <row r="300" spans="1:15" ht="13.5" hidden="1" x14ac:dyDescent="0.15">
      <c r="A300" s="259" t="s">
        <v>725</v>
      </c>
      <c r="B300" s="51" t="s">
        <v>684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68</v>
      </c>
      <c r="B301" s="108" t="s">
        <v>673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69</v>
      </c>
      <c r="B302" s="340" t="s">
        <v>635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>
        <v>70</v>
      </c>
      <c r="B303" s="108" t="s">
        <v>674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71</v>
      </c>
      <c r="B304" s="108" t="s">
        <v>675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72</v>
      </c>
      <c r="B305" s="108" t="s">
        <v>677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73</v>
      </c>
      <c r="B306" s="340" t="s">
        <v>636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74</v>
      </c>
      <c r="B307" s="108" t="s">
        <v>678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75</v>
      </c>
      <c r="B308" s="340" t="s">
        <v>637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76</v>
      </c>
      <c r="B309" s="108" t="s">
        <v>679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77</v>
      </c>
      <c r="B310" s="340" t="s">
        <v>638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78</v>
      </c>
      <c r="B311" s="108" t="s">
        <v>680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79</v>
      </c>
      <c r="B312" s="340" t="s">
        <v>639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80</v>
      </c>
      <c r="B313" s="340" t="s">
        <v>640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81</v>
      </c>
      <c r="B314" s="108" t="s">
        <v>681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82</v>
      </c>
      <c r="B315" s="51" t="s">
        <v>584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83</v>
      </c>
      <c r="B316" s="340" t="s">
        <v>683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84</v>
      </c>
      <c r="B317" s="340" t="s">
        <v>699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85</v>
      </c>
      <c r="B318" s="340" t="s">
        <v>641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86</v>
      </c>
      <c r="B319" s="340" t="s">
        <v>642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87</v>
      </c>
      <c r="B320" s="340" t="s">
        <v>643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88</v>
      </c>
      <c r="B321" s="340" t="s">
        <v>644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89</v>
      </c>
      <c r="B322" s="51" t="s">
        <v>585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90</v>
      </c>
      <c r="B323" s="108" t="s">
        <v>682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91</v>
      </c>
      <c r="B324" s="51" t="s">
        <v>586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 t="s">
        <v>726</v>
      </c>
      <c r="B325" s="51" t="s">
        <v>685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92</v>
      </c>
      <c r="B326" s="51" t="s">
        <v>588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B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B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B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</sheetData>
  <sheetProtection password="F44E" sheet="1" objects="1" scenarios="1"/>
  <mergeCells count="30">
    <mergeCell ref="B98:E98"/>
    <mergeCell ref="B127:N127"/>
    <mergeCell ref="C120:E120"/>
    <mergeCell ref="F120:H120"/>
    <mergeCell ref="K107:S107"/>
    <mergeCell ref="B107:J107"/>
    <mergeCell ref="I120:J120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J97">
    <cfRule type="cellIs" dxfId="311" priority="1" stopIfTrue="1" operator="equal">
      <formula>"ATENDE TEMPO NO CARGO"</formula>
    </cfRule>
    <cfRule type="cellIs" dxfId="310" priority="2" stopIfTrue="1" operator="equal">
      <formula>"NÃO CUMPRE TEMPO NO CARGO"</formula>
    </cfRule>
  </conditionalFormatting>
  <conditionalFormatting sqref="M240:M258 M230:M236 M261:M284 C218:C220 C129:C174 N173:N174 C176:C195 C215:C216 C222:C226 C197:C213">
    <cfRule type="cellIs" dxfId="309" priority="3" stopIfTrue="1" operator="equal">
      <formula>"ANUÊNIO"</formula>
    </cfRule>
    <cfRule type="cellIs" dxfId="308" priority="4" stopIfTrue="1" operator="equal">
      <formula>"TRIÊNIO"</formula>
    </cfRule>
    <cfRule type="cellIs" dxfId="307" priority="5" stopIfTrue="1" operator="equal">
      <formula>"QUINQUÊNIO"</formula>
    </cfRule>
  </conditionalFormatting>
  <conditionalFormatting sqref="F72:F74">
    <cfRule type="cellIs" dxfId="306" priority="6" stopIfTrue="1" operator="equal">
      <formula>"NADA A CUMPRIR"</formula>
    </cfRule>
    <cfRule type="cellIs" dxfId="305" priority="7" stopIfTrue="1" operator="equal">
      <formula>"NÃO CABE"</formula>
    </cfRule>
    <cfRule type="cellIs" dxfId="304" priority="8" stopIfTrue="1" operator="greaterThanOrEqual">
      <formula>0</formula>
    </cfRule>
  </conditionalFormatting>
  <conditionalFormatting sqref="E71">
    <cfRule type="cellIs" dxfId="303" priority="9" stopIfTrue="1" operator="equal">
      <formula>"NÃO ATENDE LIMITE MÍNIMO DE IDADE"</formula>
    </cfRule>
    <cfRule type="cellIs" dxfId="302" priority="10" stopIfTrue="1" operator="equal">
      <formula>"REANALISAR FUNDAMENTAÇÃO E/OU MODALIDADE"</formula>
    </cfRule>
    <cfRule type="cellIs" dxfId="301" priority="11" stopIfTrue="1" operator="equal">
      <formula>"ATENDE LIMITE MÍNIMO DE IDADE"</formula>
    </cfRule>
  </conditionalFormatting>
  <conditionalFormatting sqref="N69 N71">
    <cfRule type="cellIs" dxfId="300" priority="12" stopIfTrue="1" operator="equal">
      <formula>0</formula>
    </cfRule>
  </conditionalFormatting>
  <conditionalFormatting sqref="K8">
    <cfRule type="expression" dxfId="299" priority="13" stopIfTrue="1">
      <formula>"SE($N$8=0)"</formula>
    </cfRule>
  </conditionalFormatting>
  <conditionalFormatting sqref="C73">
    <cfRule type="cellIs" dxfId="298" priority="14" stopIfTrue="1" operator="equal">
      <formula>"FALTA DATA"</formula>
    </cfRule>
  </conditionalFormatting>
  <conditionalFormatting sqref="M74">
    <cfRule type="cellIs" dxfId="297" priority="15" stopIfTrue="1" operator="equal">
      <formula>"ATENDE"</formula>
    </cfRule>
    <cfRule type="cellIs" dxfId="296" priority="16" stopIfTrue="1" operator="equal">
      <formula>"NÃO ATENDE"</formula>
    </cfRule>
    <cfRule type="cellIs" dxfId="295" priority="17" stopIfTrue="1" operator="equal">
      <formula>"NÃO CABE"</formula>
    </cfRule>
  </conditionalFormatting>
  <conditionalFormatting sqref="M73">
    <cfRule type="cellIs" dxfId="294" priority="18" stopIfTrue="1" operator="equal">
      <formula>"ATENDE"</formula>
    </cfRule>
    <cfRule type="cellIs" dxfId="293" priority="19" stopIfTrue="1" operator="equal">
      <formula>"NÃO ATENDE"</formula>
    </cfRule>
    <cfRule type="cellIs" dxfId="292" priority="20" stopIfTrue="1" operator="equal">
      <formula>"NÃO CABE"</formula>
    </cfRule>
  </conditionalFormatting>
  <conditionalFormatting sqref="M75 L77:M77 L78:L82">
    <cfRule type="cellIs" dxfId="291" priority="21" stopIfTrue="1" operator="equal">
      <formula>"ATENDE"</formula>
    </cfRule>
    <cfRule type="cellIs" dxfId="290" priority="22" stopIfTrue="1" operator="equal">
      <formula>"NÃO ATENDE"</formula>
    </cfRule>
    <cfRule type="cellIs" dxfId="289" priority="23" stopIfTrue="1" operator="equal">
      <formula>"OK"</formula>
    </cfRule>
  </conditionalFormatting>
  <conditionalFormatting sqref="K42">
    <cfRule type="expression" dxfId="288" priority="24" stopIfTrue="1">
      <formula>$E$42&lt;=0</formula>
    </cfRule>
  </conditionalFormatting>
  <conditionalFormatting sqref="M42">
    <cfRule type="expression" dxfId="287" priority="25" stopIfTrue="1">
      <formula>$E$42&lt;=0</formula>
    </cfRule>
  </conditionalFormatting>
  <conditionalFormatting sqref="O70 I67">
    <cfRule type="cellIs" dxfId="286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A00-000000000000}">
      <formula1>$O$2:$O$7</formula1>
    </dataValidation>
    <dataValidation type="list" allowBlank="1" showInputMessage="1" showErrorMessage="1" sqref="E2:I2" xr:uid="{00000000-0002-0000-0A00-000001000000}">
      <formula1>$B$87:$B$95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S821"/>
  <sheetViews>
    <sheetView showGridLines="0" zoomScale="75" zoomScaleNormal="75" workbookViewId="0" xr3:uid="{FF0BDA26-1AD6-5648-BD9A-E01AA4DDCA7C}"/>
  </sheetViews>
  <sheetFormatPr defaultColWidth="9.16796875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9.0351562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2" width="9.16796875" style="21" hidden="1" customWidth="1"/>
    <col min="253" max="253" width="7.4140625" style="21" hidden="1" customWidth="1"/>
    <col min="254" max="254" width="0" style="21" hidden="1" customWidth="1"/>
    <col min="255" max="16384" width="9.16796875" style="2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450</v>
      </c>
      <c r="F2" s="1850"/>
      <c r="G2" s="1850"/>
      <c r="H2" s="1850"/>
      <c r="I2" s="1850"/>
      <c r="J2" s="652" t="s">
        <v>462</v>
      </c>
      <c r="K2" s="1939" t="s">
        <v>476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IF(OR($E$2=$B$87,$E$2=$B$88,E2=B89),IF($M$13&gt;=5,"ATENDE","NÃO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IF(OR($E$2=$B$87,$E$2=$B$88,E2=B89),IF($M$15&gt;=10,"ATENDE","NÃO CUMPRE"),O83)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37">
        <f>CRÍTICA_IGP1!N8</f>
        <v>0</v>
      </c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37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29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29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29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ht="13.5" x14ac:dyDescent="0.15">
      <c r="A16" s="295"/>
      <c r="N16" s="658"/>
      <c r="O16" s="304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0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0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0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0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1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304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745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IF(E2=B95,IF(D12="X",IF(G10="X",ROUNDDOWN(SUM(F26:F34)*0.2,0),ROUNDDOWN(SUM(F26:F34)*0.17,0)),0),0)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IF(N8&gt;=36145,0,IF(AND(N8&lt;36145,F38&lt;&gt;0),SUM(F26:F35),0))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1302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IF(E41&gt;0,IF(E2=B87,E41,IF(E2=B88,E41,IF(E2=B94,E41,))),0)</f>
        <v>12775</v>
      </c>
      <c r="D41" s="178" t="b">
        <f>IF(E41&gt;0,IF(K2=O5,IF(E2=B95,E41,0)),0)</f>
        <v>0</v>
      </c>
      <c r="E41" s="179">
        <f>IF($E$2=B94,IF($G$10="X",(25*365)-$F$37,(30*365)-$F$37),IF($G$10="X",(30*365)-$F$37,(35*365)-$F$37))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12775</v>
      </c>
      <c r="F42" s="45" t="s">
        <v>333</v>
      </c>
      <c r="G42" s="150"/>
      <c r="H42" s="184" t="str">
        <f>IF(E42&gt;0,IF(K2=O4,"HÁ PEDÁGIO A CUMPRIR",IF(K2=O5,IF(E2=B95,"HÁ PEDÁGIO A CUMPRIR",E71))),"NÃO HÁ PEDÁGIO A CUMPRIR")</f>
        <v>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IF(E42&gt;0,IF(E2=B94,ROUNDUP(E42*0.4,0),ROUNDUP(E42*0.2,0)),0)</f>
        <v>2555</v>
      </c>
      <c r="F43" s="45"/>
      <c r="G43" s="150"/>
      <c r="H43" s="186">
        <f>ROUNDDOWN(E43/365,0)</f>
        <v>7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15330</v>
      </c>
      <c r="F44" s="159"/>
      <c r="G44" s="150"/>
      <c r="H44" s="186">
        <f>ROUNDDOWN(E44/365,0)</f>
        <v>42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IF(N8&gt;=36145,0,IF(F46&lt;&gt;0,F46,IF(K2=O2,0,IF(K2=O3,A42,IF(K2=O4,A43,A44)))))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234"/>
      <c r="C46" s="1066"/>
      <c r="D46" s="1066"/>
      <c r="F46" s="1257">
        <f>IF(AND(C45&lt;&gt;"REVER",E45&lt;&gt;"REVER"),SUM(F47:F50),0)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IF(CRÍTICA_IGP1!$N$10&lt;CRÍTICA_IGP1!$R$22,$N$10-1,CRÍTICA_IGP1!$R$22-1)</f>
        <v>25567</v>
      </c>
      <c r="F50" s="600">
        <f>IF(C50=0,0,IF(E50=0,0,E50-C50+1))-N50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362"/>
      <c r="C51" s="277" t="str">
        <f>IF($C$47&gt;0,$C$47,IF($C$48&gt;0,$C$48,IF($C$49&gt;0,$C$49,IF($C$50&gt;0,$C$50,"REVER"))))</f>
        <v>REVER</v>
      </c>
      <c r="D51" s="362"/>
      <c r="E51" s="1066">
        <f>IF($E$50&gt;0,$E$50,IF($E$49&gt;0,$E$49,IF($E$48&gt;0,$E$48,IF($E$47&gt;0,$E$47,"REVER"))))</f>
        <v>25567</v>
      </c>
      <c r="F51" s="362" t="s">
        <v>741</v>
      </c>
      <c r="G51" s="362"/>
      <c r="H51" s="363">
        <f>SUM($F$48:$F$50)</f>
        <v>0</v>
      </c>
      <c r="I51" s="362" t="s">
        <v>743</v>
      </c>
      <c r="J51" s="363">
        <f>SUM(F49:F50)</f>
        <v>0</v>
      </c>
      <c r="K51" s="362"/>
      <c r="L51" s="362"/>
      <c r="M51" s="362"/>
      <c r="N51" s="362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3">
        <v>38037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685"/>
      <c r="C58" s="277">
        <f>IF(C54&gt;0,C54,IF(C55&gt;0,C55,IF(C56&gt;0,C56,IF(C57&gt;0,C57,"REVER"))))</f>
        <v>38037</v>
      </c>
      <c r="D58" s="22"/>
      <c r="E58" s="289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>
        <f>IF($C$58&gt;=38037,$C$58,"REVER")</f>
        <v>38037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>
        <f>IF(E2=B89,"NÃO CABE",IF(E2=B91,"NÃO CABE",IF(E2=B92,"NÃO CABE",IF(E2=B93,"NÃO CABE",IF(C65&gt;0,C65,"NADA A CUMPRIR")))))</f>
        <v>15330</v>
      </c>
      <c r="D64" s="198"/>
      <c r="E64" s="199"/>
      <c r="F64" s="200"/>
      <c r="G64" s="198"/>
      <c r="H64" s="201">
        <f>IF($C$64="NÃO CABE",0,IF($C$65&gt;0,ROUNDDOWN($C$65/365,0),0))</f>
        <v>42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>
        <f>IF(K2=O2,IF(E2=B94,R120,R119),IF(K2=O3,Q118,IF(K2=O6,Q118,IF(K2=O4,Q117,IF(K2=O5,Q117,IF($K$2=O7,Q121,0))))))</f>
        <v>15330</v>
      </c>
      <c r="D65" s="205"/>
      <c r="E65" s="206"/>
      <c r="F65" s="207"/>
      <c r="G65" s="205"/>
      <c r="H65" s="207">
        <f>IF($C$64="NÃO CABE",0,IF($C$65&gt;0,ROUNDDOWN($C$65/365,0),0))</f>
        <v>42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IF($O$10&lt;$D$128,VLOOKUP($E$6,$B$129:$Q$226,3,FALSE),IF($O$10&lt;$E$128,VLOOKUP($E$6,$B$129:$Q$226,4,FALSE),VLOOKUP($E$6,$B$129:$Q$226,5,FALSE)))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$87&lt;=$BC$85,VLOOKUP($C$8,$BB$88:$BH$127,2,FALSE),IF($BC$87&lt;=$BD$85,VLOOKUP($C$8,$BB$88:$BH$127,3,FALSE),IF($BC$87&lt;=$BE$85,VLOOKUP($C$8,$BB$88:$BH$127,4,FALSE),IF($BC$87&lt;=$BF$85,VLOOKUP($C$8,$BB$88:$BH$127,5,FALSE),IF($BC$87&lt;=$BG$85,VLOOKUP($C$8,$BB$88:$BH$127,6,FALSE),VLOOKUP($C$8,$BB$88:$BH$127,7,FALSE))))))</f>
        <v>#N/A</v>
      </c>
      <c r="F68" s="150"/>
      <c r="G68" s="150"/>
      <c r="H68" s="150"/>
      <c r="I68" s="221"/>
      <c r="J68" s="222" t="e">
        <f>IF($BC$84&lt;=$BC$85,VLOOKUP($C$8,$BB$88:$BH$127,2,FALSE),IF($BC$84&lt;=$BD$85,VLOOKUP($C$8,$BB$88:$BH$127,3,FALSE),IF($BC$84&lt;=$BE$85,VLOOKUP($C$8,$BB$88:$BH$127,4,FALSE),IF($BC$84&lt;=$BF$85,VLOOKUP($C$8,$BB$88:$BH$127,5,FALSE),IF($BC$84&lt;=$BG$85,VLOOKUP($C$8,$BB$88:$BH$127,6,FALSE),VLOOKUP($C$8,$BB$88:$BH$127,7,FALSE))))))</f>
        <v>#N/A</v>
      </c>
      <c r="K68" s="150" t="s">
        <v>448</v>
      </c>
      <c r="L68" s="153"/>
      <c r="M68" s="150"/>
      <c r="N68" s="223" t="str">
        <f>IF($K$2=$O$2,J99,IF($K$2=$O$3,J100,IF($K$2=$O$4,J101,IF($K$2=$O$5,J102,"NÃO CABE"))))</f>
        <v>NÃO CABE</v>
      </c>
      <c r="O68" s="254" t="str">
        <f>VLOOKUP($E$6,$B$129:$C$226,2,FALSE)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TRANSIÇÃO EMENDA 20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INTEGRAL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IF(K2=O3,IF(M101&gt;=N101,N100,"NÃO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IF($E$2=$L$108,$O$108,IF($E$2=$L$109,$O$109,IF($E$2=$L$110,$O$110,IF($E$2=$L$111,$O$111,IF($E$2=$L$112,$O$112,$O$113)))))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>
        <f>C64</f>
        <v>15330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IF(OR(E6=B197,E6=B209,E6=B220),IF(L209&gt;=25,"FAZ JUS A 1/6 DA REMUNERAÇÃO",IF(L220&gt;=25,"FAZ JUS A 1/6 DA REMUNERAÇÃO",IF(L197&gt;=25,"FAZ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CABE",$O$83),$O$83),$O$83)</f>
        <v>NÃO CUMPRE</v>
      </c>
      <c r="P75" s="129" t="s">
        <v>359</v>
      </c>
      <c r="Q75" s="130"/>
      <c r="R75" s="131"/>
      <c r="S75" s="132">
        <f>IF(ISERROR(HLOOKUP($J$174,$Q$73:$W$74,2)),0,HLOOKUP($J$174,$Q$73:$W$74,2))</f>
        <v>0</v>
      </c>
      <c r="T75" s="133" t="s">
        <v>451</v>
      </c>
      <c r="U75" s="132"/>
      <c r="V75" s="133"/>
      <c r="W75" s="132">
        <f>IF(ISERROR(HLOOKUP($K$174,$Q$73:$W$74,2)),0,HLOOKUP($K$174,$Q$73:$W$74,2))</f>
        <v>0</v>
      </c>
      <c r="X75" s="134" t="s">
        <v>507</v>
      </c>
      <c r="Y75" s="135"/>
      <c r="Z75" s="136"/>
      <c r="AA75" s="134"/>
      <c r="AB75" s="137">
        <f>IF(ISERROR(HLOOKUP($L$174,$Q$73:$W$74,2)),0,HLOOKUP($L$174,$Q$73:$W$74,2))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x14ac:dyDescent="0.15">
      <c r="A76" s="295"/>
      <c r="B76" s="394"/>
      <c r="C76" s="150"/>
      <c r="D76" s="395"/>
      <c r="E76" s="150"/>
      <c r="F76" s="150"/>
      <c r="G76" s="150"/>
      <c r="H76" s="150"/>
      <c r="I76" s="150"/>
      <c r="J76" s="153"/>
      <c r="K76" s="150"/>
      <c r="L76" s="150"/>
      <c r="M76" s="234"/>
      <c r="N76" s="260"/>
      <c r="O76" s="255"/>
      <c r="P76" s="28"/>
      <c r="Q76" s="8"/>
      <c r="R76" s="5"/>
      <c r="S76" s="27"/>
      <c r="T76" s="28"/>
      <c r="U76" s="27"/>
      <c r="V76" s="28"/>
      <c r="W76" s="27"/>
      <c r="X76" s="114"/>
      <c r="Y76" s="100"/>
      <c r="Z76" s="115"/>
      <c r="AA76" s="114"/>
      <c r="AB76" s="114"/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>IF(OR($F$72="NADA A CUMPRIR",$F$72="NÃO CABE"),"SIM","NÃO")</f>
        <v>NÃO</v>
      </c>
      <c r="I78" s="413" t="str">
        <f>IF(N78="SIM","SIM","NÃO")</f>
        <v>NÃO</v>
      </c>
      <c r="J78" s="414" t="str">
        <f>IF(OR($M$73="NÃO CABE",$M$73="ATENDE"),"SIM","NÃO")</f>
        <v>NÃO</v>
      </c>
      <c r="K78" s="414" t="str">
        <f>IF(OR($M$74="NÃO CABE",$M$74="ATENDE"),"SIM","NÃO")</f>
        <v>SIM</v>
      </c>
      <c r="L78" s="412"/>
      <c r="M78" s="414" t="str">
        <f>IF(OR($M$75="ATENDE",$M$75="OK"),"SIM","NÃO")</f>
        <v>NÃO</v>
      </c>
      <c r="N78" s="414" t="str">
        <f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>IF(OR($E$71="NADA A CRITICAR",$E$71="ATENDE LIMITE MÍNIMO DE IDADE"),"SIM","NÃO")</f>
        <v>NÃO</v>
      </c>
      <c r="D79" s="415"/>
      <c r="E79" s="18" t="s">
        <v>485</v>
      </c>
      <c r="F79" s="18"/>
      <c r="G79" s="18"/>
      <c r="H79" s="414" t="str">
        <f>IF(OR($F$72="NADA A CUMPRIR",$F$72="NÃO CABE"),"SIM","NÃO")</f>
        <v>NÃO</v>
      </c>
      <c r="I79" s="413" t="str">
        <f>IF($D$14="X",IF($N$79="SIM","SIM","NÃO"),"NÃO")</f>
        <v>NÃO</v>
      </c>
      <c r="J79" s="414" t="str">
        <f>IF(OR($M$73="NÃO CABE",$M$73="ATENDE"),"SIM","NÃO")</f>
        <v>NÃO</v>
      </c>
      <c r="K79" s="414" t="str">
        <f>IF(OR($M$74="NÃO CABE",$M$74="ATENDE"),"SIM","NÃO")</f>
        <v>SIM</v>
      </c>
      <c r="L79" s="412"/>
      <c r="M79" s="414" t="str">
        <f>IF(OR($M$75="ATENDE",$M$75="OK"),"SIM","NÃO")</f>
        <v>NÃO</v>
      </c>
      <c r="N79" s="414" t="str">
        <f>IF(AND(C79="SIM",H79="SIM",J79="SIM",K79="SIM",M79="SIM"),"SIM","NÃO")</f>
        <v>NÃO</v>
      </c>
      <c r="O79" s="255"/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>IF(OR($E$71="NADA A CRITICAR",$E$71="ATENDE LIMITE MÍNIMO DE IDADE"),"SIM","NÃO")</f>
        <v>NÃO</v>
      </c>
      <c r="D80" s="415"/>
      <c r="E80" s="18" t="s">
        <v>752</v>
      </c>
      <c r="F80" s="18"/>
      <c r="G80" s="18"/>
      <c r="H80" s="414" t="str">
        <f>IF(OR($F$72="NADA A CUMPRIR",$F$72="NÃO CABE"),"SIM","NÃO")</f>
        <v>NÃO</v>
      </c>
      <c r="I80" s="413" t="str">
        <f>IF(N80="SIM","SIM","NÃO")</f>
        <v>NÃO</v>
      </c>
      <c r="J80" s="414" t="str">
        <f>IF(OR($M$73="NÃO CABE",$M$73="ATENDE"),"SIM","NÃO")</f>
        <v>NÃO</v>
      </c>
      <c r="K80" s="414" t="str">
        <f>IF(OR($M$74="NÃO CABE",$M$74="ATENDE"),"SIM","NÃO")</f>
        <v>SIM</v>
      </c>
      <c r="L80" s="412"/>
      <c r="M80" s="414" t="str">
        <f>IF(OR($M$75="ATENDE",$M$75="OK"),"SIM","NÃO")</f>
        <v>NÃO</v>
      </c>
      <c r="N80" s="414" t="str">
        <f>IF(AND(C80="SIM",H80="SIM",J80="SIM",K80="SIM",M80="SIM"),"SIM","NÃO")</f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>IF(OR($E$71="NADA A CRITICAR",$E$71="ATENDE LIMITE MÍNIMO DE IDADE"),"SIM","NÃO")</f>
        <v>NÃO</v>
      </c>
      <c r="D81" s="415"/>
      <c r="E81" s="18" t="s">
        <v>753</v>
      </c>
      <c r="F81" s="18"/>
      <c r="G81" s="18"/>
      <c r="H81" s="414" t="str">
        <f>IF(OR($F$72="NADA A CUMPRIR",$F$72="NÃO CABE"),"SIM","NÃO")</f>
        <v>NÃO</v>
      </c>
      <c r="I81" s="413" t="str">
        <f>IF(N81="SIM","SIM","NÃO")</f>
        <v>NÃO</v>
      </c>
      <c r="J81" s="414" t="str">
        <f>IF(OR($M$73="NÃO CABE",$M$73="ATENDE"),"SIM","NÃO")</f>
        <v>NÃO</v>
      </c>
      <c r="K81" s="414" t="str">
        <f>IF(OR($M$74="NÃO CABE",$M$74="ATENDE"),"SIM","NÃO")</f>
        <v>SIM</v>
      </c>
      <c r="L81" s="412"/>
      <c r="M81" s="414" t="str">
        <f>IF(OR($M$75="ATENDE",$M$75="OK"),"SIM","NÃO")</f>
        <v>NÃO</v>
      </c>
      <c r="N81" s="414" t="str">
        <f>IF(AND(C81="SIM",H81="SIM",J81="SIM",K81="SIM",M81="SIM"),"SIM","NÃO")</f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7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610" t="s">
        <v>450</v>
      </c>
      <c r="C82" s="588" t="str">
        <f>IF(OR($E$71="NADA A CRITICAR",$E$71="ATENDE LIMITE MÍNIMO DE IDADE"),"SIM","NÃO")</f>
        <v>NÃO</v>
      </c>
      <c r="D82" s="587"/>
      <c r="E82" s="611" t="s">
        <v>754</v>
      </c>
      <c r="F82" s="612">
        <f>I67</f>
        <v>0</v>
      </c>
      <c r="G82" s="611"/>
      <c r="H82" s="588" t="str">
        <f>IF(OR($F$72="NADA A CUMPRIR",$F$72="NÃO CABE"),"SIM","NÃO")</f>
        <v>NÃO</v>
      </c>
      <c r="I82" s="613" t="str">
        <f>IF(N82="SIM","SIM","NÃO")</f>
        <v>NÃO</v>
      </c>
      <c r="J82" s="588" t="str">
        <f>IF(OR($M$73="NÃO CABE",$M$73="ATENDE"),"SIM","NÃO")</f>
        <v>NÃO</v>
      </c>
      <c r="K82" s="588" t="str">
        <f>IF(OR($M$74="NÃO CABE",$M$74="ATENDE"),"SIM","NÃO")</f>
        <v>SIM</v>
      </c>
      <c r="L82" s="614"/>
      <c r="M82" s="588" t="str">
        <f>IF(OR($M$75="ATENDE",$M$75="OK"),"SIM","NÃO")</f>
        <v>NÃO</v>
      </c>
      <c r="N82" s="619" t="str">
        <f>IF($N$8&gt;=36145,"NÃO",IF(AND(C82="SIM",H82="SIM",J82="SIM",K82="SIM",M82="SIM"),"SIM","NÃO"))</f>
        <v>NÃO</v>
      </c>
      <c r="O82" s="255"/>
      <c r="P82" s="28"/>
      <c r="Q82" s="8"/>
      <c r="R82" s="5"/>
      <c r="S82" s="27"/>
      <c r="T82" s="28"/>
      <c r="U82" s="27"/>
      <c r="V82" s="28"/>
      <c r="W82" s="27"/>
      <c r="X82" s="114"/>
      <c r="Y82" s="100"/>
      <c r="Z82" s="115"/>
      <c r="AA82" s="114"/>
      <c r="AB82" s="114"/>
      <c r="AC82" s="7"/>
      <c r="AD82" s="70"/>
      <c r="AE82" s="70"/>
      <c r="AF82" s="70"/>
      <c r="AG82" s="69"/>
      <c r="AX82" s="11"/>
      <c r="AY82" s="11"/>
      <c r="AZ82" s="11"/>
      <c r="BA82" s="85"/>
    </row>
    <row r="83" spans="1:64" hidden="1" thickBot="1" x14ac:dyDescent="0.2">
      <c r="A83" s="295"/>
      <c r="B83" s="30"/>
      <c r="C83" s="5"/>
      <c r="D83" s="5"/>
      <c r="E83" s="5"/>
      <c r="F83" s="5"/>
      <c r="G83" s="5"/>
      <c r="H83" s="5"/>
      <c r="I83" s="5"/>
      <c r="J83" s="5"/>
      <c r="K83" s="5"/>
      <c r="L83" s="5"/>
      <c r="M83" s="2"/>
      <c r="N83" s="5"/>
      <c r="O83" s="2" t="str">
        <f>IF($F$72="NADA A CUMPRIR","OK",IF($F$72="NÃO CABE","NÃO CABE","NÃO CUMPRE"))</f>
        <v>NÃO CUMPRE</v>
      </c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5.95" hidden="1" customHeight="1" thickTop="1" x14ac:dyDescent="0.15">
      <c r="C84" s="21"/>
      <c r="D84" s="21"/>
      <c r="F84" s="5"/>
      <c r="G84" s="5"/>
      <c r="H84" s="5"/>
      <c r="I84" s="5"/>
      <c r="J84" s="5"/>
      <c r="K84" s="5"/>
      <c r="L84" s="5"/>
      <c r="M84" s="2"/>
      <c r="N84" s="5"/>
      <c r="O84" s="255"/>
      <c r="AC84" s="69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Z84" s="11"/>
      <c r="BA84" s="85"/>
      <c r="BB84" s="686"/>
      <c r="BC84" s="687">
        <f>SUM(F30:F32)</f>
        <v>0</v>
      </c>
      <c r="BD84" s="687"/>
      <c r="BE84" s="687"/>
      <c r="BF84" s="688"/>
      <c r="BG84" s="688"/>
      <c r="BH84" s="688"/>
      <c r="BI84" s="688" t="s">
        <v>361</v>
      </c>
      <c r="BJ84" s="689" t="s">
        <v>362</v>
      </c>
      <c r="BK84" s="690" t="s">
        <v>362</v>
      </c>
      <c r="BL84" s="691" t="s">
        <v>363</v>
      </c>
    </row>
    <row r="85" spans="1:64" ht="15.95" hidden="1" customHeight="1" thickBot="1" x14ac:dyDescent="0.2">
      <c r="C85" s="21"/>
      <c r="D85" s="21"/>
      <c r="G85" s="5"/>
      <c r="H85" s="5"/>
      <c r="I85" s="5"/>
      <c r="J85" s="5"/>
      <c r="K85" s="5"/>
      <c r="L85" s="5"/>
      <c r="M85" s="2"/>
      <c r="N85" s="5"/>
      <c r="O85" s="255"/>
      <c r="AC85" s="69"/>
      <c r="AD85" s="70"/>
      <c r="AE85" s="70"/>
      <c r="AF85" s="70"/>
      <c r="AG85" s="69"/>
      <c r="AZ85" s="11"/>
      <c r="BA85" s="85"/>
      <c r="BB85" s="692" t="s">
        <v>364</v>
      </c>
      <c r="BC85" s="693">
        <v>5</v>
      </c>
      <c r="BD85" s="693">
        <v>10</v>
      </c>
      <c r="BE85" s="693">
        <v>15</v>
      </c>
      <c r="BF85" s="693">
        <v>20</v>
      </c>
      <c r="BG85" s="694">
        <v>25</v>
      </c>
      <c r="BH85" s="694" t="s">
        <v>365</v>
      </c>
      <c r="BI85" s="695" t="s">
        <v>366</v>
      </c>
      <c r="BJ85" s="696" t="s">
        <v>367</v>
      </c>
      <c r="BK85" s="697">
        <v>34820</v>
      </c>
      <c r="BL85" s="698">
        <v>34851</v>
      </c>
    </row>
    <row r="86" spans="1:64" ht="15.95" hidden="1" customHeight="1" thickBot="1" x14ac:dyDescent="0.2">
      <c r="B86" s="88" t="s">
        <v>449</v>
      </c>
      <c r="C86" s="89"/>
      <c r="D86" s="97" t="s">
        <v>546</v>
      </c>
      <c r="E86" s="98"/>
      <c r="F86" s="99"/>
      <c r="G86" s="5"/>
      <c r="H86" s="5"/>
      <c r="I86" s="5"/>
      <c r="J86" s="5"/>
      <c r="K86" s="5"/>
      <c r="L86" s="5"/>
      <c r="M86" s="2"/>
      <c r="N86" s="5"/>
      <c r="O86" s="255"/>
      <c r="AC86" s="69"/>
      <c r="AD86" s="70"/>
      <c r="AE86" s="70"/>
      <c r="AF86" s="70"/>
      <c r="AG86" s="69"/>
      <c r="AZ86" s="11"/>
      <c r="BA86" s="85"/>
      <c r="BB86" s="692"/>
      <c r="BC86" s="693"/>
      <c r="BD86" s="693"/>
      <c r="BE86" s="693"/>
      <c r="BF86" s="693"/>
      <c r="BG86" s="694"/>
      <c r="BH86" s="694"/>
      <c r="BI86" s="695"/>
      <c r="BJ86" s="696"/>
      <c r="BK86" s="697"/>
      <c r="BL86" s="698"/>
    </row>
    <row r="87" spans="1:64" ht="15.95" hidden="1" customHeight="1" thickBot="1" x14ac:dyDescent="0.2">
      <c r="B87" s="91" t="s">
        <v>450</v>
      </c>
      <c r="C87" s="90"/>
      <c r="D87" s="90"/>
      <c r="E87" s="90"/>
      <c r="F87" s="92"/>
      <c r="G87" s="5"/>
      <c r="H87" s="5"/>
      <c r="I87" s="5"/>
      <c r="J87" s="5"/>
      <c r="K87" s="5"/>
      <c r="L87" s="5"/>
      <c r="M87" s="2"/>
      <c r="N87" s="5"/>
      <c r="O87" s="255"/>
      <c r="AC87" s="69"/>
      <c r="AD87" s="21"/>
      <c r="AE87" s="21"/>
      <c r="AF87" s="21"/>
      <c r="AZ87" s="11"/>
      <c r="BA87" s="85"/>
      <c r="BB87" s="699"/>
      <c r="BC87" s="700">
        <f>(BC84+F45+F59)/365</f>
        <v>0</v>
      </c>
      <c r="BD87" s="701"/>
      <c r="BE87" s="701"/>
      <c r="BF87" s="701"/>
      <c r="BG87" s="701"/>
      <c r="BH87" s="701"/>
      <c r="BI87" s="702">
        <v>0.45</v>
      </c>
      <c r="BJ87" s="703"/>
      <c r="BK87" s="704"/>
      <c r="BL87" s="705" t="s">
        <v>368</v>
      </c>
    </row>
    <row r="88" spans="1:64" ht="15.95" hidden="1" customHeight="1" x14ac:dyDescent="0.15">
      <c r="B88" s="91" t="s">
        <v>455</v>
      </c>
      <c r="C88" s="90"/>
      <c r="D88" s="90"/>
      <c r="E88" s="90"/>
      <c r="F88" s="92"/>
      <c r="G88" s="5"/>
      <c r="H88" s="5"/>
      <c r="I88" s="5"/>
      <c r="J88" s="5"/>
      <c r="K88" s="5"/>
      <c r="L88" s="5"/>
      <c r="M88" s="2"/>
      <c r="N88" s="5"/>
      <c r="O88" s="255"/>
      <c r="AD88" s="70"/>
      <c r="AE88" s="70"/>
      <c r="AF88" s="70"/>
      <c r="AG88" s="69"/>
      <c r="AZ88" s="11"/>
      <c r="BA88" s="85"/>
      <c r="BB88" s="706" t="s">
        <v>369</v>
      </c>
      <c r="BC88" s="707" t="s">
        <v>370</v>
      </c>
      <c r="BD88" s="708" t="s">
        <v>371</v>
      </c>
      <c r="BE88" s="708" t="s">
        <v>372</v>
      </c>
      <c r="BF88" s="708" t="s">
        <v>373</v>
      </c>
      <c r="BG88" s="708" t="s">
        <v>374</v>
      </c>
      <c r="BH88" s="709" t="s">
        <v>375</v>
      </c>
      <c r="BI88" s="710" t="e">
        <f>#REF!*1.45</f>
        <v>#REF!</v>
      </c>
      <c r="BJ88" s="711">
        <v>80.64</v>
      </c>
      <c r="BK88" s="712">
        <v>100</v>
      </c>
      <c r="BL88" s="713">
        <v>112</v>
      </c>
    </row>
    <row r="89" spans="1:64" ht="15.95" hidden="1" customHeight="1" x14ac:dyDescent="0.15">
      <c r="B89" s="91" t="s">
        <v>467</v>
      </c>
      <c r="C89" s="90"/>
      <c r="D89" s="90"/>
      <c r="E89" s="90"/>
      <c r="F89" s="92"/>
      <c r="G89" s="5"/>
      <c r="H89" s="5"/>
      <c r="I89" s="5"/>
      <c r="J89" s="5"/>
      <c r="K89" s="5"/>
      <c r="L89" s="5"/>
      <c r="M89" s="2"/>
      <c r="N89" s="5"/>
      <c r="O89" s="255"/>
      <c r="AD89" s="70"/>
      <c r="AE89" s="70"/>
      <c r="AF89" s="70"/>
      <c r="AG89" s="69"/>
      <c r="AZ89" s="11"/>
      <c r="BA89" s="85"/>
      <c r="BB89" s="714" t="s">
        <v>376</v>
      </c>
      <c r="BC89" s="715" t="s">
        <v>370</v>
      </c>
      <c r="BD89" s="716" t="s">
        <v>371</v>
      </c>
      <c r="BE89" s="716" t="s">
        <v>372</v>
      </c>
      <c r="BF89" s="716" t="s">
        <v>373</v>
      </c>
      <c r="BG89" s="716" t="s">
        <v>374</v>
      </c>
      <c r="BH89" s="717" t="s">
        <v>375</v>
      </c>
      <c r="BI89" s="718" t="e">
        <f>#REF!*1.45</f>
        <v>#REF!</v>
      </c>
      <c r="BJ89" s="719">
        <v>90.32</v>
      </c>
      <c r="BK89" s="720">
        <v>100</v>
      </c>
      <c r="BL89" s="721">
        <v>125.44</v>
      </c>
    </row>
    <row r="90" spans="1:64" ht="15.95" hidden="1" customHeight="1" x14ac:dyDescent="0.15">
      <c r="B90" s="91" t="s">
        <v>468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D90" s="70"/>
      <c r="AE90" s="70"/>
      <c r="AF90" s="70"/>
      <c r="AG90" s="69"/>
      <c r="AZ90" s="11"/>
      <c r="BA90" s="85"/>
      <c r="BB90" s="714" t="s">
        <v>377</v>
      </c>
      <c r="BC90" s="715" t="s">
        <v>371</v>
      </c>
      <c r="BD90" s="716" t="s">
        <v>372</v>
      </c>
      <c r="BE90" s="716" t="s">
        <v>373</v>
      </c>
      <c r="BF90" s="716" t="s">
        <v>374</v>
      </c>
      <c r="BG90" s="716" t="s">
        <v>375</v>
      </c>
      <c r="BH90" s="717" t="s">
        <v>378</v>
      </c>
      <c r="BI90" s="718" t="e">
        <f>#REF!*1.45</f>
        <v>#REF!</v>
      </c>
      <c r="BJ90" s="719">
        <v>101.15</v>
      </c>
      <c r="BK90" s="720">
        <v>101.15</v>
      </c>
      <c r="BL90" s="721">
        <v>140.4</v>
      </c>
    </row>
    <row r="91" spans="1:64" ht="15.95" hidden="1" customHeight="1" x14ac:dyDescent="0.15">
      <c r="B91" s="91" t="s">
        <v>470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14" t="s">
        <v>379</v>
      </c>
      <c r="BC91" s="715" t="s">
        <v>371</v>
      </c>
      <c r="BD91" s="716" t="s">
        <v>372</v>
      </c>
      <c r="BE91" s="716" t="s">
        <v>373</v>
      </c>
      <c r="BF91" s="716" t="s">
        <v>374</v>
      </c>
      <c r="BG91" s="716" t="s">
        <v>375</v>
      </c>
      <c r="BH91" s="717" t="s">
        <v>378</v>
      </c>
      <c r="BI91" s="718" t="e">
        <f>#REF!*1.45</f>
        <v>#REF!</v>
      </c>
      <c r="BJ91" s="719">
        <v>113.29</v>
      </c>
      <c r="BK91" s="720">
        <v>113.29</v>
      </c>
      <c r="BL91" s="721">
        <v>157.35</v>
      </c>
    </row>
    <row r="92" spans="1:64" ht="15.95" hidden="1" customHeight="1" x14ac:dyDescent="0.15">
      <c r="B92" s="91" t="s">
        <v>471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380</v>
      </c>
      <c r="BC92" s="715" t="s">
        <v>372</v>
      </c>
      <c r="BD92" s="716" t="s">
        <v>373</v>
      </c>
      <c r="BE92" s="716" t="s">
        <v>374</v>
      </c>
      <c r="BF92" s="716" t="s">
        <v>375</v>
      </c>
      <c r="BG92" s="716" t="s">
        <v>378</v>
      </c>
      <c r="BH92" s="717" t="s">
        <v>381</v>
      </c>
      <c r="BI92" s="718" t="e">
        <f>#REF!*1.45</f>
        <v>#REF!</v>
      </c>
      <c r="BJ92" s="719">
        <v>126.89</v>
      </c>
      <c r="BK92" s="720">
        <v>129.88999999999999</v>
      </c>
      <c r="BL92" s="721">
        <v>176.23</v>
      </c>
    </row>
    <row r="93" spans="1:64" ht="15.95" hidden="1" customHeight="1" x14ac:dyDescent="0.15">
      <c r="B93" s="93" t="s">
        <v>472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328</v>
      </c>
      <c r="BC93" s="715" t="s">
        <v>372</v>
      </c>
      <c r="BD93" s="716" t="s">
        <v>373</v>
      </c>
      <c r="BE93" s="716" t="s">
        <v>374</v>
      </c>
      <c r="BF93" s="716" t="s">
        <v>375</v>
      </c>
      <c r="BG93" s="716" t="s">
        <v>378</v>
      </c>
      <c r="BH93" s="717" t="s">
        <v>381</v>
      </c>
      <c r="BI93" s="718">
        <f>A126*1.45</f>
        <v>0</v>
      </c>
      <c r="BJ93" s="719">
        <v>80.64</v>
      </c>
      <c r="BK93" s="720">
        <v>100</v>
      </c>
      <c r="BL93" s="721">
        <v>112</v>
      </c>
    </row>
    <row r="94" spans="1:64" ht="15.95" hidden="1" customHeight="1" x14ac:dyDescent="0.15">
      <c r="B94" s="93" t="s">
        <v>487</v>
      </c>
      <c r="C94" s="90"/>
      <c r="D94" s="90"/>
      <c r="E94" s="90"/>
      <c r="F94" s="92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382</v>
      </c>
      <c r="BC94" s="715" t="s">
        <v>372</v>
      </c>
      <c r="BD94" s="716" t="s">
        <v>373</v>
      </c>
      <c r="BE94" s="716" t="s">
        <v>374</v>
      </c>
      <c r="BF94" s="716" t="s">
        <v>375</v>
      </c>
      <c r="BG94" s="716" t="s">
        <v>378</v>
      </c>
      <c r="BH94" s="717" t="s">
        <v>381</v>
      </c>
      <c r="BI94" s="718">
        <f>A127*1.45</f>
        <v>0</v>
      </c>
      <c r="BJ94" s="719">
        <v>90.32</v>
      </c>
      <c r="BK94" s="720">
        <v>100</v>
      </c>
      <c r="BL94" s="721">
        <v>125.44</v>
      </c>
    </row>
    <row r="95" spans="1:64" ht="15.95" hidden="1" customHeight="1" thickBot="1" x14ac:dyDescent="0.2">
      <c r="B95" s="94" t="s">
        <v>484</v>
      </c>
      <c r="C95" s="95"/>
      <c r="D95" s="95"/>
      <c r="E95" s="95"/>
      <c r="F95" s="96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383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>
        <f>A128*1.45</f>
        <v>0</v>
      </c>
      <c r="BJ95" s="719">
        <v>101.15</v>
      </c>
      <c r="BK95" s="720">
        <v>101.15</v>
      </c>
      <c r="BL95" s="721">
        <v>140.4</v>
      </c>
    </row>
    <row r="96" spans="1:64" ht="15.95" hidden="1" customHeight="1" x14ac:dyDescent="0.15">
      <c r="B96" s="30"/>
      <c r="C96" s="5"/>
      <c r="D96" s="5"/>
      <c r="E96" s="5"/>
      <c r="F96" s="5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384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A129*1.45</f>
        <v>1.45</v>
      </c>
      <c r="BJ96" s="719">
        <v>113.29</v>
      </c>
      <c r="BK96" s="720">
        <v>113.29</v>
      </c>
      <c r="BL96" s="721">
        <v>157.35</v>
      </c>
    </row>
    <row r="97" spans="2:64" ht="13.5" hidden="1" x14ac:dyDescent="0.15">
      <c r="B97" s="30"/>
      <c r="C97" s="5"/>
      <c r="D97" s="5"/>
      <c r="E97" s="5"/>
      <c r="F97" s="5"/>
      <c r="G97" s="5"/>
      <c r="H97" s="5"/>
      <c r="I97" s="5"/>
      <c r="J97" s="74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385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A129*1.45</f>
        <v>1.45</v>
      </c>
      <c r="BJ97" s="719">
        <v>126.89</v>
      </c>
      <c r="BK97" s="720">
        <v>126.89</v>
      </c>
      <c r="BL97" s="721">
        <v>176.23</v>
      </c>
    </row>
    <row r="98" spans="2:64" ht="13.5" hidden="1" x14ac:dyDescent="0.15">
      <c r="B98" s="1849" t="s">
        <v>508</v>
      </c>
      <c r="C98" s="1849"/>
      <c r="D98" s="1849"/>
      <c r="E98" s="1849"/>
      <c r="H98" s="5"/>
      <c r="I98" s="37"/>
      <c r="J98" s="5"/>
      <c r="K98" s="27"/>
      <c r="L98" s="6"/>
      <c r="M98" s="27"/>
      <c r="N98" s="60"/>
      <c r="O98" s="255"/>
      <c r="AD98" s="70"/>
      <c r="AE98" s="70"/>
      <c r="AF98" s="70"/>
      <c r="AG98" s="69"/>
      <c r="AZ98" s="11"/>
      <c r="BA98" s="85"/>
      <c r="BB98" s="714" t="s">
        <v>386</v>
      </c>
      <c r="BC98" s="715" t="s">
        <v>372</v>
      </c>
      <c r="BD98" s="716" t="s">
        <v>373</v>
      </c>
      <c r="BE98" s="716" t="s">
        <v>374</v>
      </c>
      <c r="BF98" s="716" t="s">
        <v>375</v>
      </c>
      <c r="BG98" s="716" t="s">
        <v>378</v>
      </c>
      <c r="BH98" s="717" t="s">
        <v>381</v>
      </c>
      <c r="BI98" s="718">
        <f>A130*1.45</f>
        <v>2.9</v>
      </c>
      <c r="BJ98" s="719">
        <v>126.89</v>
      </c>
      <c r="BK98" s="720">
        <v>126.89</v>
      </c>
      <c r="BL98" s="721">
        <v>176.23</v>
      </c>
    </row>
    <row r="99" spans="2:64" hidden="1" thickBot="1" x14ac:dyDescent="0.2">
      <c r="B99" s="34" t="s">
        <v>463</v>
      </c>
      <c r="C99" s="17"/>
      <c r="D99" s="21"/>
      <c r="E99" s="36"/>
      <c r="F99" s="5"/>
      <c r="G99" s="28"/>
      <c r="H99" s="5"/>
      <c r="I99" s="17" t="s">
        <v>463</v>
      </c>
      <c r="J99" s="5" t="str">
        <f>IF(E2=B89,H100,IF(E2=B91,H100,IF(E2=B93,H100,IF(E2=B94,H100,"NÃO CABE"))))</f>
        <v>NÃO CABE</v>
      </c>
      <c r="K99" s="27"/>
      <c r="L99" s="6" t="s">
        <v>510</v>
      </c>
      <c r="M99" s="27"/>
      <c r="N99" s="60"/>
      <c r="O99" s="255"/>
      <c r="X99" s="11"/>
      <c r="Y99" s="11"/>
      <c r="Z99" s="11"/>
      <c r="AA99" s="11"/>
      <c r="AB99" s="11"/>
      <c r="AC99" s="69"/>
      <c r="AD99" s="70"/>
      <c r="AE99" s="70"/>
      <c r="AF99" s="70"/>
      <c r="AG99" s="69"/>
      <c r="AZ99" s="11"/>
      <c r="BA99" s="85"/>
      <c r="BB99" s="714" t="s">
        <v>387</v>
      </c>
      <c r="BC99" s="715" t="s">
        <v>373</v>
      </c>
      <c r="BD99" s="716" t="s">
        <v>374</v>
      </c>
      <c r="BE99" s="716" t="s">
        <v>375</v>
      </c>
      <c r="BF99" s="716" t="s">
        <v>378</v>
      </c>
      <c r="BG99" s="716" t="s">
        <v>381</v>
      </c>
      <c r="BH99" s="717" t="s">
        <v>388</v>
      </c>
      <c r="BI99" s="718" t="e">
        <f>A131*1.45</f>
        <v>#VALUE!</v>
      </c>
      <c r="BJ99" s="719">
        <v>142.12</v>
      </c>
      <c r="BK99" s="720">
        <v>142.12</v>
      </c>
      <c r="BL99" s="721">
        <v>197.38</v>
      </c>
    </row>
    <row r="100" spans="2:64" hidden="1" thickBot="1" x14ac:dyDescent="0.2">
      <c r="B100" s="34" t="s">
        <v>485</v>
      </c>
      <c r="C100" s="17"/>
      <c r="D100" s="16"/>
      <c r="E100" s="57" t="str">
        <f>IF($F$100="NÃO CABE","NÃO CABE",IF($G$10="X",$F$100/30,$F$100/35))</f>
        <v>NÃO CABE</v>
      </c>
      <c r="F100" s="10" t="str">
        <f>IF(E2="VOLUNTÁRIA ESPECIAL","NÃO CABE",IF(E2="VOLUNTÁRIA INTEGRAL","NÃO CABE",IF(E2="COMPULSÓRIA INTEGRAL","NÃO CABE",IF(E2="INVALIDEZ INTEGRAL","NÃO CABE",ROUNDDOWN(F61/365,0)))))</f>
        <v>NÃO CABE</v>
      </c>
      <c r="G100" s="28"/>
      <c r="H100" s="14">
        <f>IF(E100&gt;1,1,E100)</f>
        <v>1</v>
      </c>
      <c r="I100" s="17" t="s">
        <v>485</v>
      </c>
      <c r="J100" s="5" t="str">
        <f>IF($E$2=$B$89,H100,IF($E$2=$B$91,H100,IF($E$2=$B$93,H100,"NÃO CABE")))</f>
        <v>NÃO CABE</v>
      </c>
      <c r="K100" s="27"/>
      <c r="L100" s="57" t="str">
        <f>IF($F$100="NÃO CABE","NÃO CABE",IF($G$10="X",$F$61/10950,$F$61/12775))</f>
        <v>NÃO CABE</v>
      </c>
      <c r="M100" s="14">
        <f>IF(L100&gt;1,1,L100)</f>
        <v>1</v>
      </c>
      <c r="N100" s="5" t="str">
        <f>IF($E$2=$B$89,M100,IF($E$2=$B$91,M100,IF($E$2=$B$93,M100,"NÃO CABE")))</f>
        <v>NÃO CABE</v>
      </c>
      <c r="O100" s="255"/>
      <c r="X100" s="11"/>
      <c r="Y100" s="11"/>
      <c r="Z100" s="11"/>
      <c r="AA100" s="11"/>
      <c r="AB100" s="11"/>
      <c r="AC100" s="69"/>
      <c r="AD100" s="70"/>
      <c r="AE100" s="70"/>
      <c r="AF100" s="70"/>
      <c r="AG100" s="69"/>
      <c r="AZ100" s="11"/>
      <c r="BA100" s="85"/>
      <c r="BB100" s="714" t="s">
        <v>389</v>
      </c>
      <c r="BC100" s="715" t="s">
        <v>373</v>
      </c>
      <c r="BD100" s="716" t="s">
        <v>374</v>
      </c>
      <c r="BE100" s="716" t="s">
        <v>375</v>
      </c>
      <c r="BF100" s="716" t="s">
        <v>378</v>
      </c>
      <c r="BG100" s="716" t="s">
        <v>381</v>
      </c>
      <c r="BH100" s="717" t="s">
        <v>388</v>
      </c>
      <c r="BI100" s="718">
        <f>A133*1.45</f>
        <v>5.8</v>
      </c>
      <c r="BJ100" s="719">
        <v>90.32</v>
      </c>
      <c r="BK100" s="720">
        <v>100</v>
      </c>
      <c r="BL100" s="721">
        <v>125.44</v>
      </c>
    </row>
    <row r="101" spans="2:64" hidden="1" thickBot="1" x14ac:dyDescent="0.2">
      <c r="B101" s="34" t="s">
        <v>476</v>
      </c>
      <c r="C101" s="17"/>
      <c r="D101" s="16"/>
      <c r="E101" s="58" t="str">
        <f>IF(E2=B94,IF(C65&gt;0,"TEMPO A CUMPRIR",IF(F101=1,75%,IF(F101=2,80%,IF(F101=3,85%,IF(F101=4,90%,IF(F101=5,95%,IF(F101&gt;=6,100%,70%))))))),"NÃO CABE")</f>
        <v>NÃO CABE</v>
      </c>
      <c r="F101" s="10">
        <f>IF(G10="X",ROUNDDOWN((F61-(25*365+E43))/365,0),ROUNDDOWN((F61-(30*365+E43))/365,0))</f>
        <v>-37</v>
      </c>
      <c r="G101" s="28"/>
      <c r="I101" s="17" t="s">
        <v>476</v>
      </c>
      <c r="J101" s="5" t="str">
        <f>IF(E2=B94,E101,"NÃO CABE")</f>
        <v>NÃO CABE</v>
      </c>
      <c r="K101" s="27"/>
      <c r="L101" s="65"/>
      <c r="M101" s="66">
        <f>O10</f>
        <v>0</v>
      </c>
      <c r="N101" s="60">
        <v>38037</v>
      </c>
      <c r="O101" s="255"/>
      <c r="X101" s="11"/>
      <c r="Y101" s="11"/>
      <c r="Z101" s="11"/>
      <c r="AA101" s="11"/>
      <c r="AB101" s="11"/>
      <c r="AC101" s="69"/>
      <c r="AD101" s="70"/>
      <c r="AE101" s="70"/>
      <c r="AF101" s="70"/>
      <c r="AG101" s="69"/>
      <c r="AZ101" s="11"/>
      <c r="BA101" s="85"/>
      <c r="BB101" s="714" t="s">
        <v>390</v>
      </c>
      <c r="BC101" s="715" t="s">
        <v>373</v>
      </c>
      <c r="BD101" s="716" t="s">
        <v>374</v>
      </c>
      <c r="BE101" s="716" t="s">
        <v>375</v>
      </c>
      <c r="BF101" s="716" t="s">
        <v>378</v>
      </c>
      <c r="BG101" s="716" t="s">
        <v>381</v>
      </c>
      <c r="BH101" s="717" t="s">
        <v>388</v>
      </c>
      <c r="BI101" s="718"/>
      <c r="BJ101" s="719"/>
      <c r="BK101" s="720"/>
      <c r="BL101" s="721"/>
    </row>
    <row r="102" spans="2:64" hidden="1" thickBot="1" x14ac:dyDescent="0.2">
      <c r="B102" s="35" t="s">
        <v>464</v>
      </c>
      <c r="C102" s="33"/>
      <c r="D102" s="16"/>
      <c r="E102" s="36" t="s">
        <v>457</v>
      </c>
      <c r="F102" s="5">
        <f>IF($D$12="X",50-$N$11,55-$N$11)</f>
        <v>55</v>
      </c>
      <c r="G102" s="28"/>
      <c r="H102" s="59" t="str">
        <f>IF($G$10="X",IF($O$9&gt;=17532,IF($O$10&gt;=38718,1-($F$102*0.05),1-($F$102*0.035)),"NÃO CABE"),IF($O$9&gt;=19359,IF($O$10&gt;=38718,1-($F$103*0.05),1-($F$103*0.035)),"NÃO CABE"))</f>
        <v>NÃO CABE</v>
      </c>
      <c r="I102" s="33" t="s">
        <v>464</v>
      </c>
      <c r="J102" s="61" t="str">
        <f>IF(E2=B95,H103,"NÃO CABE")</f>
        <v>NÃO CABE</v>
      </c>
      <c r="K102" s="27"/>
      <c r="L102" s="6"/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X102" s="11"/>
      <c r="AY102" s="11"/>
      <c r="AZ102" s="11"/>
      <c r="BA102" s="85"/>
      <c r="BB102" s="714" t="s">
        <v>391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 t="e">
        <f>A135*1.45</f>
        <v>#VALUE!</v>
      </c>
      <c r="BJ102" s="719">
        <v>101.15</v>
      </c>
      <c r="BK102" s="720">
        <v>101.15</v>
      </c>
      <c r="BL102" s="721">
        <v>140.4</v>
      </c>
    </row>
    <row r="103" spans="2:64" ht="13.5" hidden="1" x14ac:dyDescent="0.15">
      <c r="B103" s="39">
        <v>38717</v>
      </c>
      <c r="C103" s="11">
        <v>38717</v>
      </c>
      <c r="D103" s="16"/>
      <c r="E103" s="36" t="s">
        <v>456</v>
      </c>
      <c r="F103" s="5">
        <f>IF($D$12="X",55-$N$11,60-$N$11)</f>
        <v>60</v>
      </c>
      <c r="G103" s="28"/>
      <c r="H103" s="14">
        <f>IF(H102="NÃO CABE",0,IF(H102&gt;1,1,H102))</f>
        <v>0</v>
      </c>
      <c r="I103" s="18"/>
      <c r="J103" s="5"/>
      <c r="K103" s="27"/>
      <c r="L103" s="6"/>
      <c r="M103" s="27"/>
      <c r="N103" s="60"/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S103" s="69"/>
      <c r="AX103" s="11"/>
      <c r="AY103" s="11"/>
      <c r="AZ103" s="11"/>
      <c r="BA103" s="85"/>
      <c r="BB103" s="714" t="s">
        <v>392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/>
      <c r="BJ103" s="719"/>
      <c r="BK103" s="720"/>
      <c r="BL103" s="721"/>
    </row>
    <row r="104" spans="2:64" ht="13.5" hidden="1" x14ac:dyDescent="0.15">
      <c r="B104" s="39">
        <v>38718</v>
      </c>
      <c r="C104" s="11">
        <v>38718</v>
      </c>
      <c r="D104" s="8"/>
      <c r="E104" s="63"/>
      <c r="F104" s="6"/>
      <c r="G104" s="6"/>
      <c r="H104" s="6"/>
      <c r="I104" s="18"/>
      <c r="J104" s="9"/>
      <c r="K104" s="5"/>
      <c r="L104" s="6"/>
      <c r="M104" s="10"/>
      <c r="N104" s="11"/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X104" s="11"/>
      <c r="AY104" s="11"/>
      <c r="AZ104" s="11"/>
      <c r="BA104" s="85"/>
      <c r="BB104" s="714" t="s">
        <v>393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>
        <f>A136*1.45</f>
        <v>8.6999999999999993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62"/>
      <c r="C105" s="38">
        <v>38097</v>
      </c>
      <c r="D105" s="8"/>
      <c r="E105" s="5"/>
      <c r="F105" s="6"/>
      <c r="G105" s="6"/>
      <c r="H105" s="6"/>
      <c r="I105" s="6"/>
      <c r="J105" s="9"/>
      <c r="K105" s="5"/>
      <c r="L105" s="6"/>
      <c r="M105" s="10"/>
      <c r="N105" s="11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394</v>
      </c>
      <c r="BC105" s="715" t="s">
        <v>373</v>
      </c>
      <c r="BD105" s="716" t="s">
        <v>374</v>
      </c>
      <c r="BE105" s="716" t="s">
        <v>375</v>
      </c>
      <c r="BF105" s="716" t="s">
        <v>378</v>
      </c>
      <c r="BG105" s="716" t="s">
        <v>381</v>
      </c>
      <c r="BH105" s="717" t="s">
        <v>388</v>
      </c>
      <c r="BI105" s="718">
        <f>A137*1.45</f>
        <v>10.15</v>
      </c>
      <c r="BJ105" s="719">
        <v>113.29</v>
      </c>
      <c r="BK105" s="720">
        <v>113.29</v>
      </c>
      <c r="BL105" s="721">
        <v>157.35</v>
      </c>
    </row>
    <row r="106" spans="2:64" ht="13.5" hidden="1" x14ac:dyDescent="0.15">
      <c r="B106" s="6"/>
      <c r="C106" s="38"/>
      <c r="D106" s="8"/>
      <c r="E106" s="5"/>
      <c r="F106" s="6"/>
      <c r="G106" s="6"/>
      <c r="H106" s="6"/>
      <c r="I106" s="6"/>
      <c r="J106" s="9"/>
      <c r="K106" s="5"/>
      <c r="L106" s="6"/>
      <c r="M106" s="10"/>
      <c r="N106" s="11"/>
      <c r="O106" s="255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X106" s="11"/>
      <c r="AY106" s="11"/>
      <c r="AZ106" s="11"/>
      <c r="BA106" s="85"/>
      <c r="BB106" s="714" t="s">
        <v>395</v>
      </c>
      <c r="BC106" s="715" t="s">
        <v>396</v>
      </c>
      <c r="BD106" s="716" t="s">
        <v>397</v>
      </c>
      <c r="BE106" s="716" t="s">
        <v>397</v>
      </c>
      <c r="BF106" s="716" t="s">
        <v>398</v>
      </c>
      <c r="BG106" s="716" t="s">
        <v>398</v>
      </c>
      <c r="BH106" s="716" t="s">
        <v>398</v>
      </c>
      <c r="BI106" s="718"/>
      <c r="BJ106" s="719"/>
      <c r="BK106" s="720"/>
      <c r="BL106" s="721"/>
    </row>
    <row r="107" spans="2:64" ht="13.5" hidden="1" x14ac:dyDescent="0.15">
      <c r="B107" s="1849" t="s">
        <v>477</v>
      </c>
      <c r="C107" s="1849"/>
      <c r="D107" s="1849"/>
      <c r="E107" s="1849"/>
      <c r="F107" s="1849"/>
      <c r="G107" s="1849"/>
      <c r="H107" s="1849"/>
      <c r="I107" s="1849"/>
      <c r="J107" s="1849"/>
      <c r="K107" s="1849" t="s">
        <v>477</v>
      </c>
      <c r="L107" s="1849"/>
      <c r="M107" s="1849"/>
      <c r="N107" s="1849"/>
      <c r="O107" s="1849"/>
      <c r="P107" s="1849"/>
      <c r="Q107" s="1849"/>
      <c r="R107" s="1849"/>
      <c r="S107" s="1849"/>
      <c r="T107" s="11"/>
      <c r="U107" s="11"/>
      <c r="V107" s="11"/>
      <c r="W107" s="11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399</v>
      </c>
      <c r="BC107" s="715" t="s">
        <v>396</v>
      </c>
      <c r="BD107" s="716" t="s">
        <v>397</v>
      </c>
      <c r="BE107" s="716" t="s">
        <v>397</v>
      </c>
      <c r="BF107" s="716" t="s">
        <v>398</v>
      </c>
      <c r="BG107" s="716" t="s">
        <v>398</v>
      </c>
      <c r="BH107" s="716" t="s">
        <v>398</v>
      </c>
      <c r="BI107" s="718">
        <f>A140*1.45</f>
        <v>13.049999999999999</v>
      </c>
      <c r="BJ107" s="719">
        <v>126.89</v>
      </c>
      <c r="BK107" s="720">
        <v>126.89</v>
      </c>
      <c r="BL107" s="721">
        <v>176.23</v>
      </c>
    </row>
    <row r="108" spans="2:64" ht="13.5" hidden="1" x14ac:dyDescent="0.15">
      <c r="B108" s="19" t="s">
        <v>480</v>
      </c>
      <c r="C108" s="8"/>
      <c r="D108" s="8"/>
      <c r="E108" s="5"/>
      <c r="F108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08" s="6"/>
      <c r="H108" s="6"/>
      <c r="I108" s="6"/>
      <c r="J108" s="9"/>
      <c r="K108" s="5"/>
      <c r="L108" s="41" t="s">
        <v>450</v>
      </c>
      <c r="M108" s="10"/>
      <c r="N108" s="11"/>
      <c r="O108" s="255" t="str">
        <f>IF(E2=L108,IF(K2=O3,F108,IF(K2=O4,F110,IF(K2=O6,F108,IF(K2=O7,F109,IF(K2=O2,"NADA A CRITICAR","REANALISAR FUNDAMENTAÇÃO E/OU MODALIDADE"))))))</f>
        <v>NÃO ATENDE LIMITE MÍNIMO DE IDADE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400</v>
      </c>
      <c r="BC108" s="715" t="s">
        <v>396</v>
      </c>
      <c r="BD108" s="716" t="s">
        <v>397</v>
      </c>
      <c r="BE108" s="716" t="s">
        <v>397</v>
      </c>
      <c r="BF108" s="716" t="s">
        <v>398</v>
      </c>
      <c r="BG108" s="716" t="s">
        <v>398</v>
      </c>
      <c r="BH108" s="716" t="s">
        <v>398</v>
      </c>
      <c r="BI108" s="718"/>
      <c r="BJ108" s="719"/>
      <c r="BK108" s="720"/>
      <c r="BL108" s="721"/>
    </row>
    <row r="109" spans="2:64" ht="13.5" hidden="1" x14ac:dyDescent="0.15">
      <c r="B109" s="6" t="s">
        <v>481</v>
      </c>
      <c r="D109" s="10"/>
      <c r="E109" s="11"/>
      <c r="F109" s="6" t="str">
        <f>IF(G10="X",IF(O9&gt;=I122,"ATENDE LIMITE MÍNIMO DE IDADE","NÃO ATENDE LIMITE MÍNIMO DE IDADE"),IF(O9&gt;=J122,"ATENDE LIMITE MÍNIMO DE IDADE","NÃO ATENDE LIMITE MÍNIMO DE IDADE"))</f>
        <v>NÃO ATENDE LIMITE MÍNIMO DE IDADE</v>
      </c>
      <c r="G109" s="6"/>
      <c r="H109" s="6"/>
      <c r="I109" s="6"/>
      <c r="J109" s="9"/>
      <c r="L109" s="41" t="s">
        <v>455</v>
      </c>
      <c r="O109" s="255" t="str">
        <f>IF(E2=L109,IF(K2=O3,F111,IF(K2=O4,F114,IF(K2=O6,F111,IF(K2=O2,"NADA A CRITICAR","REANALISAR FUNDAMENTAÇÃO E/OU MODALIDADE")))),"REANALISAR FUNDAMENTAÇÃO E/OU MODALIDADE")</f>
        <v>REANALISAR FUNDAMENTAÇÃO E/OU MODALIDADE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14" t="s">
        <v>401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>
        <f>A142*1.45</f>
        <v>15.95</v>
      </c>
      <c r="BJ109" s="719">
        <v>142.12</v>
      </c>
      <c r="BK109" s="720">
        <v>142.12</v>
      </c>
      <c r="BL109" s="721">
        <v>197.38</v>
      </c>
    </row>
    <row r="110" spans="2:64" ht="13.5" hidden="1" x14ac:dyDescent="0.15">
      <c r="B110" s="20" t="s">
        <v>482</v>
      </c>
      <c r="F110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0" s="5"/>
      <c r="L110" s="41" t="s">
        <v>467</v>
      </c>
      <c r="O110" s="254" t="str">
        <f>IF(E2=L110,IF(K2=O3,F112,IF(K2=O2,F112,"REANALISAR FUNDAMENTAÇÃO E/OU MODALIDADE")),"REANALISAR FUNDAMENTAÇÃO E/OU MODALIDADE")</f>
        <v>REANALISAR FUNDAMENTAÇÃO E/OU MODALIDADE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22" t="s">
        <v>402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/>
      <c r="BJ110" s="719"/>
      <c r="BK110" s="720"/>
      <c r="BL110" s="721"/>
    </row>
    <row r="111" spans="2:64" ht="13.5" hidden="1" x14ac:dyDescent="0.15">
      <c r="B111" s="6" t="s">
        <v>478</v>
      </c>
      <c r="C111" s="8"/>
      <c r="D111" s="8"/>
      <c r="E111" s="5"/>
      <c r="F111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1" s="6"/>
      <c r="H111" s="6"/>
      <c r="I111" s="6"/>
      <c r="J111" s="9"/>
      <c r="K111" s="5"/>
      <c r="L111" s="11" t="s">
        <v>487</v>
      </c>
      <c r="M111" s="10"/>
      <c r="N111" s="11"/>
      <c r="O111" s="255" t="str">
        <f>IF(E2=L111,IF(K2=O4,F113,IF(K2=O2,"NADA A CRITICAR","REANALISAR FUNDAMENTAÇÃO E/OU MODALIDADE")),"REANALISAR FUNDAMENTAÇÃO E/OU MODALIDADE")</f>
        <v>REANALISAR FUNDAMENTAÇÃO E/OU MODALIDADE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403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>
        <f>A144*1.45</f>
        <v>18.849999999999998</v>
      </c>
      <c r="BJ111" s="719">
        <v>159.16999999999999</v>
      </c>
      <c r="BK111" s="720">
        <v>159.16999999999999</v>
      </c>
      <c r="BL111" s="721">
        <v>221.06</v>
      </c>
    </row>
    <row r="112" spans="2:64" ht="13.5" hidden="1" x14ac:dyDescent="0.15">
      <c r="B112" s="6" t="s">
        <v>479</v>
      </c>
      <c r="C112" s="8"/>
      <c r="D112" s="8"/>
      <c r="E112" s="5"/>
      <c r="F112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2" s="6"/>
      <c r="H112" s="6"/>
      <c r="I112" s="6"/>
      <c r="J112" s="9"/>
      <c r="K112" s="5"/>
      <c r="L112" s="42" t="s">
        <v>484</v>
      </c>
      <c r="M112" s="10"/>
      <c r="N112" s="11"/>
      <c r="O112" s="255" t="str">
        <f>IF(E2=L112,IF(K2=O5,F110,"REANALISAR FUNDAMENTAÇÃO E/OU MODALIDADE"),"REANALISAR FUNDAMENTAÇÃO E/OU MODALIDADE")</f>
        <v>REANALISAR FUNDAMENTAÇÃO E/OU MODALIDADE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404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>
        <f>A145*1.45</f>
        <v>20.3</v>
      </c>
      <c r="BJ112" s="719">
        <v>101.15</v>
      </c>
      <c r="BK112" s="720">
        <v>101.15</v>
      </c>
      <c r="BL112" s="721">
        <v>140.4</v>
      </c>
    </row>
    <row r="113" spans="2:64" hidden="1" x14ac:dyDescent="0.15">
      <c r="B113" s="20" t="s">
        <v>483</v>
      </c>
      <c r="C113" s="43"/>
      <c r="D113" s="43"/>
      <c r="E113" s="44"/>
      <c r="F113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3" s="44"/>
      <c r="H113" s="44"/>
      <c r="I113" s="44"/>
      <c r="J113" s="44"/>
      <c r="K113" s="45"/>
      <c r="L113" s="46" t="s">
        <v>488</v>
      </c>
      <c r="M113" s="46"/>
      <c r="N113" s="47"/>
      <c r="O113" s="255" t="b">
        <f>IF($K$2=$O$2,IF($E$2=$B$90,$F$115,IF(E2=$B$91,$F$115,IF($E$2=$B$92,"EX OFFICIO",IF($E$2=$B$93,"EX OFFICIO","REANALISAR FUNDAMENTAÇÃO E/OU MODALIDADE")))),IF($K$2=$O$3,IF($E$2=$B$90,$F$115,IF($E$2=$B$91,$F$115,IF($E$2=$B$92,"EX OFFICIO",IF($E$2=$B$93,"EX OFFICIO","REANALISAR FUNDAMENTAÇÃO E/OU MODADALIDADE"))))))</f>
        <v>0</v>
      </c>
      <c r="P113" s="3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405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2:64" ht="13.5" hidden="1" x14ac:dyDescent="0.15">
      <c r="B114" s="20" t="s">
        <v>486</v>
      </c>
      <c r="C114" s="43"/>
      <c r="D114" s="43"/>
      <c r="E114" s="44"/>
      <c r="F114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4" s="44"/>
      <c r="H114" s="44"/>
      <c r="I114" s="44"/>
      <c r="J114" s="44"/>
      <c r="K114" s="46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23" t="s">
        <v>406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44" t="s">
        <v>503</v>
      </c>
      <c r="C115" s="43"/>
      <c r="D115" s="43"/>
      <c r="E115" s="44"/>
      <c r="F115" s="44" t="str">
        <f>IF($N$11&gt;=70,"ATENDE LIMITE MÍNIMO DE IDADE","NÃO ATENDE LIMITE MÍNIMO DE IDADE")</f>
        <v>NÃO ATENDE LIMITE MÍNIMO DE IDADE</v>
      </c>
      <c r="G115" s="44"/>
      <c r="H115" s="44"/>
      <c r="I115" s="44"/>
      <c r="J115" s="44"/>
      <c r="K115" s="46"/>
      <c r="L115" s="48"/>
      <c r="M115" s="48"/>
      <c r="N115" s="47"/>
      <c r="O115" s="255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23" t="s">
        <v>407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/>
      <c r="BJ115" s="719"/>
      <c r="BK115" s="720"/>
      <c r="BL115" s="721"/>
    </row>
    <row r="116" spans="2:64" ht="13.5" hidden="1" x14ac:dyDescent="0.15">
      <c r="B116" s="44"/>
      <c r="C116" s="43"/>
      <c r="D116" s="43"/>
      <c r="E116" s="44"/>
      <c r="F116" s="44"/>
      <c r="G116" s="44"/>
      <c r="H116" s="44"/>
      <c r="I116" s="44"/>
      <c r="J116" s="44"/>
      <c r="K116" s="46"/>
      <c r="L116" s="49" t="s">
        <v>498</v>
      </c>
      <c r="M116" s="11"/>
      <c r="N116" s="11"/>
      <c r="O116" s="255"/>
      <c r="P116" s="79"/>
      <c r="Q116" s="79"/>
      <c r="R116" s="79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23" t="s">
        <v>408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50"/>
      <c r="C117" s="50"/>
      <c r="D117" s="50"/>
      <c r="E117" s="50"/>
      <c r="F117" s="50"/>
      <c r="G117" s="50"/>
      <c r="H117" s="50"/>
      <c r="I117" s="50"/>
      <c r="J117" s="50"/>
      <c r="K117" s="51"/>
      <c r="L117" s="11" t="s">
        <v>499</v>
      </c>
      <c r="M117" s="11"/>
      <c r="N117" s="11"/>
      <c r="O117" s="255"/>
      <c r="P117" s="79"/>
      <c r="Q117" s="86">
        <f>IF(K2=O4,IF(E2=B87,R117,IF(E2=B88,R117,IF(E2=B94,R117,IF(G10="X",(30*365)-F61,(35*365)-F61)))),IF(K2=O5,IF(E2=B95,R117,IF(G10="X",(30*365)-F61,(35*365)-F61))))</f>
        <v>15330</v>
      </c>
      <c r="R117" s="86">
        <f>IF($K$2=$O$4,IF($F$61&gt;=($F$37+$E$44),0,($F$37+$E$44)-$F$61),IF($K$2=$O$5,IF($F$61&gt;=($F$37+$E$44),0,($F$37+$E$44)-$F$61)))</f>
        <v>15330</v>
      </c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409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2:64" ht="13.5" hidden="1" x14ac:dyDescent="0.15">
      <c r="B118" s="52"/>
      <c r="C118" s="52"/>
      <c r="D118" s="52"/>
      <c r="E118" s="52"/>
      <c r="F118" s="52"/>
      <c r="G118" s="52"/>
      <c r="H118" s="52"/>
      <c r="I118" s="52"/>
      <c r="J118" s="52"/>
      <c r="K118" s="53"/>
      <c r="L118" s="42" t="s">
        <v>500</v>
      </c>
      <c r="M118" s="11"/>
      <c r="N118" s="11"/>
      <c r="O118" s="255"/>
      <c r="P118" s="79"/>
      <c r="Q118" s="86">
        <f>IF(E2="VOLUNTÁRIA ESPECIAL",IF(D12="X",IF(G10="X",(25*365)-F61,(30*365)-F61)),IF(G10="X",(30*365)-F61,(35*365)-F61))</f>
        <v>12775</v>
      </c>
      <c r="R118" s="79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3" t="s">
        <v>410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17" t="s">
        <v>463</v>
      </c>
      <c r="M119" s="11"/>
      <c r="N119" s="11"/>
      <c r="O119" s="255" t="s">
        <v>504</v>
      </c>
      <c r="P119" s="79"/>
      <c r="Q119" s="87"/>
      <c r="R119" s="86">
        <f>IF(E2="VOLUNTÁRIA ESPECIAL",IF(D12="X",IF(G10="X",(25*365)-$F$37,(30*365)-$F$37)),IF(G10="X",(30*365)-$F$37,(35*365)-$F$37))</f>
        <v>12775</v>
      </c>
      <c r="S119" s="11"/>
      <c r="T119" s="5"/>
      <c r="U119" s="5"/>
      <c r="V119" s="5"/>
      <c r="W119" s="5"/>
      <c r="X119" s="5"/>
      <c r="Y119" s="5"/>
      <c r="Z119" s="5"/>
      <c r="AA119" s="5"/>
      <c r="AB119" s="5"/>
      <c r="AC119" s="69"/>
      <c r="AD119" s="70"/>
      <c r="AE119" s="70"/>
      <c r="AF119" s="70"/>
      <c r="AG119" s="69"/>
      <c r="AX119" s="11"/>
      <c r="AY119" s="11"/>
      <c r="AZ119" s="5"/>
      <c r="BA119" s="724"/>
      <c r="BB119" s="723" t="s">
        <v>411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2:64" ht="13.5" hidden="1" customHeight="1" x14ac:dyDescent="0.15">
      <c r="B120" s="6"/>
      <c r="C120" s="1943" t="s">
        <v>459</v>
      </c>
      <c r="D120" s="1943"/>
      <c r="E120" s="1943"/>
      <c r="F120" s="1943" t="s">
        <v>460</v>
      </c>
      <c r="G120" s="1943"/>
      <c r="H120" s="1943"/>
      <c r="I120" s="1943" t="s">
        <v>461</v>
      </c>
      <c r="J120" s="1943"/>
      <c r="K120" s="51"/>
      <c r="L120" s="51"/>
      <c r="M120" s="54"/>
      <c r="N120" s="54"/>
      <c r="O120" s="255" t="s">
        <v>487</v>
      </c>
      <c r="P120" s="78"/>
      <c r="Q120" s="78"/>
      <c r="R120" s="86">
        <f>IF(E2=B94,IF(G10="X",(25*365)-$F$37,(30*365)-$F$37),IF(G10="X",(30*365)-$F$37,(35*365)-$F$37))</f>
        <v>12775</v>
      </c>
      <c r="AX120" s="11"/>
      <c r="AY120" s="11"/>
      <c r="BB120" s="723" t="s">
        <v>412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2:64" ht="12.75" hidden="1" customHeight="1" x14ac:dyDescent="0.15">
      <c r="B121" s="40" t="s">
        <v>454</v>
      </c>
      <c r="C121" s="40" t="s">
        <v>457</v>
      </c>
      <c r="D121" s="8"/>
      <c r="E121" s="5" t="s">
        <v>456</v>
      </c>
      <c r="F121" s="6" t="s">
        <v>457</v>
      </c>
      <c r="G121" s="6"/>
      <c r="H121" s="6" t="s">
        <v>456</v>
      </c>
      <c r="I121" s="8" t="s">
        <v>457</v>
      </c>
      <c r="J121" s="8" t="s">
        <v>456</v>
      </c>
      <c r="K121" s="51"/>
      <c r="L121" s="18" t="s">
        <v>466</v>
      </c>
      <c r="M121" s="54"/>
      <c r="N121" s="54"/>
      <c r="O121" s="255" t="s">
        <v>509</v>
      </c>
      <c r="P121" s="78"/>
      <c r="Q121" s="86">
        <f>IF(K2=O7,IF($E$2=B87,IF($G$10="X",(30*365)-$F$61,(35*365)-$F$61)),IF($G$10="X",(30*365)-$F$61,(35*365)-$F$61))</f>
        <v>12775</v>
      </c>
      <c r="R121" s="78"/>
      <c r="AX121" s="11"/>
      <c r="AY121" s="11"/>
      <c r="BB121" s="723" t="s">
        <v>413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customHeight="1" x14ac:dyDescent="0.15">
      <c r="B122" s="16" t="s">
        <v>450</v>
      </c>
      <c r="C122" s="55">
        <f>30*365</f>
        <v>10950</v>
      </c>
      <c r="D122" s="55"/>
      <c r="E122" s="55">
        <f>35*365</f>
        <v>12775</v>
      </c>
      <c r="F122" s="55">
        <v>20089</v>
      </c>
      <c r="G122" s="55"/>
      <c r="H122" s="55">
        <v>21914</v>
      </c>
      <c r="I122" s="55">
        <f>F122-C125</f>
        <v>31039</v>
      </c>
      <c r="J122" s="55">
        <f>H122-E125</f>
        <v>34689</v>
      </c>
      <c r="K122" s="51"/>
      <c r="L122" s="51"/>
      <c r="M122" s="54"/>
      <c r="N122" s="54"/>
      <c r="P122" s="78"/>
      <c r="Q122" s="78"/>
      <c r="R122" s="78"/>
      <c r="AX122" s="11"/>
      <c r="AY122" s="11"/>
      <c r="BB122" s="723" t="s">
        <v>414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2.75" hidden="1" customHeight="1" x14ac:dyDescent="0.15">
      <c r="B123" s="16" t="s">
        <v>455</v>
      </c>
      <c r="C123" s="47">
        <f>25*365</f>
        <v>9125</v>
      </c>
      <c r="D123" s="47"/>
      <c r="E123" s="47">
        <f>30*365</f>
        <v>10950</v>
      </c>
      <c r="F123" s="55">
        <v>18264</v>
      </c>
      <c r="G123" s="55"/>
      <c r="H123" s="55">
        <v>20089</v>
      </c>
      <c r="I123" s="47">
        <f>ROUNDDOWN(I122/365,0)</f>
        <v>85</v>
      </c>
      <c r="J123" s="47">
        <f>ROUNDDOWN(J122/365,0)</f>
        <v>95</v>
      </c>
      <c r="K123" s="51"/>
      <c r="L123" s="51"/>
      <c r="M123" s="54"/>
      <c r="N123" s="54"/>
      <c r="P123" s="78"/>
      <c r="Q123" s="78"/>
      <c r="R123" s="78"/>
      <c r="AX123" s="11"/>
      <c r="AY123" s="11"/>
      <c r="BB123" s="723" t="s">
        <v>415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2.75" hidden="1" customHeight="1" x14ac:dyDescent="0.15">
      <c r="B124" s="48"/>
      <c r="C124" s="48"/>
      <c r="D124" s="48"/>
      <c r="E124" s="46"/>
      <c r="F124" s="48"/>
      <c r="G124" s="48"/>
      <c r="H124" s="48"/>
      <c r="I124" s="48"/>
      <c r="J124" s="46"/>
      <c r="K124" s="51"/>
      <c r="L124" s="51"/>
      <c r="M124" s="54"/>
      <c r="N124" s="54"/>
      <c r="AX124" s="5"/>
      <c r="AY124" s="5"/>
      <c r="BB124" s="723" t="s">
        <v>416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2.75" hidden="1" customHeight="1" x14ac:dyDescent="0.15">
      <c r="B125" s="48" t="s">
        <v>458</v>
      </c>
      <c r="C125" s="56">
        <f>ROUNDDOWN((F61-C122),0)</f>
        <v>-10950</v>
      </c>
      <c r="D125" s="48"/>
      <c r="E125" s="56">
        <f>ROUNDDOWN((F61-E122),0)</f>
        <v>-12775</v>
      </c>
      <c r="F125" s="48"/>
      <c r="G125" s="48"/>
      <c r="H125" s="48"/>
      <c r="I125" s="48"/>
      <c r="J125" s="46"/>
      <c r="K125" s="51"/>
      <c r="L125" s="51"/>
      <c r="M125" s="54"/>
      <c r="N125" s="54"/>
      <c r="BB125" s="723" t="s">
        <v>417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2.75" hidden="1" customHeight="1" x14ac:dyDescent="0.15"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4"/>
      <c r="N126" s="54"/>
      <c r="BB126" s="723" t="s">
        <v>418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2.75" hidden="1" customHeight="1" thickBot="1" x14ac:dyDescent="0.2">
      <c r="B127" s="1848" t="s">
        <v>548</v>
      </c>
      <c r="C127" s="1848"/>
      <c r="D127" s="1848"/>
      <c r="E127" s="1848"/>
      <c r="F127" s="1848"/>
      <c r="G127" s="1848"/>
      <c r="H127" s="1848"/>
      <c r="I127" s="1848"/>
      <c r="J127" s="1848"/>
      <c r="K127" s="1848"/>
      <c r="L127" s="1848"/>
      <c r="M127" s="1848"/>
      <c r="N127" s="1848"/>
      <c r="BB127" s="312"/>
      <c r="BC127" s="313"/>
      <c r="BD127" s="314"/>
      <c r="BE127" s="314"/>
      <c r="BF127" s="315"/>
      <c r="BG127" s="315"/>
      <c r="BH127" s="316"/>
      <c r="BI127" s="317">
        <f>A147*1.45</f>
        <v>23.2</v>
      </c>
      <c r="BJ127" s="318">
        <v>113.29</v>
      </c>
      <c r="BK127" s="319">
        <v>113.29</v>
      </c>
      <c r="BL127" s="320">
        <v>157.35</v>
      </c>
    </row>
    <row r="128" spans="2:64" ht="12.75" hidden="1" customHeight="1" x14ac:dyDescent="0.15">
      <c r="B128" s="51" t="s">
        <v>656</v>
      </c>
      <c r="C128" s="21" t="s">
        <v>657</v>
      </c>
      <c r="D128" s="101">
        <v>36145</v>
      </c>
      <c r="E128" s="101">
        <v>37986</v>
      </c>
      <c r="F128" s="102">
        <v>37986</v>
      </c>
      <c r="G128" s="246" t="s">
        <v>608</v>
      </c>
      <c r="H128" s="51" t="s">
        <v>609</v>
      </c>
      <c r="I128" s="51" t="s">
        <v>610</v>
      </c>
      <c r="J128" s="21" t="s">
        <v>612</v>
      </c>
      <c r="M128" s="40" t="s">
        <v>658</v>
      </c>
      <c r="P128" s="109"/>
      <c r="Q128" s="110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BB128" s="321"/>
      <c r="BC128" s="322"/>
      <c r="BD128" s="322"/>
      <c r="BE128" s="322"/>
      <c r="BF128" s="323"/>
      <c r="BG128" s="323"/>
      <c r="BH128" s="323"/>
      <c r="BI128" s="324"/>
      <c r="BJ128" s="325"/>
      <c r="BK128" s="326"/>
      <c r="BL128" s="327"/>
    </row>
    <row r="129" spans="1:64" ht="12.75" hidden="1" customHeight="1" x14ac:dyDescent="0.15">
      <c r="A129" s="259">
        <v>1</v>
      </c>
      <c r="B129" s="107" t="s">
        <v>549</v>
      </c>
      <c r="C129" s="21" t="s">
        <v>613</v>
      </c>
      <c r="D129" s="104">
        <f>IF(ISERROR(HLOOKUP($N$34,$Q$39:$AA$40,2)),0,HLOOKUP($N$34,$Q$39:$AA$40,2))</f>
        <v>0</v>
      </c>
      <c r="E129" s="105">
        <f>IF(ISERROR(HLOOKUP($O$34,$Q$39:$AA$40,2)),0,HLOOKUP($O$34,$Q$39:$AA$40,2))</f>
        <v>0</v>
      </c>
      <c r="F129" s="106">
        <f>IF(ISERROR(HLOOKUP($O$60,$Q$39:$AA$40,2)),0,HLOOKUP($O$60,$Q$39:$AA$40,2))</f>
        <v>0</v>
      </c>
      <c r="G129" s="21" t="s">
        <v>611</v>
      </c>
      <c r="J129" s="21" t="s">
        <v>611</v>
      </c>
      <c r="M129" s="21" t="s">
        <v>659</v>
      </c>
      <c r="P129" s="328"/>
      <c r="Q129" s="328"/>
      <c r="R129" s="5"/>
      <c r="S129" s="8"/>
      <c r="T129" s="5"/>
      <c r="U129" s="5"/>
      <c r="V129" s="5"/>
      <c r="W129" s="27"/>
      <c r="X129" s="5"/>
      <c r="Y129" s="5"/>
      <c r="Z129" s="100"/>
      <c r="AA129" s="5"/>
      <c r="AB129" s="5"/>
      <c r="BB129" s="321"/>
      <c r="BC129" s="322"/>
      <c r="BD129" s="322"/>
      <c r="BE129" s="322"/>
      <c r="BF129" s="323"/>
      <c r="BG129" s="323"/>
      <c r="BH129" s="323"/>
      <c r="BI129" s="324"/>
      <c r="BJ129" s="325"/>
      <c r="BK129" s="326"/>
      <c r="BL129" s="327"/>
    </row>
    <row r="130" spans="1:64" ht="12.75" hidden="1" customHeight="1" x14ac:dyDescent="0.15">
      <c r="A130" s="259">
        <v>2</v>
      </c>
      <c r="B130" s="51" t="s">
        <v>550</v>
      </c>
      <c r="C130" s="21" t="s">
        <v>527</v>
      </c>
      <c r="D130" s="104">
        <f>IF(ISERROR(HLOOKUP($J$130,$Q$26:$AT$27,2)),0,HLOOKUP($J$130,$Q$26:$AT$27,2))</f>
        <v>0</v>
      </c>
      <c r="E130" s="105">
        <f>IF(ISERROR(HLOOKUP($K$130,$Q$26:$AT$27,2)),0,HLOOKUP($K$130,$Q$26:$AT$27,2))</f>
        <v>0</v>
      </c>
      <c r="F130" s="106">
        <f>IF(ISERROR(HLOOKUP($L$130,$Q$26:$AT$27,2)),0,HLOOKUP($L$130,$Q$26:$AT$27,2))</f>
        <v>0</v>
      </c>
      <c r="G130" s="67">
        <f>SUM($F$27:$F$32)</f>
        <v>0</v>
      </c>
      <c r="H130" s="67">
        <f>SUM($F$27:$F$32)+$J$51</f>
        <v>0</v>
      </c>
      <c r="I130" s="67">
        <f>SUM($F$27:$F$32)+$J$51+$J$60</f>
        <v>0</v>
      </c>
      <c r="J130" s="21">
        <f t="shared" ref="J130:J152" si="0">ROUNDDOWN(G130/365,0)</f>
        <v>0</v>
      </c>
      <c r="K130" s="21">
        <f t="shared" ref="K130:K152" si="1">ROUNDDOWN(H130/365,0)</f>
        <v>0</v>
      </c>
      <c r="L130" s="21">
        <f t="shared" ref="L130:L152" si="2">ROUNDDOWN(I130/365,0)</f>
        <v>0</v>
      </c>
      <c r="M130" s="21" t="s">
        <v>660</v>
      </c>
      <c r="P130" s="328"/>
      <c r="Q130" s="328"/>
      <c r="BB130" s="321"/>
      <c r="BC130" s="322"/>
      <c r="BD130" s="322"/>
      <c r="BE130" s="322"/>
      <c r="BF130" s="323"/>
      <c r="BG130" s="323"/>
      <c r="BH130" s="323"/>
      <c r="BI130" s="324"/>
      <c r="BJ130" s="325"/>
      <c r="BK130" s="326"/>
      <c r="BL130" s="327"/>
    </row>
    <row r="131" spans="1:64" ht="12.75" hidden="1" customHeight="1" x14ac:dyDescent="0.15">
      <c r="A131" s="259" t="s">
        <v>554</v>
      </c>
      <c r="B131" s="51" t="s">
        <v>615</v>
      </c>
      <c r="C131" s="21" t="s">
        <v>613</v>
      </c>
      <c r="D131" s="104">
        <f>IF(ISERROR(HLOOKUP($J$131,$Q$45:$AB$46,2)),0,HLOOKUP($J$131,$Q$45:$AB$46,2))</f>
        <v>0</v>
      </c>
      <c r="E131" s="105">
        <f>IF(ISERROR(HLOOKUP($K$131,$Q$45:$AB$46,2)),0,HLOOKUP($K$131,$Q$45:$AB$46,2))</f>
        <v>0</v>
      </c>
      <c r="F131" s="106">
        <f>IF(ISERROR(HLOOKUP($L$131,$Q$45:$AB$46,2)),0,HLOOKUP($L$131,$Q$45:$AB$46,2))</f>
        <v>0</v>
      </c>
      <c r="G131" s="67">
        <f>SUM($F$27:$F$32)</f>
        <v>0</v>
      </c>
      <c r="H131" s="67">
        <f>SUM($F$27:$F$32)+$J$51</f>
        <v>0</v>
      </c>
      <c r="I131" s="67">
        <f>SUM($F$27:$F$32)+$J$51+$J$60</f>
        <v>0</v>
      </c>
      <c r="J131" s="21">
        <f t="shared" si="0"/>
        <v>0</v>
      </c>
      <c r="K131" s="21">
        <f t="shared" si="1"/>
        <v>0</v>
      </c>
      <c r="L131" s="21">
        <f t="shared" si="2"/>
        <v>0</v>
      </c>
      <c r="M131" s="21" t="s">
        <v>660</v>
      </c>
      <c r="P131" s="328"/>
      <c r="Q131" s="328"/>
      <c r="BB131" s="321"/>
      <c r="BC131" s="322"/>
      <c r="BD131" s="322"/>
      <c r="BE131" s="322"/>
      <c r="BF131" s="323"/>
      <c r="BG131" s="323"/>
      <c r="BH131" s="323"/>
      <c r="BI131" s="324"/>
      <c r="BJ131" s="325"/>
      <c r="BK131" s="326"/>
      <c r="BL131" s="327"/>
    </row>
    <row r="132" spans="1:64" ht="12.75" hidden="1" customHeight="1" x14ac:dyDescent="0.15">
      <c r="A132" s="259">
        <v>3</v>
      </c>
      <c r="B132" s="51" t="s">
        <v>551</v>
      </c>
      <c r="C132" s="21" t="s">
        <v>613</v>
      </c>
      <c r="D132" s="104">
        <f>IF(ISERROR(HLOOKUP($J$132,$Q$48:$AB$49,2)),0,HLOOKUP($J$132,$Q$48:$AB$49,2))</f>
        <v>0</v>
      </c>
      <c r="E132" s="105">
        <f>IF(ISERROR(HLOOKUP($K$132,$Q$48:$AB$49,2)),0,HLOOKUP($K$132,$Q$48:$AB$49,2))</f>
        <v>0</v>
      </c>
      <c r="F132" s="106">
        <f>IF(ISERROR(HLOOKUP($L$132,$Q$48:$AB$49,2)),0,HLOOKUP($L$132,$Q$48:$AB$49,2))</f>
        <v>0</v>
      </c>
      <c r="G132" s="67">
        <f>SUM($F$30:$F$32)</f>
        <v>0</v>
      </c>
      <c r="H132" s="67">
        <f>SUM($F$30:$F$32)+$J$51</f>
        <v>0</v>
      </c>
      <c r="I132" s="67">
        <f>SUM($F$30:$F$32)+$J$51+$J$60</f>
        <v>0</v>
      </c>
      <c r="J132" s="21">
        <f t="shared" si="0"/>
        <v>0</v>
      </c>
      <c r="K132" s="21">
        <f t="shared" si="1"/>
        <v>0</v>
      </c>
      <c r="L132" s="21">
        <f t="shared" si="2"/>
        <v>0</v>
      </c>
      <c r="M132" s="21" t="s">
        <v>660</v>
      </c>
      <c r="P132" s="328"/>
      <c r="Q132" s="328"/>
      <c r="BB132" s="69"/>
      <c r="BC132" s="69"/>
      <c r="BD132" s="69"/>
      <c r="BE132" s="69"/>
      <c r="BF132" s="69"/>
      <c r="BG132" s="69"/>
      <c r="BH132" s="69"/>
      <c r="BI132" s="69"/>
      <c r="BJ132" s="69"/>
      <c r="BK132" s="326"/>
      <c r="BL132" s="327"/>
    </row>
    <row r="133" spans="1:64" ht="12.75" hidden="1" customHeight="1" x14ac:dyDescent="0.15">
      <c r="A133" s="259">
        <v>4</v>
      </c>
      <c r="B133" s="51" t="s">
        <v>552</v>
      </c>
      <c r="C133" s="21" t="s">
        <v>613</v>
      </c>
      <c r="D133" s="104">
        <f>IF(ISERROR(HLOOKUP($J$133,$Q$48:$Z$49,2)),0,HLOOKUP($J$133,$Q$48:$Z$49,2))</f>
        <v>0</v>
      </c>
      <c r="E133" s="105">
        <f>IF(ISERROR(HLOOKUP($K$133,$Q$48:$Z$49,2)),0,HLOOKUP($K$133,$Q$48:$Z$49,2))</f>
        <v>0</v>
      </c>
      <c r="F133" s="106">
        <f>IF(ISERROR(HLOOKUP($L$133,$Q$48:$Z$49,2)),0,HLOOKUP($L$133,$Q$48:$Z$49,2))</f>
        <v>0</v>
      </c>
      <c r="G133" s="67">
        <f>SUM($F$27:$F$32)</f>
        <v>0</v>
      </c>
      <c r="H133" s="67">
        <f>SUM($F$27:$F$32)+$J$51</f>
        <v>0</v>
      </c>
      <c r="I133" s="67">
        <f>SUM($F$27:$F$32)+$J$51+$J$60</f>
        <v>0</v>
      </c>
      <c r="J133" s="21">
        <f t="shared" si="0"/>
        <v>0</v>
      </c>
      <c r="K133" s="21">
        <f t="shared" si="1"/>
        <v>0</v>
      </c>
      <c r="L133" s="21">
        <f t="shared" si="2"/>
        <v>0</v>
      </c>
      <c r="M133" s="21" t="s">
        <v>660</v>
      </c>
      <c r="P133" s="328"/>
      <c r="Q133" s="328"/>
      <c r="BB133" s="69"/>
      <c r="BC133" s="69"/>
      <c r="BD133" s="69" t="s">
        <v>349</v>
      </c>
      <c r="BE133" s="70">
        <v>5</v>
      </c>
      <c r="BF133" s="70">
        <v>10</v>
      </c>
      <c r="BG133" s="70">
        <v>15</v>
      </c>
      <c r="BH133" s="70">
        <v>20</v>
      </c>
      <c r="BI133" s="70">
        <v>25</v>
      </c>
      <c r="BJ133" s="329" t="s">
        <v>365</v>
      </c>
      <c r="BK133" s="326"/>
      <c r="BL133" s="327"/>
    </row>
    <row r="134" spans="1:64" ht="12.75" hidden="1" customHeight="1" x14ac:dyDescent="0.15">
      <c r="A134" s="259">
        <v>5</v>
      </c>
      <c r="B134" s="51" t="s">
        <v>553</v>
      </c>
      <c r="C134" s="21" t="s">
        <v>613</v>
      </c>
      <c r="D134" s="104">
        <f>IF(ISERROR(HLOOKUP($J$134,$Q$48:$AB$49,2)),0,HLOOKUP($J$134,$Q$48:$AB$49,2))</f>
        <v>0</v>
      </c>
      <c r="E134" s="105">
        <f>IF(ISERROR(HLOOKUP($K$134,$Q$48:$AB$49,2)),0,HLOOKUP($K$134,$Q$48:$AB$49,2))</f>
        <v>0</v>
      </c>
      <c r="F134" s="106">
        <f>IF(ISERROR(HLOOKUP($L$134,$Q$48:$AB$49,2)),0,HLOOKUP($L$134,$Q$48:$AB$49,2))</f>
        <v>0</v>
      </c>
      <c r="G134" s="67">
        <f>SUM($F$30:$F$32)</f>
        <v>0</v>
      </c>
      <c r="H134" s="67">
        <f>SUM($F$30:$F$32)+$J$51</f>
        <v>0</v>
      </c>
      <c r="I134" s="67">
        <f>SUM($F$30:$F$32)+$J$51+$J$60</f>
        <v>0</v>
      </c>
      <c r="J134" s="21">
        <f t="shared" si="0"/>
        <v>0</v>
      </c>
      <c r="K134" s="21">
        <f t="shared" si="1"/>
        <v>0</v>
      </c>
      <c r="L134" s="21">
        <f t="shared" si="2"/>
        <v>0</v>
      </c>
      <c r="M134" s="21" t="s">
        <v>660</v>
      </c>
      <c r="P134" s="328"/>
      <c r="Q134" s="328"/>
      <c r="BB134" s="69"/>
      <c r="BC134" s="330" t="s">
        <v>419</v>
      </c>
      <c r="BD134" s="330" t="s">
        <v>420</v>
      </c>
      <c r="BE134" s="69" t="s">
        <v>421</v>
      </c>
      <c r="BF134" s="69" t="s">
        <v>422</v>
      </c>
      <c r="BG134" s="69" t="s">
        <v>423</v>
      </c>
      <c r="BH134" s="69" t="s">
        <v>424</v>
      </c>
      <c r="BI134" s="69" t="s">
        <v>425</v>
      </c>
      <c r="BJ134" s="69" t="s">
        <v>426</v>
      </c>
      <c r="BK134" s="326"/>
      <c r="BL134" s="327"/>
    </row>
    <row r="135" spans="1:64" ht="12.75" hidden="1" customHeight="1" x14ac:dyDescent="0.15">
      <c r="A135" s="259" t="s">
        <v>555</v>
      </c>
      <c r="B135" s="51" t="s">
        <v>616</v>
      </c>
      <c r="C135" s="21" t="s">
        <v>613</v>
      </c>
      <c r="D135" s="104">
        <f>IF(ISERROR(HLOOKUP($J$135,$Q$48:$V$49,2)),0,HLOOKUP($J$135,$Q$48:$V$49,2))</f>
        <v>0</v>
      </c>
      <c r="E135" s="105">
        <f>IF(ISERROR(HLOOKUP($K$135,$Q$48:$V$49,2)),0,HLOOKUP($K$135,$Q$48:$V$49,2))</f>
        <v>0</v>
      </c>
      <c r="F135" s="106">
        <f>IF(ISERROR(HLOOKUP($L$135,$Q$48:$V$49,2)),0,HLOOKUP($L$135,$Q$48:$V$49,2))</f>
        <v>0</v>
      </c>
      <c r="G135" s="67">
        <f>SUM($F$30:$F$32)</f>
        <v>0</v>
      </c>
      <c r="H135" s="67">
        <f>SUM($F$30:$F$32)+$J$51</f>
        <v>0</v>
      </c>
      <c r="I135" s="67">
        <f>SUM($F$30:$F$32)+$J$51+$J$60</f>
        <v>0</v>
      </c>
      <c r="J135" s="21">
        <f t="shared" si="0"/>
        <v>0</v>
      </c>
      <c r="K135" s="21">
        <f t="shared" si="1"/>
        <v>0</v>
      </c>
      <c r="L135" s="21">
        <f t="shared" si="2"/>
        <v>0</v>
      </c>
      <c r="M135" s="21" t="s">
        <v>660</v>
      </c>
      <c r="P135" s="328"/>
      <c r="Q135" s="328"/>
      <c r="BB135" s="69"/>
      <c r="BC135" s="330" t="s">
        <v>427</v>
      </c>
      <c r="BD135" s="330" t="s">
        <v>428</v>
      </c>
      <c r="BE135" s="69" t="s">
        <v>421</v>
      </c>
      <c r="BF135" s="69" t="s">
        <v>422</v>
      </c>
      <c r="BG135" s="69" t="s">
        <v>423</v>
      </c>
      <c r="BH135" s="69" t="s">
        <v>424</v>
      </c>
      <c r="BI135" s="69" t="s">
        <v>425</v>
      </c>
      <c r="BJ135" s="69" t="s">
        <v>426</v>
      </c>
      <c r="BK135" s="326"/>
      <c r="BL135" s="327"/>
    </row>
    <row r="136" spans="1:64" ht="12.75" hidden="1" customHeight="1" x14ac:dyDescent="0.15">
      <c r="A136" s="259">
        <v>6</v>
      </c>
      <c r="B136" s="51" t="s">
        <v>556</v>
      </c>
      <c r="C136" s="21" t="s">
        <v>613</v>
      </c>
      <c r="D136" s="104">
        <f>IF(ISERROR(HLOOKUP($J$136,$Q$48:$AA$49,2)),0,HLOOKUP($J$136,$Q$48:$AA$49,2))</f>
        <v>0</v>
      </c>
      <c r="E136" s="105">
        <f>IF(ISERROR(HLOOKUP(K136,$Q$48:$AA$49,2)),0,HLOOKUP(K136,$Q$48:$AA$49,2))</f>
        <v>0</v>
      </c>
      <c r="F136" s="106">
        <f>IF(ISERROR(HLOOKUP(L136,$Q$48:$AA$49,2)),0,HLOOKUP(L136,$Q$48:$AA$49,2))</f>
        <v>0</v>
      </c>
      <c r="G136" s="396">
        <f>SUM($F$27:$F$33)</f>
        <v>0</v>
      </c>
      <c r="H136" s="103">
        <f>SUM($F$27:$F$33)+$J$51</f>
        <v>0</v>
      </c>
      <c r="I136" s="103">
        <f>SUM($F$27:$F$33)+$J$51+$J$60</f>
        <v>0</v>
      </c>
      <c r="J136" s="21">
        <f t="shared" si="0"/>
        <v>0</v>
      </c>
      <c r="K136" s="21">
        <f t="shared" si="1"/>
        <v>0</v>
      </c>
      <c r="L136" s="21">
        <f t="shared" si="2"/>
        <v>0</v>
      </c>
      <c r="M136" s="21" t="s">
        <v>660</v>
      </c>
      <c r="P136" s="328"/>
      <c r="Q136" s="328"/>
      <c r="BB136" s="69"/>
      <c r="BC136" s="330" t="s">
        <v>429</v>
      </c>
      <c r="BD136" s="330" t="s">
        <v>430</v>
      </c>
      <c r="BE136" s="69" t="s">
        <v>421</v>
      </c>
      <c r="BF136" s="69" t="s">
        <v>422</v>
      </c>
      <c r="BG136" s="69" t="s">
        <v>423</v>
      </c>
      <c r="BH136" s="69" t="s">
        <v>424</v>
      </c>
      <c r="BI136" s="69" t="s">
        <v>425</v>
      </c>
      <c r="BJ136" s="69" t="s">
        <v>426</v>
      </c>
      <c r="BK136" s="7"/>
      <c r="BL136" s="7"/>
    </row>
    <row r="137" spans="1:64" ht="12.75" hidden="1" customHeight="1" x14ac:dyDescent="0.15">
      <c r="A137" s="259">
        <v>7</v>
      </c>
      <c r="B137" s="51" t="s">
        <v>557</v>
      </c>
      <c r="C137" s="21" t="s">
        <v>547</v>
      </c>
      <c r="D137" s="104">
        <f>IF(ISERROR(HLOOKUP($J$137,$Q$77:$W$78,2)),0,HLOOKUP($J$137,$Q$77:$W$78,2))</f>
        <v>0</v>
      </c>
      <c r="E137" s="105">
        <f>IF(ISERROR(HLOOKUP(K137,$Q$77:$W$78,2)),0,HLOOKUP(K137,$Q$77:$W$78,2))</f>
        <v>0</v>
      </c>
      <c r="F137" s="106">
        <f>IF(ISERROR(HLOOKUP(L137,$Q$77:$W$78,2)),0,HLOOKUP(L137,$Q$77:$W$78,2))</f>
        <v>0</v>
      </c>
      <c r="G137" s="396">
        <f>SUM($F$30:$F$32)</f>
        <v>0</v>
      </c>
      <c r="H137" s="103">
        <f>SUM($F$30:$F$32)+$J$51</f>
        <v>0</v>
      </c>
      <c r="I137" s="103">
        <f>SUM($F$30:$F$32)+$J$51+$J$60</f>
        <v>0</v>
      </c>
      <c r="J137" s="21">
        <f t="shared" si="0"/>
        <v>0</v>
      </c>
      <c r="K137" s="21">
        <f t="shared" si="1"/>
        <v>0</v>
      </c>
      <c r="L137" s="21">
        <f t="shared" si="2"/>
        <v>0</v>
      </c>
      <c r="M137" s="21" t="s">
        <v>660</v>
      </c>
      <c r="P137" s="328"/>
      <c r="Q137" s="328"/>
      <c r="BB137" s="69"/>
      <c r="BC137" s="330" t="s">
        <v>431</v>
      </c>
      <c r="BD137" s="330" t="s">
        <v>430</v>
      </c>
      <c r="BE137" s="69" t="s">
        <v>421</v>
      </c>
      <c r="BF137" s="69" t="s">
        <v>422</v>
      </c>
      <c r="BG137" s="69" t="s">
        <v>423</v>
      </c>
      <c r="BH137" s="69" t="s">
        <v>424</v>
      </c>
      <c r="BI137" s="69" t="s">
        <v>425</v>
      </c>
      <c r="BJ137" s="69" t="s">
        <v>426</v>
      </c>
      <c r="BK137" s="5"/>
      <c r="BL137" s="5"/>
    </row>
    <row r="138" spans="1:64" ht="12.75" hidden="1" customHeight="1" x14ac:dyDescent="0.15">
      <c r="A138" s="259" t="s">
        <v>558</v>
      </c>
      <c r="B138" s="51" t="s">
        <v>614</v>
      </c>
      <c r="C138" s="21" t="s">
        <v>547</v>
      </c>
      <c r="D138" s="104">
        <f>IF(ISERROR(HLOOKUP($J$138,$Q$77:$W$78,2)),0,HLOOKUP($J$138,$Q$77:$W$78,2))</f>
        <v>0</v>
      </c>
      <c r="E138" s="105">
        <f>IF(ISERROR(HLOOKUP(K138,$Q$77:$W$78,2)),0,HLOOKUP(K138,$Q$77:$W$78,2))</f>
        <v>0</v>
      </c>
      <c r="F138" s="106">
        <f>IF(ISERROR(HLOOKUP(L138,$Q$77:$W$78,2)),0,HLOOKUP(L138,$Q$77:$W$78,2))</f>
        <v>0</v>
      </c>
      <c r="G138" s="396">
        <f>SUM($F$30:$F$32)</f>
        <v>0</v>
      </c>
      <c r="H138" s="103">
        <f>SUM($F$30:$F$32)+$J$51</f>
        <v>0</v>
      </c>
      <c r="I138" s="103">
        <f>SUM($F$30:$F$32)+$J$51+$J$60</f>
        <v>0</v>
      </c>
      <c r="J138" s="21">
        <f t="shared" si="0"/>
        <v>0</v>
      </c>
      <c r="K138" s="21">
        <f t="shared" si="1"/>
        <v>0</v>
      </c>
      <c r="L138" s="21">
        <f t="shared" si="2"/>
        <v>0</v>
      </c>
      <c r="M138" s="21" t="s">
        <v>660</v>
      </c>
      <c r="P138" s="328"/>
      <c r="Q138" s="328"/>
      <c r="BB138" s="69"/>
      <c r="BC138" s="69" t="s">
        <v>400</v>
      </c>
      <c r="BD138" s="69"/>
      <c r="BE138" s="69" t="s">
        <v>329</v>
      </c>
      <c r="BF138" s="69" t="s">
        <v>356</v>
      </c>
      <c r="BG138" s="69" t="s">
        <v>432</v>
      </c>
      <c r="BH138" s="69" t="s">
        <v>432</v>
      </c>
      <c r="BI138" s="69" t="s">
        <v>432</v>
      </c>
      <c r="BJ138" s="69" t="s">
        <v>432</v>
      </c>
      <c r="BK138" s="5"/>
      <c r="BL138" s="5"/>
    </row>
    <row r="139" spans="1:64" ht="12.75" hidden="1" customHeight="1" x14ac:dyDescent="0.15">
      <c r="A139" s="259">
        <v>8</v>
      </c>
      <c r="B139" s="51" t="s">
        <v>559</v>
      </c>
      <c r="C139" s="21" t="s">
        <v>547</v>
      </c>
      <c r="D139" s="104">
        <f>IF(ISERROR(HLOOKUP($J$139,$Q$73:$W$74,2)),0,HLOOKUP($J$139,$Q$73:$W$74,2))</f>
        <v>0</v>
      </c>
      <c r="E139" s="105">
        <f>IF(ISERROR(HLOOKUP(K139,$Q$73:$W$74,2)),0,HLOOKUP(K139,$Q$73:$W$74,2))</f>
        <v>0</v>
      </c>
      <c r="F139" s="106">
        <f>IF(ISERROR(HLOOKUP(L139,$Q$73:$W$74,2)),0,HLOOKUP(L139,$Q$73:$W$74,2))</f>
        <v>0</v>
      </c>
      <c r="G139" s="396">
        <f>SUM($F$27:$F$32)</f>
        <v>0</v>
      </c>
      <c r="H139" s="103">
        <f>SUM($F$27:$F$32)+$J$51</f>
        <v>0</v>
      </c>
      <c r="I139" s="103">
        <f>SUM($F$27:$F$32)+$J$51+$J$60</f>
        <v>0</v>
      </c>
      <c r="J139" s="21">
        <f t="shared" si="0"/>
        <v>0</v>
      </c>
      <c r="K139" s="21">
        <f t="shared" si="1"/>
        <v>0</v>
      </c>
      <c r="L139" s="21">
        <f t="shared" si="2"/>
        <v>0</v>
      </c>
      <c r="M139" s="21" t="s">
        <v>660</v>
      </c>
      <c r="P139" s="328"/>
      <c r="Q139" s="328"/>
      <c r="BB139" s="69">
        <v>26</v>
      </c>
      <c r="BC139" s="69"/>
      <c r="BD139" s="69"/>
      <c r="BE139" s="69"/>
      <c r="BF139" s="69"/>
      <c r="BG139" s="69"/>
      <c r="BH139" s="69"/>
      <c r="BI139" s="69"/>
      <c r="BJ139" s="69"/>
      <c r="BK139" s="5"/>
      <c r="BL139" s="5"/>
    </row>
    <row r="140" spans="1:64" ht="12.75" hidden="1" customHeight="1" x14ac:dyDescent="0.15">
      <c r="A140" s="259">
        <v>9</v>
      </c>
      <c r="B140" s="51" t="s">
        <v>560</v>
      </c>
      <c r="C140" s="21" t="s">
        <v>547</v>
      </c>
      <c r="D140" s="104">
        <f>IF(ISERROR(HLOOKUP($J$140,$Q$77:$W$78,2)),0,HLOOKUP($J$140,$Q$77:$W$78,2))</f>
        <v>0</v>
      </c>
      <c r="E140" s="105">
        <f>IF(ISERROR(HLOOKUP(K140,$Q$77:$W$78,2)),0,HLOOKUP(K140,$Q$77:$W$78,2))</f>
        <v>0</v>
      </c>
      <c r="F140" s="106">
        <f>IF(ISERROR(HLOOKUP(L140,$Q$77:$W$78,2)),0,HLOOKUP(L140,$Q$77:$W$78,2))</f>
        <v>0</v>
      </c>
      <c r="G140" s="396">
        <f>SUM($F$27:$F$32)</f>
        <v>0</v>
      </c>
      <c r="H140" s="103">
        <f>SUM($F$27:$F$32)+$J$51</f>
        <v>0</v>
      </c>
      <c r="I140" s="103">
        <f>SUM($F$27:$F$32)+$J$51+$J$60</f>
        <v>0</v>
      </c>
      <c r="J140" s="21">
        <f t="shared" si="0"/>
        <v>0</v>
      </c>
      <c r="K140" s="21">
        <f t="shared" si="1"/>
        <v>0</v>
      </c>
      <c r="L140" s="21">
        <f t="shared" si="2"/>
        <v>0</v>
      </c>
      <c r="M140" s="21" t="s">
        <v>660</v>
      </c>
      <c r="P140" s="328"/>
      <c r="Q140" s="328"/>
      <c r="BB140" s="69"/>
      <c r="BC140" s="331"/>
      <c r="BD140" s="116"/>
      <c r="BE140" s="69"/>
      <c r="BF140" s="69"/>
      <c r="BG140" s="69"/>
      <c r="BH140" s="69"/>
      <c r="BI140" s="69"/>
      <c r="BJ140" s="69"/>
      <c r="BK140" s="5"/>
      <c r="BL140" s="5"/>
    </row>
    <row r="141" spans="1:64" ht="12.75" hidden="1" customHeight="1" x14ac:dyDescent="0.15">
      <c r="A141" s="259">
        <v>10</v>
      </c>
      <c r="B141" s="51" t="s">
        <v>561</v>
      </c>
      <c r="C141" s="21" t="s">
        <v>613</v>
      </c>
      <c r="D141" s="104">
        <f>IF(ISERROR(HLOOKUP($J$141,$Q$39:$Y$40,2)),0,HLOOKUP($J$141,$Q$39:$Y$40,2))</f>
        <v>0</v>
      </c>
      <c r="E141" s="105">
        <f>IF(ISERROR(HLOOKUP(K141,$Q$39:$Y$40,2)),0,HLOOKUP(K141,$Q$39:$Y$40,2))</f>
        <v>0</v>
      </c>
      <c r="F141" s="106">
        <f>IF(ISERROR(HLOOKUP(L141,$Q$39:$Y$40,2)),0,HLOOKUP(L141,$Q$39:$Y$40,2))</f>
        <v>0</v>
      </c>
      <c r="G141" s="396">
        <f>SUM($F$27:$F$32)</f>
        <v>0</v>
      </c>
      <c r="H141" s="103">
        <f>SUM($F$27:$F$32)+$J$51</f>
        <v>0</v>
      </c>
      <c r="I141" s="103">
        <f>SUM($F$27:$F$32)+$J$51+$J$60</f>
        <v>0</v>
      </c>
      <c r="J141" s="21">
        <f t="shared" si="0"/>
        <v>0</v>
      </c>
      <c r="K141" s="21">
        <f t="shared" si="1"/>
        <v>0</v>
      </c>
      <c r="L141" s="21">
        <f t="shared" si="2"/>
        <v>0</v>
      </c>
      <c r="M141" s="21" t="s">
        <v>660</v>
      </c>
      <c r="P141" s="328"/>
      <c r="Q141" s="328"/>
      <c r="BB141" s="69"/>
      <c r="BC141" s="69"/>
      <c r="BD141" s="69"/>
      <c r="BE141" s="69"/>
      <c r="BF141" s="69"/>
      <c r="BG141" s="69"/>
      <c r="BH141" s="69"/>
      <c r="BI141" s="69"/>
      <c r="BJ141" s="69"/>
      <c r="BK141" s="5"/>
      <c r="BL141" s="5"/>
    </row>
    <row r="142" spans="1:64" ht="12.75" hidden="1" customHeight="1" x14ac:dyDescent="0.15">
      <c r="A142" s="259">
        <v>11</v>
      </c>
      <c r="B142" s="51" t="s">
        <v>562</v>
      </c>
      <c r="C142" s="21" t="s">
        <v>547</v>
      </c>
      <c r="D142" s="104">
        <f>IF(ISERROR(HLOOKUP($J$142,$Q$73:$AB$74,2)),0,HLOOKUP($J$142,$Q$73:$AB$74,2))</f>
        <v>0</v>
      </c>
      <c r="E142" s="105">
        <f>IF(ISERROR(HLOOKUP(K142,$Q$73:$AB$74,2)),0,HLOOKUP(K142,$Q$73:$AB$74,2))</f>
        <v>0</v>
      </c>
      <c r="F142" s="106">
        <f>IF(ISERROR(HLOOKUP(L142,$Q$73:$AB$74,2)),0,HLOOKUP(L142,$Q$73:$AB$74,2))</f>
        <v>0</v>
      </c>
      <c r="G142" s="396">
        <f>SUM($F$30:$F$32)</f>
        <v>0</v>
      </c>
      <c r="H142" s="103">
        <f>SUM($F$30:$F$32)+$J$51</f>
        <v>0</v>
      </c>
      <c r="I142" s="103">
        <f>SUM($F$30:$F$32)+$J$51+$J$60</f>
        <v>0</v>
      </c>
      <c r="J142" s="21">
        <f t="shared" si="0"/>
        <v>0</v>
      </c>
      <c r="K142" s="21">
        <f t="shared" si="1"/>
        <v>0</v>
      </c>
      <c r="L142" s="21">
        <f t="shared" si="2"/>
        <v>0</v>
      </c>
      <c r="M142" s="21" t="s">
        <v>660</v>
      </c>
      <c r="P142" s="328"/>
      <c r="Q142" s="328"/>
      <c r="BB142" s="69"/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12</v>
      </c>
      <c r="B143" s="51" t="s">
        <v>563</v>
      </c>
      <c r="C143" s="21"/>
      <c r="D143" s="104"/>
      <c r="E143" s="105"/>
      <c r="F143" s="106"/>
      <c r="G143" s="396">
        <f>SUM($F$30:$F$32)</f>
        <v>0</v>
      </c>
      <c r="H143" s="103">
        <f>SUM($F$30:$F$32)+$J$51</f>
        <v>0</v>
      </c>
      <c r="I143" s="103">
        <f>SUM($F$30:$F$32)+$J$51+$J$60</f>
        <v>0</v>
      </c>
      <c r="J143" s="21">
        <f t="shared" si="0"/>
        <v>0</v>
      </c>
      <c r="K143" s="21">
        <f t="shared" si="1"/>
        <v>0</v>
      </c>
      <c r="L143" s="21">
        <f t="shared" si="2"/>
        <v>0</v>
      </c>
      <c r="M143" s="21" t="s">
        <v>660</v>
      </c>
      <c r="P143" s="328"/>
      <c r="Q143" s="328"/>
      <c r="BB143" s="69"/>
      <c r="BC143" s="69"/>
      <c r="BD143" s="69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13</v>
      </c>
      <c r="B144" s="51" t="s">
        <v>686</v>
      </c>
      <c r="C144" s="21" t="s">
        <v>527</v>
      </c>
      <c r="D144" s="104">
        <f>IF(ISERROR(HLOOKUP($J$144,$Q$26:$AT$27,2)),0,HLOOKUP($J$144,$Q$26:$AT$27,2))</f>
        <v>0</v>
      </c>
      <c r="E144" s="104">
        <f>IF(ISERROR(HLOOKUP(K144,$Q$26:$AT$27,2)),0,HLOOKUP(K144,$Q$26:$AT$27,2))</f>
        <v>0</v>
      </c>
      <c r="F144" s="104">
        <f>IF(ISERROR(HLOOKUP(L144,$Q$26:$AT$27,2)),0,HLOOKUP(L144,$Q$26:$AT$27,2))</f>
        <v>0</v>
      </c>
      <c r="G144" s="396">
        <f>SUM($F$30:$F$32)</f>
        <v>0</v>
      </c>
      <c r="H144" s="103">
        <f>SUM($F$30:$F$32)+$J$51</f>
        <v>0</v>
      </c>
      <c r="I144" s="103">
        <f>SUM($F$30:$F$32)+$J$51+$J$60</f>
        <v>0</v>
      </c>
      <c r="J144" s="21">
        <f t="shared" si="0"/>
        <v>0</v>
      </c>
      <c r="K144" s="21">
        <f t="shared" si="1"/>
        <v>0</v>
      </c>
      <c r="L144" s="21">
        <f t="shared" si="2"/>
        <v>0</v>
      </c>
      <c r="M144" s="21" t="s">
        <v>660</v>
      </c>
      <c r="P144" s="328"/>
      <c r="Q144" s="328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14</v>
      </c>
      <c r="B145" s="51" t="s">
        <v>564</v>
      </c>
      <c r="C145" s="21" t="s">
        <v>613</v>
      </c>
      <c r="D145" s="104">
        <f>IF(ISERROR(HLOOKUP(J145,$Q$48:$AB$49,2)),0,HLOOKUP(J145,$Q$48:$AB$49,2))</f>
        <v>0</v>
      </c>
      <c r="E145" s="104">
        <f>IF(ISERROR(HLOOKUP(K145,$Q$48:$AB$49,2)),0,HLOOKUP(K145,$Q$48:$AB$49,2))</f>
        <v>0</v>
      </c>
      <c r="F145" s="104">
        <f>IF(ISERROR(HLOOKUP(L145,$Q$48:$AB$49,2)),0,HLOOKUP(L145,$Q$48:$AB$49,2))</f>
        <v>0</v>
      </c>
      <c r="G145" s="396">
        <f>SUM($F$27:$F$32)</f>
        <v>0</v>
      </c>
      <c r="H145" s="103">
        <f>SUM($F$27:$F$32)+$J$51</f>
        <v>0</v>
      </c>
      <c r="I145" s="103">
        <f>SUM($F$27:$F$32)+$J$51+$J$60</f>
        <v>0</v>
      </c>
      <c r="J145" s="21">
        <f t="shared" si="0"/>
        <v>0</v>
      </c>
      <c r="K145" s="21">
        <f t="shared" si="1"/>
        <v>0</v>
      </c>
      <c r="L145" s="21">
        <f t="shared" si="2"/>
        <v>0</v>
      </c>
      <c r="M145" s="21" t="s">
        <v>660</v>
      </c>
      <c r="P145" s="328"/>
      <c r="Q145" s="328"/>
      <c r="AS145" s="5"/>
      <c r="BB145" s="69"/>
      <c r="BC145" s="69"/>
      <c r="BD145" s="69"/>
      <c r="BE145" s="69"/>
      <c r="BF145" s="69"/>
      <c r="BG145" s="69"/>
      <c r="BH145" s="69"/>
      <c r="BI145" s="69"/>
      <c r="BJ145" s="69"/>
      <c r="BK145" s="5"/>
      <c r="BL145" s="5"/>
    </row>
    <row r="146" spans="1:64" ht="12.75" hidden="1" customHeight="1" x14ac:dyDescent="0.15">
      <c r="A146" s="259">
        <v>15</v>
      </c>
      <c r="B146" s="51" t="s">
        <v>565</v>
      </c>
      <c r="C146" s="21" t="s">
        <v>613</v>
      </c>
      <c r="D146" s="104">
        <f>IF(ISERROR(HLOOKUP(J146,$Q$42:$AG$43,2)),0,HLOOKUP(J146,$Q$42:$AG$43,2))</f>
        <v>0</v>
      </c>
      <c r="E146" s="104">
        <f>IF(ISERROR(HLOOKUP(K146,$Q$42:$AG$43,2)),0,HLOOKUP(K146,$Q$42:$AG$43,2))</f>
        <v>0</v>
      </c>
      <c r="F146" s="104">
        <f>IF(ISERROR(HLOOKUP(L146,$Q$42:$AG$43,2)),0,HLOOKUP(L146,$Q$42:$AG$43,2))</f>
        <v>0</v>
      </c>
      <c r="G146" s="396">
        <f>SUM($F$27:$F$32)</f>
        <v>0</v>
      </c>
      <c r="H146" s="103">
        <f>SUM($F$27:$F$32)+$J$51</f>
        <v>0</v>
      </c>
      <c r="I146" s="103">
        <f>SUM($F$27:$F$32)+$J$51+$J$60</f>
        <v>0</v>
      </c>
      <c r="J146" s="21">
        <f t="shared" si="0"/>
        <v>0</v>
      </c>
      <c r="K146" s="21">
        <f t="shared" si="1"/>
        <v>0</v>
      </c>
      <c r="L146" s="21">
        <f t="shared" si="2"/>
        <v>0</v>
      </c>
      <c r="M146" s="21" t="s">
        <v>660</v>
      </c>
      <c r="P146" s="328"/>
      <c r="Q146" s="328"/>
      <c r="AS146" s="5"/>
      <c r="BB146" s="69" t="s">
        <v>427</v>
      </c>
      <c r="BC146" s="69"/>
      <c r="BD146" s="69"/>
      <c r="BE146" s="69"/>
      <c r="BF146" s="69"/>
      <c r="BG146" s="69"/>
      <c r="BH146" s="69"/>
      <c r="BI146" s="69"/>
      <c r="BJ146" s="69"/>
      <c r="BK146" s="116"/>
      <c r="BL146" s="332"/>
    </row>
    <row r="147" spans="1:64" ht="12.75" hidden="1" customHeight="1" x14ac:dyDescent="0.15">
      <c r="A147" s="259">
        <v>16</v>
      </c>
      <c r="B147" s="51" t="s">
        <v>566</v>
      </c>
      <c r="C147" s="21" t="s">
        <v>527</v>
      </c>
      <c r="D147" s="104">
        <f>IF(ISERROR(HLOOKUP(J147,$Q$26:$AT$27,2)),0,HLOOKUP(J147,$Q$26:$AT$27,2))</f>
        <v>0</v>
      </c>
      <c r="E147" s="104">
        <f>IF(ISERROR(HLOOKUP(K147,$Q$26:$AT$27,2)),0,HLOOKUP(K147,$Q$26:$AT$27,2))</f>
        <v>0</v>
      </c>
      <c r="F147" s="104">
        <f>IF(ISERROR(HLOOKUP(L147,$Q$26:$AT$27,2)),0,HLOOKUP(L147,$Q$26:$AT$27,2))</f>
        <v>0</v>
      </c>
      <c r="G147" s="396">
        <f t="shared" ref="G147:G152" si="3">SUM($F$30:$F$32)</f>
        <v>0</v>
      </c>
      <c r="H147" s="103">
        <f t="shared" ref="H147:H152" si="4">SUM($F$30:$F$32)+$J$51</f>
        <v>0</v>
      </c>
      <c r="I147" s="103">
        <f t="shared" ref="I147:I152" si="5">SUM($F$30:$F$32)+$J$51+$J$60</f>
        <v>0</v>
      </c>
      <c r="J147" s="21">
        <f t="shared" si="0"/>
        <v>0</v>
      </c>
      <c r="K147" s="21">
        <f t="shared" si="1"/>
        <v>0</v>
      </c>
      <c r="L147" s="21">
        <f t="shared" si="2"/>
        <v>0</v>
      </c>
      <c r="M147" s="21" t="s">
        <v>660</v>
      </c>
      <c r="P147" s="328"/>
      <c r="Q147" s="328"/>
      <c r="AS147" s="5"/>
      <c r="BB147" s="69"/>
      <c r="BC147" s="69"/>
      <c r="BD147" s="69"/>
      <c r="BE147" s="333"/>
      <c r="BF147" s="69"/>
      <c r="BG147" s="69"/>
      <c r="BH147" s="69"/>
      <c r="BI147" s="69"/>
      <c r="BJ147" s="69"/>
      <c r="BK147" s="69"/>
      <c r="BL147" s="69"/>
    </row>
    <row r="148" spans="1:64" ht="12.75" hidden="1" customHeight="1" x14ac:dyDescent="0.15">
      <c r="A148" s="259">
        <v>17</v>
      </c>
      <c r="B148" s="51" t="s">
        <v>567</v>
      </c>
      <c r="C148" s="21" t="s">
        <v>547</v>
      </c>
      <c r="D148" s="104">
        <f>IF(ISERROR(HLOOKUP(J148,$Q$73:$V$74,2)),0,HLOOKUP(J148,$Q$73:$V$74,2))</f>
        <v>0</v>
      </c>
      <c r="E148" s="104">
        <f>IF(ISERROR(HLOOKUP(K148,$Q$73:$V$74,2)),0,HLOOKUP(K148,$Q$73:$V$74,2))</f>
        <v>0</v>
      </c>
      <c r="F148" s="104">
        <f>IF(ISERROR(HLOOKUP(L148,$Q$73:$V$74,2)),0,HLOOKUP(L148,$Q$73:$V$74,2))</f>
        <v>0</v>
      </c>
      <c r="G148" s="396">
        <f t="shared" si="3"/>
        <v>0</v>
      </c>
      <c r="H148" s="103">
        <f t="shared" si="4"/>
        <v>0</v>
      </c>
      <c r="I148" s="103">
        <f t="shared" si="5"/>
        <v>0</v>
      </c>
      <c r="J148" s="21">
        <f t="shared" si="0"/>
        <v>0</v>
      </c>
      <c r="K148" s="21">
        <f t="shared" si="1"/>
        <v>0</v>
      </c>
      <c r="L148" s="21">
        <f t="shared" si="2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</row>
    <row r="149" spans="1:64" ht="12.75" hidden="1" customHeight="1" x14ac:dyDescent="0.15">
      <c r="A149" s="259">
        <v>18</v>
      </c>
      <c r="B149" s="51" t="s">
        <v>568</v>
      </c>
      <c r="C149" s="21" t="s">
        <v>527</v>
      </c>
      <c r="D149" s="104">
        <f>IF(ISERROR(HLOOKUP(J149,$Q$32:$AF$33,2)),0,HLOOKUP(J149,$Q$32:$AF$33,2))</f>
        <v>0</v>
      </c>
      <c r="E149" s="104">
        <f>IF(ISERROR(HLOOKUP(K149,$Q$32:$AF$33,2)),0,HLOOKUP(K149,$Q$32:$AF$33,2))</f>
        <v>0</v>
      </c>
      <c r="F149" s="104">
        <f>IF(ISERROR(HLOOKUP(L149,$Q$32:$AF$33,2)),0,HLOOKUP(L149,$Q$32:$AF$33,2))</f>
        <v>0</v>
      </c>
      <c r="G149" s="396">
        <f t="shared" si="3"/>
        <v>0</v>
      </c>
      <c r="H149" s="103">
        <f t="shared" si="4"/>
        <v>0</v>
      </c>
      <c r="I149" s="103">
        <f t="shared" si="5"/>
        <v>0</v>
      </c>
      <c r="J149" s="21">
        <f t="shared" si="0"/>
        <v>0</v>
      </c>
      <c r="K149" s="21">
        <f t="shared" si="1"/>
        <v>0</v>
      </c>
      <c r="L149" s="21">
        <f t="shared" si="2"/>
        <v>0</v>
      </c>
      <c r="M149" s="21" t="s">
        <v>660</v>
      </c>
      <c r="P149" s="328"/>
      <c r="Q149" s="328"/>
      <c r="AS149" s="5"/>
      <c r="BB149" s="69"/>
      <c r="BC149" s="69"/>
      <c r="BD149" s="69"/>
      <c r="BE149" s="333"/>
      <c r="BF149" s="69"/>
      <c r="BG149" s="69"/>
      <c r="BH149" s="69"/>
      <c r="BI149" s="69"/>
      <c r="BJ149" s="69"/>
      <c r="BK149" s="69"/>
      <c r="BL149" s="69"/>
    </row>
    <row r="150" spans="1:64" ht="12.75" hidden="1" customHeight="1" x14ac:dyDescent="0.15">
      <c r="A150" s="259">
        <v>19</v>
      </c>
      <c r="B150" s="51" t="s">
        <v>569</v>
      </c>
      <c r="C150" s="21" t="s">
        <v>613</v>
      </c>
      <c r="D150" s="104">
        <f>IF(ISERROR(HLOOKUP(J150,$Q$42:$AG$43,2)),0,HLOOKUP(J150,$Q$42:$AG$43,2))</f>
        <v>0</v>
      </c>
      <c r="E150" s="104">
        <f>IF(ISERROR(HLOOKUP(K150,$Q$42:$AG$43,2)),0,HLOOKUP(K150,$Q$42:$AG$43,2))</f>
        <v>0</v>
      </c>
      <c r="F150" s="104">
        <f>IF(ISERROR(HLOOKUP(L150,$Q$42:$AG$43,2)),0,HLOOKUP(L150,$Q$42:$AG$43,2))</f>
        <v>0</v>
      </c>
      <c r="G150" s="396">
        <f t="shared" si="3"/>
        <v>0</v>
      </c>
      <c r="H150" s="103">
        <f t="shared" si="4"/>
        <v>0</v>
      </c>
      <c r="I150" s="103">
        <f t="shared" si="5"/>
        <v>0</v>
      </c>
      <c r="J150" s="21">
        <f t="shared" si="0"/>
        <v>0</v>
      </c>
      <c r="K150" s="21">
        <f t="shared" si="1"/>
        <v>0</v>
      </c>
      <c r="L150" s="21">
        <f t="shared" si="2"/>
        <v>0</v>
      </c>
      <c r="M150" s="21" t="s">
        <v>660</v>
      </c>
      <c r="P150" s="328"/>
      <c r="Q150" s="328"/>
      <c r="AS150" s="5"/>
      <c r="BB150" s="11"/>
      <c r="BC150" s="5"/>
    </row>
    <row r="151" spans="1:64" ht="12.75" hidden="1" customHeight="1" x14ac:dyDescent="0.15">
      <c r="A151" s="259">
        <v>20</v>
      </c>
      <c r="B151" s="51" t="s">
        <v>570</v>
      </c>
      <c r="C151" s="21" t="s">
        <v>613</v>
      </c>
      <c r="D151" s="104">
        <f t="shared" ref="D151:F152" si="6">IF(ISERROR(HLOOKUP(J151,$Q$39:$Y$40,2)),0,HLOOKUP(J151,$Q$39:$Y$40,2))</f>
        <v>0</v>
      </c>
      <c r="E151" s="104">
        <f t="shared" si="6"/>
        <v>0</v>
      </c>
      <c r="F151" s="104">
        <f t="shared" si="6"/>
        <v>0</v>
      </c>
      <c r="G151" s="396">
        <f t="shared" si="3"/>
        <v>0</v>
      </c>
      <c r="H151" s="103">
        <f t="shared" si="4"/>
        <v>0</v>
      </c>
      <c r="I151" s="103">
        <f t="shared" si="5"/>
        <v>0</v>
      </c>
      <c r="J151" s="21">
        <f t="shared" si="0"/>
        <v>0</v>
      </c>
      <c r="K151" s="21">
        <f t="shared" si="1"/>
        <v>0</v>
      </c>
      <c r="L151" s="21">
        <f t="shared" si="2"/>
        <v>0</v>
      </c>
      <c r="M151" s="21" t="s">
        <v>660</v>
      </c>
      <c r="P151" s="328"/>
      <c r="Q151" s="328"/>
      <c r="AS151" s="5"/>
      <c r="BB151" s="11"/>
      <c r="BC151" s="5"/>
    </row>
    <row r="152" spans="1:64" ht="12.75" hidden="1" customHeight="1" x14ac:dyDescent="0.15">
      <c r="A152" s="259">
        <v>21</v>
      </c>
      <c r="B152" s="51" t="s">
        <v>571</v>
      </c>
      <c r="C152" s="21" t="s">
        <v>613</v>
      </c>
      <c r="D152" s="104">
        <f t="shared" si="6"/>
        <v>0</v>
      </c>
      <c r="E152" s="104">
        <f t="shared" si="6"/>
        <v>0</v>
      </c>
      <c r="F152" s="104">
        <f t="shared" si="6"/>
        <v>0</v>
      </c>
      <c r="G152" s="396">
        <f t="shared" si="3"/>
        <v>0</v>
      </c>
      <c r="H152" s="103">
        <f t="shared" si="4"/>
        <v>0</v>
      </c>
      <c r="I152" s="103">
        <f t="shared" si="5"/>
        <v>0</v>
      </c>
      <c r="J152" s="21">
        <f t="shared" si="0"/>
        <v>0</v>
      </c>
      <c r="K152" s="21">
        <f t="shared" si="1"/>
        <v>0</v>
      </c>
      <c r="L152" s="21">
        <f t="shared" si="2"/>
        <v>0</v>
      </c>
      <c r="M152" s="21" t="s">
        <v>660</v>
      </c>
      <c r="P152" s="328"/>
      <c r="Q152" s="328"/>
      <c r="AS152" s="5"/>
      <c r="BB152" s="11"/>
      <c r="BC152" s="5"/>
    </row>
    <row r="153" spans="1:64" ht="12.75" hidden="1" customHeight="1" x14ac:dyDescent="0.15">
      <c r="A153" s="259">
        <v>22</v>
      </c>
      <c r="B153" s="51" t="s">
        <v>572</v>
      </c>
      <c r="C153" s="21"/>
      <c r="D153" s="334"/>
      <c r="E153" s="335"/>
      <c r="F153" s="336"/>
      <c r="G153" s="397"/>
      <c r="H153" s="51"/>
      <c r="M153" s="21" t="s">
        <v>660</v>
      </c>
      <c r="P153" s="328"/>
      <c r="Q153" s="328"/>
      <c r="AS153" s="5"/>
      <c r="BB153" s="11"/>
      <c r="BC153" s="5"/>
    </row>
    <row r="154" spans="1:64" ht="12.75" hidden="1" customHeight="1" x14ac:dyDescent="0.15">
      <c r="A154" s="259">
        <v>23</v>
      </c>
      <c r="B154" s="51" t="s">
        <v>573</v>
      </c>
      <c r="C154" s="21"/>
      <c r="D154" s="334"/>
      <c r="E154" s="335"/>
      <c r="F154" s="336"/>
      <c r="G154" s="397"/>
      <c r="H154" s="51"/>
      <c r="M154" s="21" t="s">
        <v>660</v>
      </c>
      <c r="P154" s="328"/>
      <c r="Q154" s="328"/>
      <c r="AS154" s="5"/>
    </row>
    <row r="155" spans="1:64" ht="12.75" hidden="1" customHeight="1" x14ac:dyDescent="0.15">
      <c r="A155" s="259">
        <v>24</v>
      </c>
      <c r="B155" s="51" t="s">
        <v>574</v>
      </c>
      <c r="C155" s="21" t="s">
        <v>613</v>
      </c>
      <c r="D155" s="104">
        <f>IF(ISERROR(HLOOKUP(J155,$Q$42:$AG$43,2)),0,HLOOKUP(J155,$Q$42:$AG$43,2))</f>
        <v>0</v>
      </c>
      <c r="E155" s="104">
        <f>IF(ISERROR(HLOOKUP(K155,$Q$42:$AG$43,2)),0,HLOOKUP(K155,$Q$42:$AG$43,2))</f>
        <v>0</v>
      </c>
      <c r="F155" s="104">
        <f>IF(ISERROR(HLOOKUP(L155,$Q$42:$AG$43,2)),0,HLOOKUP(L155,$Q$42:$AG$43,2))</f>
        <v>0</v>
      </c>
      <c r="G155" s="396">
        <f>SUM($F$27:$F$32)</f>
        <v>0</v>
      </c>
      <c r="H155" s="103">
        <f>SUM($F$27:$F$32)+$J$51</f>
        <v>0</v>
      </c>
      <c r="I155" s="103">
        <f>SUM($F$27:$F$32)+$J$51+$J$60</f>
        <v>0</v>
      </c>
      <c r="J155" s="21">
        <f t="shared" ref="J155:J186" si="7">ROUNDDOWN(G155/365,0)</f>
        <v>0</v>
      </c>
      <c r="K155" s="21">
        <f t="shared" ref="K155:K186" si="8">ROUNDDOWN(H155/365,0)</f>
        <v>0</v>
      </c>
      <c r="L155" s="21">
        <f t="shared" ref="L155:L186" si="9">ROUNDDOWN(I155/365,0)</f>
        <v>0</v>
      </c>
      <c r="M155" s="21" t="s">
        <v>660</v>
      </c>
      <c r="P155" s="328"/>
      <c r="Q155" s="328"/>
      <c r="AS155" s="5"/>
    </row>
    <row r="156" spans="1:64" ht="12.75" hidden="1" customHeight="1" x14ac:dyDescent="0.15">
      <c r="A156" s="259">
        <v>25</v>
      </c>
      <c r="B156" s="51" t="s">
        <v>580</v>
      </c>
      <c r="C156" s="21" t="s">
        <v>527</v>
      </c>
      <c r="D156" s="104">
        <f>IF(ISERROR(HLOOKUP(J156,$Q$29:$AT$30,2)),0,HLOOKUP(J156,$Q$29:$AT$30,2))</f>
        <v>0</v>
      </c>
      <c r="E156" s="104">
        <f>IF(ISERROR(HLOOKUP(K156,$Q$29:$AT$30,2)),0,HLOOKUP(K156,$Q$29:$AT$30,2))</f>
        <v>0</v>
      </c>
      <c r="F156" s="104">
        <f>IF(ISERROR(HLOOKUP(L156,$Q$29:$AT$30,2)),0,HLOOKUP(L156,$Q$29:$AT$30,2))</f>
        <v>0</v>
      </c>
      <c r="G156" s="396">
        <f>SUM($F$30:$F$32)</f>
        <v>0</v>
      </c>
      <c r="H156" s="103">
        <f>SUM($F$30:$F$32)+$J$51</f>
        <v>0</v>
      </c>
      <c r="I156" s="103">
        <f>SUM($F$30:$F$32)+$J$51+$J$60</f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</row>
    <row r="157" spans="1:64" ht="12.75" hidden="1" customHeight="1" x14ac:dyDescent="0.15">
      <c r="A157" s="259">
        <v>26</v>
      </c>
      <c r="B157" s="51" t="s">
        <v>581</v>
      </c>
      <c r="C157" s="21" t="s">
        <v>547</v>
      </c>
      <c r="D157" s="104">
        <f>IF(ISERROR(HLOOKUP(J157,$Q$73:$W$74,2)),0,HLOOKUP(J157,$Q$73:$W$74,2))</f>
        <v>0</v>
      </c>
      <c r="E157" s="104">
        <f>IF(ISERROR(HLOOKUP(K157,$Q$73:$W$74,2)),0,HLOOKUP(K157,$Q$73:$W$74,2))</f>
        <v>0</v>
      </c>
      <c r="F157" s="104">
        <f>IF(ISERROR(HLOOKUP(L157,$Q$73:$W$74,2)),0,HLOOKUP(L157,$Q$73:$W$74,2))</f>
        <v>0</v>
      </c>
      <c r="G157" s="396">
        <f>SUM($F$27:$F$32)</f>
        <v>0</v>
      </c>
      <c r="H157" s="103">
        <f>SUM($F$27:$F$32)+$J$51</f>
        <v>0</v>
      </c>
      <c r="I157" s="103">
        <f>SUM($F$27:$F$32)+$J$51+$J$60</f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</row>
    <row r="158" spans="1:64" ht="12.75" hidden="1" customHeight="1" x14ac:dyDescent="0.15">
      <c r="A158" s="259" t="s">
        <v>582</v>
      </c>
      <c r="B158" s="51" t="s">
        <v>684</v>
      </c>
      <c r="C158" s="21" t="s">
        <v>547</v>
      </c>
      <c r="D158" s="104">
        <f>IF(ISERROR(HLOOKUP(J158,$Q$73:$V$74,2)),0,HLOOKUP(J158,$Q$73:$V$74,2))</f>
        <v>0</v>
      </c>
      <c r="E158" s="104">
        <f>IF(ISERROR(HLOOKUP(K158,$Q$73:$V$74,2)),0,HLOOKUP(K158,$Q$73:$V$74,2))</f>
        <v>0</v>
      </c>
      <c r="F158" s="104">
        <f>IF(ISERROR(HLOOKUP(L158,$Q$73:$V$74,2)),0,HLOOKUP(L158,$Q$73:$V$74,2))</f>
        <v>0</v>
      </c>
      <c r="G158" s="396">
        <f>SUM($F$27:$F$32)</f>
        <v>0</v>
      </c>
      <c r="H158" s="103">
        <f>SUM($F$27:$F$32)+$J$51</f>
        <v>0</v>
      </c>
      <c r="I158" s="103">
        <f>SUM($F$27:$F$32)+$J$51+$J$60</f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27</v>
      </c>
      <c r="B159" s="51" t="s">
        <v>583</v>
      </c>
      <c r="C159" s="21" t="s">
        <v>613</v>
      </c>
      <c r="D159" s="104">
        <f>IF(ISERROR(HLOOKUP(J159,$Q$48:$Z$49,2)),0,HLOOKUP(J159,$Q$48:$Z$49,2))</f>
        <v>0</v>
      </c>
      <c r="E159" s="104">
        <f>IF(ISERROR(HLOOKUP(K159,$Q$48:$Z$49,2)),0,HLOOKUP(K159,$Q$48:$Z$49,2))</f>
        <v>0</v>
      </c>
      <c r="F159" s="104">
        <f>IF(ISERROR(HLOOKUP(L159,$Q$48:$Z$49,2)),0,HLOOKUP(L159,$Q$48:$Z$49,2))</f>
        <v>0</v>
      </c>
      <c r="G159" s="396">
        <f t="shared" ref="G159:G166" si="10">SUM($F$30:$F$32)</f>
        <v>0</v>
      </c>
      <c r="H159" s="103">
        <f t="shared" ref="H159:H166" si="11">SUM($F$30:$F$32)+$J$51</f>
        <v>0</v>
      </c>
      <c r="I159" s="103">
        <f t="shared" ref="I159:I166" si="12">SUM($F$30:$F$32)+$J$51+$J$60</f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28</v>
      </c>
      <c r="B160" s="51" t="s">
        <v>584</v>
      </c>
      <c r="C160" s="21" t="s">
        <v>547</v>
      </c>
      <c r="D160" s="104">
        <f>IF(ISERROR(HLOOKUP(J160,$Q$73:$W$74,2)),0,HLOOKUP(J160,$Q$73:$W$74,2))</f>
        <v>0</v>
      </c>
      <c r="E160" s="104">
        <f>IF(ISERROR(HLOOKUP(K160,$Q$73:$W$74,2)),0,HLOOKUP(K160,$Q$73:$W$74,2))</f>
        <v>0</v>
      </c>
      <c r="F160" s="104">
        <f>IF(ISERROR(HLOOKUP(L160,$Q$73:$W$74,2)),0,HLOOKUP(L160,$Q$73:$W$74,2))</f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</row>
    <row r="161" spans="1:45" ht="12.75" hidden="1" customHeight="1" x14ac:dyDescent="0.15">
      <c r="A161" s="259">
        <v>29</v>
      </c>
      <c r="B161" s="51" t="s">
        <v>585</v>
      </c>
      <c r="C161" s="21" t="s">
        <v>613</v>
      </c>
      <c r="D161" s="104">
        <f>IF(ISERROR(HLOOKUP(J161,$Q$48:$V$49,2)),0,HLOOKUP(J161,$Q$48:$V$49,2))</f>
        <v>0</v>
      </c>
      <c r="E161" s="104">
        <f>IF(ISERROR(HLOOKUP(K161,$Q$48:$V$49,2)),0,HLOOKUP(K161,$Q$48:$V$49,2))</f>
        <v>0</v>
      </c>
      <c r="F161" s="104">
        <f>IF(ISERROR(HLOOKUP(L161,$Q$48:$V$49,2)),0,HLOOKUP(L161,$Q$48:$V$49,2))</f>
        <v>0</v>
      </c>
      <c r="G161" s="396">
        <f t="shared" si="10"/>
        <v>0</v>
      </c>
      <c r="H161" s="103">
        <f t="shared" si="11"/>
        <v>0</v>
      </c>
      <c r="I161" s="103">
        <f t="shared" si="12"/>
        <v>0</v>
      </c>
      <c r="J161" s="21">
        <f t="shared" si="7"/>
        <v>0</v>
      </c>
      <c r="K161" s="21">
        <f t="shared" si="8"/>
        <v>0</v>
      </c>
      <c r="L161" s="21">
        <f t="shared" si="9"/>
        <v>0</v>
      </c>
      <c r="M161" s="21" t="s">
        <v>660</v>
      </c>
      <c r="P161" s="328"/>
      <c r="Q161" s="328"/>
      <c r="AS161" s="5"/>
    </row>
    <row r="162" spans="1:45" ht="13.5" hidden="1" customHeight="1" x14ac:dyDescent="0.15">
      <c r="A162" s="259">
        <v>30</v>
      </c>
      <c r="B162" s="51" t="s">
        <v>586</v>
      </c>
      <c r="C162" s="21" t="s">
        <v>613</v>
      </c>
      <c r="D162" s="104">
        <f>IF(ISERROR(HLOOKUP(J162,$Q$48:$AA$49,2)),0,HLOOKUP(J162,$Q$48:$AA$49,2))</f>
        <v>0</v>
      </c>
      <c r="E162" s="104">
        <f>IF(ISERROR(HLOOKUP(K162,$Q$48:$AA$49,2)),0,HLOOKUP(K162,$Q$48:$AA$49,2))</f>
        <v>0</v>
      </c>
      <c r="F162" s="104">
        <f>IF(ISERROR(HLOOKUP(L162,$Q$48:$AA$49,2)),0,HLOOKUP(L162,$Q$48:$AA$49,2))</f>
        <v>0</v>
      </c>
      <c r="G162" s="396">
        <f t="shared" si="10"/>
        <v>0</v>
      </c>
      <c r="H162" s="103">
        <f t="shared" si="11"/>
        <v>0</v>
      </c>
      <c r="I162" s="103">
        <f t="shared" si="12"/>
        <v>0</v>
      </c>
      <c r="J162" s="21">
        <f t="shared" si="7"/>
        <v>0</v>
      </c>
      <c r="K162" s="21">
        <f t="shared" si="8"/>
        <v>0</v>
      </c>
      <c r="L162" s="21">
        <f t="shared" si="9"/>
        <v>0</v>
      </c>
      <c r="M162" s="21" t="s">
        <v>660</v>
      </c>
      <c r="P162" s="328"/>
      <c r="Q162" s="328"/>
      <c r="AS162" s="5"/>
    </row>
    <row r="163" spans="1:45" ht="12.75" hidden="1" customHeight="1" x14ac:dyDescent="0.15">
      <c r="A163" s="259" t="s">
        <v>587</v>
      </c>
      <c r="B163" s="51" t="s">
        <v>685</v>
      </c>
      <c r="C163" s="21" t="s">
        <v>547</v>
      </c>
      <c r="D163" s="104">
        <f>IF(ISERROR(HLOOKUP(J163,$Q$73:$X$74,2)),0,HLOOKUP(J163,$Q$73:$X$74,2))</f>
        <v>0</v>
      </c>
      <c r="E163" s="104">
        <f>IF(ISERROR(HLOOKUP(K163,$Q$73:$X$74,2)),0,HLOOKUP(K163,$Q$73:$X$74,2))</f>
        <v>0</v>
      </c>
      <c r="F163" s="104">
        <f>IF(ISERROR(HLOOKUP(L163,$Q$73:$X$74,2)),0,HLOOKUP(L163,$Q$73:$X$74,2))</f>
        <v>0</v>
      </c>
      <c r="G163" s="396">
        <f t="shared" si="10"/>
        <v>0</v>
      </c>
      <c r="H163" s="103">
        <f t="shared" si="11"/>
        <v>0</v>
      </c>
      <c r="I163" s="103">
        <f t="shared" si="12"/>
        <v>0</v>
      </c>
      <c r="J163" s="21">
        <f t="shared" si="7"/>
        <v>0</v>
      </c>
      <c r="K163" s="21">
        <f t="shared" si="8"/>
        <v>0</v>
      </c>
      <c r="L163" s="21">
        <f t="shared" si="9"/>
        <v>0</v>
      </c>
      <c r="M163" s="21" t="s">
        <v>660</v>
      </c>
      <c r="P163" s="328"/>
      <c r="Q163" s="328"/>
      <c r="AS163" s="116"/>
    </row>
    <row r="164" spans="1:45" ht="12.75" hidden="1" customHeight="1" x14ac:dyDescent="0.15">
      <c r="A164" s="259">
        <v>31</v>
      </c>
      <c r="B164" s="51" t="s">
        <v>588</v>
      </c>
      <c r="C164" s="21" t="s">
        <v>613</v>
      </c>
      <c r="D164" s="104">
        <f>IF(ISERROR(HLOOKUP(J164,$Q$42:$AG$43,2)),0,HLOOKUP(J164,$Q$42:$AG$43,2))</f>
        <v>0</v>
      </c>
      <c r="E164" s="104">
        <f>IF(ISERROR(HLOOKUP(K164,$Q$42:$AG$43,2)),0,HLOOKUP(K164,$Q$42:$AG$43,2))</f>
        <v>0</v>
      </c>
      <c r="F164" s="104">
        <f>IF(ISERROR(HLOOKUP(L164,$Q$42:$AG$43,2)),0,HLOOKUP(L164,$Q$42:$AG$43,2))</f>
        <v>0</v>
      </c>
      <c r="G164" s="396">
        <f t="shared" si="10"/>
        <v>0</v>
      </c>
      <c r="H164" s="103">
        <f t="shared" si="11"/>
        <v>0</v>
      </c>
      <c r="I164" s="103">
        <f t="shared" si="12"/>
        <v>0</v>
      </c>
      <c r="J164" s="21">
        <f t="shared" si="7"/>
        <v>0</v>
      </c>
      <c r="K164" s="21">
        <f t="shared" si="8"/>
        <v>0</v>
      </c>
      <c r="L164" s="21">
        <f t="shared" si="9"/>
        <v>0</v>
      </c>
      <c r="M164" s="21" t="s">
        <v>660</v>
      </c>
      <c r="P164" s="328"/>
      <c r="Q164" s="328"/>
      <c r="AS164" s="69"/>
    </row>
    <row r="165" spans="1:45" ht="12.75" hidden="1" customHeight="1" x14ac:dyDescent="0.15">
      <c r="A165" s="259">
        <v>32</v>
      </c>
      <c r="B165" s="338" t="s">
        <v>617</v>
      </c>
      <c r="C165" s="21" t="s">
        <v>613</v>
      </c>
      <c r="D165" s="104">
        <f>IF(ISERROR(HLOOKUP(J165,$Q$42:$AA$43,2)),0,HLOOKUP(J165,$Q$42:$AA$43,2))</f>
        <v>0</v>
      </c>
      <c r="E165" s="104">
        <f>IF(ISERROR(HLOOKUP(K165,$Q$42:$AA$43,2)),0,HLOOKUP(K165,$Q$42:$AA$43,2))</f>
        <v>0</v>
      </c>
      <c r="F165" s="104">
        <f>IF(ISERROR(HLOOKUP(L165,$Q$42:$AA$43,2)),0,HLOOKUP(L165,$Q$42:$AA$43,2))</f>
        <v>0</v>
      </c>
      <c r="G165" s="396">
        <f t="shared" si="10"/>
        <v>0</v>
      </c>
      <c r="H165" s="103">
        <f t="shared" si="11"/>
        <v>0</v>
      </c>
      <c r="I165" s="103">
        <f t="shared" si="12"/>
        <v>0</v>
      </c>
      <c r="J165" s="21">
        <f t="shared" si="7"/>
        <v>0</v>
      </c>
      <c r="K165" s="21">
        <f t="shared" si="8"/>
        <v>0</v>
      </c>
      <c r="L165" s="21">
        <f t="shared" si="9"/>
        <v>0</v>
      </c>
      <c r="M165" s="78" t="s">
        <v>661</v>
      </c>
      <c r="P165" s="44"/>
      <c r="Q165" s="44"/>
      <c r="AS165" s="69"/>
    </row>
    <row r="166" spans="1:45" ht="12.75" hidden="1" customHeight="1" x14ac:dyDescent="0.15">
      <c r="A166" s="259">
        <v>33</v>
      </c>
      <c r="B166" s="338" t="s">
        <v>618</v>
      </c>
      <c r="C166" s="21" t="s">
        <v>613</v>
      </c>
      <c r="D166" s="104">
        <f>IF(ISERROR(HLOOKUP(J166,$Q$39:$AA$40,2)),0,HLOOKUP(J166,$Q$39:$AA$40,2))</f>
        <v>0</v>
      </c>
      <c r="E166" s="104">
        <f>IF(ISERROR(HLOOKUP(K166,$Q$39:$AA$40,2)),0,HLOOKUP(K166,$Q$39:$AA$40,2))</f>
        <v>0</v>
      </c>
      <c r="F166" s="104">
        <f>IF(ISERROR(HLOOKUP(L166,$Q$39:$AA$40,2)),0,HLOOKUP(L166,$Q$39:$AA$40,2))</f>
        <v>0</v>
      </c>
      <c r="G166" s="396">
        <f t="shared" si="10"/>
        <v>0</v>
      </c>
      <c r="H166" s="103">
        <f t="shared" si="11"/>
        <v>0</v>
      </c>
      <c r="I166" s="103">
        <f t="shared" si="12"/>
        <v>0</v>
      </c>
      <c r="J166" s="21">
        <f t="shared" si="7"/>
        <v>0</v>
      </c>
      <c r="K166" s="21">
        <f t="shared" si="8"/>
        <v>0</v>
      </c>
      <c r="L166" s="21">
        <f t="shared" si="9"/>
        <v>0</v>
      </c>
      <c r="M166" s="78" t="s">
        <v>661</v>
      </c>
      <c r="P166" s="44"/>
      <c r="Q166" s="44"/>
      <c r="AS166" s="69"/>
    </row>
    <row r="167" spans="1:45" ht="12.75" hidden="1" customHeight="1" x14ac:dyDescent="0.15">
      <c r="A167" s="259">
        <v>34</v>
      </c>
      <c r="B167" s="338" t="s">
        <v>619</v>
      </c>
      <c r="C167" s="21" t="s">
        <v>527</v>
      </c>
      <c r="D167" s="104">
        <f>IF(ISERROR(HLOOKUP(J167,$Q$26:$AY$27,2)),0,HLOOKUP(J167,$Q$26:$AY$27,2))</f>
        <v>0</v>
      </c>
      <c r="E167" s="104">
        <f>IF(ISERROR(HLOOKUP(K167,$Q$26:$AY$27,2)),0,HLOOKUP(K167,$Q$26:$AY$27,2))</f>
        <v>0</v>
      </c>
      <c r="F167" s="104">
        <f>IF(ISERROR(HLOOKUP(L167,$Q$26:$AY$27,2)),0,HLOOKUP(L167,$Q$26:$AY$27,2))</f>
        <v>0</v>
      </c>
      <c r="G167" s="396">
        <f>SUM($F$27:$F$33)</f>
        <v>0</v>
      </c>
      <c r="H167" s="103">
        <f>SUM($F$27:$F$33)+$J$51</f>
        <v>0</v>
      </c>
      <c r="I167" s="103">
        <f>SUM($F$27:$F$33)+$J$51+$J$60</f>
        <v>0</v>
      </c>
      <c r="J167" s="21">
        <f t="shared" si="7"/>
        <v>0</v>
      </c>
      <c r="K167" s="21">
        <f t="shared" si="8"/>
        <v>0</v>
      </c>
      <c r="L167" s="21">
        <f t="shared" si="9"/>
        <v>0</v>
      </c>
      <c r="M167" s="78" t="s">
        <v>661</v>
      </c>
      <c r="P167" s="44"/>
      <c r="Q167" s="44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</row>
    <row r="168" spans="1:45" ht="12.75" hidden="1" customHeight="1" x14ac:dyDescent="0.15">
      <c r="A168" s="259">
        <v>35</v>
      </c>
      <c r="B168" s="338" t="s">
        <v>620</v>
      </c>
      <c r="C168" s="21" t="s">
        <v>613</v>
      </c>
      <c r="D168" s="104">
        <f>IF(ISERROR(HLOOKUP(J168,$Q$39:$AB$40,2)),0,HLOOKUP(J168,$Q$39:$AB$40,2))</f>
        <v>0</v>
      </c>
      <c r="E168" s="104">
        <f>IF(ISERROR(HLOOKUP(K168,$Q$39:$AB$40,2)),0,HLOOKUP(K168,$Q$39:$AB$40,2))</f>
        <v>0</v>
      </c>
      <c r="F168" s="104">
        <f>IF(ISERROR(HLOOKUP(L168,$Q$39:$AB$40,2)),0,HLOOKUP(L168,$Q$39:$AB$40,2))</f>
        <v>0</v>
      </c>
      <c r="G168" s="396">
        <f>SUM($F$27:$F$32)</f>
        <v>0</v>
      </c>
      <c r="H168" s="103">
        <f>SUM($F$27:$F$32)+$J$51</f>
        <v>0</v>
      </c>
      <c r="I168" s="103">
        <f>SUM($F$27:$F$32)+$J$51+$J$60</f>
        <v>0</v>
      </c>
      <c r="J168" s="21">
        <f t="shared" si="7"/>
        <v>0</v>
      </c>
      <c r="K168" s="21">
        <f t="shared" si="8"/>
        <v>0</v>
      </c>
      <c r="L168" s="21">
        <f t="shared" si="9"/>
        <v>0</v>
      </c>
      <c r="M168" s="78" t="s">
        <v>661</v>
      </c>
      <c r="P168" s="44"/>
      <c r="Q168" s="44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</row>
    <row r="169" spans="1:45" ht="12.75" hidden="1" customHeight="1" x14ac:dyDescent="0.15">
      <c r="A169" s="259">
        <v>36</v>
      </c>
      <c r="B169" s="339" t="s">
        <v>621</v>
      </c>
      <c r="C169" s="21" t="s">
        <v>613</v>
      </c>
      <c r="D169" s="104">
        <f>IF(ISERROR(HLOOKUP(J169,$Q$39:$AA$40,2)),0,HLOOKUP(J169,$Q$39:$AA$40,2))</f>
        <v>0</v>
      </c>
      <c r="E169" s="104">
        <f>IF(ISERROR(HLOOKUP(K169,$Q$39:$AA$40,2)),0,HLOOKUP(K169,$Q$39:$AA$40,2))</f>
        <v>0</v>
      </c>
      <c r="F169" s="104">
        <f>IF(ISERROR(HLOOKUP(L169,$Q$39:$AA$40,2)),0,HLOOKUP(L169,$Q$39:$AA$40,2))</f>
        <v>0</v>
      </c>
      <c r="G169" s="396">
        <f>SUM($F$30:$F$32)</f>
        <v>0</v>
      </c>
      <c r="H169" s="103">
        <f>SUM($F$30:$F$32)+$J$51</f>
        <v>0</v>
      </c>
      <c r="I169" s="103">
        <f>SUM($F$30:$F$32)+$J$51+$J$60</f>
        <v>0</v>
      </c>
      <c r="J169" s="21">
        <f t="shared" si="7"/>
        <v>0</v>
      </c>
      <c r="K169" s="21">
        <f t="shared" si="8"/>
        <v>0</v>
      </c>
      <c r="L169" s="21">
        <f t="shared" si="9"/>
        <v>0</v>
      </c>
      <c r="M169" s="78" t="s">
        <v>661</v>
      </c>
      <c r="P169" s="44"/>
      <c r="Q169" s="44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</row>
    <row r="170" spans="1:45" ht="12.75" hidden="1" customHeight="1" x14ac:dyDescent="0.15">
      <c r="A170" s="259">
        <v>37</v>
      </c>
      <c r="B170" s="340" t="s">
        <v>622</v>
      </c>
      <c r="C170" s="21" t="s">
        <v>547</v>
      </c>
      <c r="D170" s="104">
        <f t="shared" ref="D170:F171" si="13">IF(ISERROR(HLOOKUP(J170,$Q$73:$AB$74,2)),0,HLOOKUP(J170,$Q$73:$AB$74,2))</f>
        <v>0</v>
      </c>
      <c r="E170" s="104">
        <f t="shared" si="13"/>
        <v>0</v>
      </c>
      <c r="F170" s="104">
        <f t="shared" si="13"/>
        <v>0</v>
      </c>
      <c r="G170" s="396">
        <f>SUM($F$27:$F$32)</f>
        <v>0</v>
      </c>
      <c r="H170" s="103">
        <f>SUM($F$27:$F$32)+$J$51</f>
        <v>0</v>
      </c>
      <c r="I170" s="103">
        <f>SUM($F$27:$F$32)+$J$51+$J$60</f>
        <v>0</v>
      </c>
      <c r="J170" s="21">
        <f t="shared" si="7"/>
        <v>0</v>
      </c>
      <c r="K170" s="21">
        <f t="shared" si="8"/>
        <v>0</v>
      </c>
      <c r="L170" s="21">
        <f t="shared" si="9"/>
        <v>0</v>
      </c>
      <c r="M170" s="78" t="s">
        <v>661</v>
      </c>
      <c r="P170" s="44"/>
      <c r="Q170" s="44"/>
      <c r="AH170" s="69"/>
      <c r="AI170" s="116"/>
      <c r="AJ170" s="116"/>
      <c r="AK170" s="116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x14ac:dyDescent="0.15">
      <c r="A171" s="259">
        <v>38</v>
      </c>
      <c r="B171" s="340" t="s">
        <v>623</v>
      </c>
      <c r="C171" s="21" t="s">
        <v>547</v>
      </c>
      <c r="D171" s="104">
        <f t="shared" si="13"/>
        <v>0</v>
      </c>
      <c r="E171" s="104">
        <f t="shared" si="13"/>
        <v>0</v>
      </c>
      <c r="F171" s="104">
        <f t="shared" si="13"/>
        <v>0</v>
      </c>
      <c r="G171" s="396">
        <f>SUM($F$30:$F$32)</f>
        <v>0</v>
      </c>
      <c r="H171" s="103">
        <f>SUM($F$30:$F$32)+$J$51</f>
        <v>0</v>
      </c>
      <c r="I171" s="103">
        <f>SUM($F$30:$F$32)+$J$51+$J$60</f>
        <v>0</v>
      </c>
      <c r="J171" s="21">
        <f t="shared" si="7"/>
        <v>0</v>
      </c>
      <c r="K171" s="21">
        <f t="shared" si="8"/>
        <v>0</v>
      </c>
      <c r="L171" s="21">
        <f t="shared" si="9"/>
        <v>0</v>
      </c>
      <c r="M171" s="78" t="s">
        <v>661</v>
      </c>
      <c r="P171" s="44"/>
      <c r="Q171" s="44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</row>
    <row r="172" spans="1:45" ht="12.75" hidden="1" customHeight="1" thickBot="1" x14ac:dyDescent="0.2">
      <c r="A172" s="259">
        <v>39</v>
      </c>
      <c r="B172" s="340" t="s">
        <v>624</v>
      </c>
      <c r="C172" s="21" t="s">
        <v>613</v>
      </c>
      <c r="D172" s="104">
        <f>IF(ISERROR(HLOOKUP(J172,$Q$48:$Y$49,2)),0,HLOOKUP(J172,$Q$48:$Y$49,2))</f>
        <v>0</v>
      </c>
      <c r="E172" s="104">
        <f>IF(ISERROR(HLOOKUP(K172,$Q$48:$Y$49,2)),0,HLOOKUP(K172,$Q$48:$Y$49,2))</f>
        <v>0</v>
      </c>
      <c r="F172" s="104">
        <f>IF(ISERROR(HLOOKUP(L172,$Q$48:$Y$49,2)),0,HLOOKUP(L172,$Q$48:$Y$49,2))</f>
        <v>0</v>
      </c>
      <c r="G172" s="396">
        <f>SUM($F$30:$F$32)</f>
        <v>0</v>
      </c>
      <c r="H172" s="103">
        <f>SUM($F$30:$F$32)+$J$51</f>
        <v>0</v>
      </c>
      <c r="I172" s="103">
        <f>SUM($F$30:$F$32)+$J$51+$J$60</f>
        <v>0</v>
      </c>
      <c r="J172" s="21">
        <f t="shared" si="7"/>
        <v>0</v>
      </c>
      <c r="K172" s="21">
        <f t="shared" si="8"/>
        <v>0</v>
      </c>
      <c r="L172" s="21">
        <f t="shared" si="9"/>
        <v>0</v>
      </c>
      <c r="M172" s="78" t="s">
        <v>661</v>
      </c>
      <c r="P172" s="44"/>
      <c r="Q172" s="44"/>
    </row>
    <row r="173" spans="1:45" ht="12.75" hidden="1" customHeight="1" x14ac:dyDescent="0.15">
      <c r="A173" s="259">
        <v>40</v>
      </c>
      <c r="B173" s="340" t="s">
        <v>625</v>
      </c>
      <c r="C173" s="21" t="s">
        <v>613</v>
      </c>
      <c r="D173" s="104">
        <f>IF(ISERROR(HLOOKUP(J173,$Q$48:$AA$49,2)),0,HLOOKUP(J173,$Q$48:$AA$49,2))</f>
        <v>0</v>
      </c>
      <c r="E173" s="104">
        <f>IF(ISERROR(HLOOKUP(K173,$Q$48:$AA$49,2)),0,HLOOKUP(K173,$Q$48:$AA$49,2))</f>
        <v>0</v>
      </c>
      <c r="F173" s="104">
        <f>IF(ISERROR(HLOOKUP(L173,$Q$48:$AA$49,2)),0,HLOOKUP(L173,$Q$48:$AA$49,2))</f>
        <v>0</v>
      </c>
      <c r="G173" s="396">
        <f>SUM($F$27:$F$32)</f>
        <v>0</v>
      </c>
      <c r="H173" s="103">
        <f>SUM($F$27:$F$32)+$J$51</f>
        <v>0</v>
      </c>
      <c r="I173" s="103">
        <f>SUM($F$27:$F$32)+$J$51+$J$60</f>
        <v>0</v>
      </c>
      <c r="J173" s="21">
        <f t="shared" si="7"/>
        <v>0</v>
      </c>
      <c r="K173" s="21">
        <f t="shared" si="8"/>
        <v>0</v>
      </c>
      <c r="L173" s="21">
        <f t="shared" si="9"/>
        <v>0</v>
      </c>
      <c r="M173" s="78" t="s">
        <v>661</v>
      </c>
      <c r="N173" s="341" t="s">
        <v>613</v>
      </c>
      <c r="O173" s="256">
        <f>IF(ISERROR(HLOOKUP(J174,$Q$63:$AA$64,2)),0,HLOOKUP(J174,$Q$63:$AA$64,2))</f>
        <v>0</v>
      </c>
      <c r="P173" s="144">
        <f>IF(ISERROR(HLOOKUP(K174,$Q$63:$AA$64,2)),0,HLOOKUP(K174,$Q$63:$AA$64,2))</f>
        <v>0</v>
      </c>
      <c r="Q173" s="144">
        <f>IF(ISERROR(HLOOKUP(L174,$Q$63:$AA$64,2)),0,HLOOKUP(L174,$Q$63:$AA$64,2))</f>
        <v>0</v>
      </c>
      <c r="R173" s="342" t="s">
        <v>695</v>
      </c>
    </row>
    <row r="174" spans="1:45" ht="12.75" hidden="1" customHeight="1" thickBot="1" x14ac:dyDescent="0.2">
      <c r="A174" s="259">
        <v>41</v>
      </c>
      <c r="B174" s="340" t="s">
        <v>626</v>
      </c>
      <c r="C174" s="21" t="str">
        <f>IF($N$8&gt;=$R$174,$P$20,$P$19)</f>
        <v>TRIÊNIO</v>
      </c>
      <c r="D174" s="343">
        <f>IF($C$174=$N$173,$O$173,$O$174)</f>
        <v>0</v>
      </c>
      <c r="E174" s="343">
        <f>IF($C$174=$N$173,$P$173,$P$174)</f>
        <v>0</v>
      </c>
      <c r="F174" s="343">
        <f>IF($C$174=$N$173,$Q$173,$Q$174)</f>
        <v>0</v>
      </c>
      <c r="G174" s="396">
        <f>SUM($F$30:$F$32)</f>
        <v>0</v>
      </c>
      <c r="H174" s="103">
        <f>SUM($F$30:$F$32)+$J$51</f>
        <v>0</v>
      </c>
      <c r="I174" s="103">
        <f>SUM($F$30:$F$32)+$J$51+$J$60</f>
        <v>0</v>
      </c>
      <c r="J174" s="21">
        <f t="shared" si="7"/>
        <v>0</v>
      </c>
      <c r="K174" s="21">
        <f t="shared" si="8"/>
        <v>0</v>
      </c>
      <c r="L174" s="21">
        <f t="shared" si="9"/>
        <v>0</v>
      </c>
      <c r="M174" s="78" t="s">
        <v>661</v>
      </c>
      <c r="N174" s="344" t="s">
        <v>547</v>
      </c>
      <c r="O174" s="257">
        <f>IF(ISERROR(HLOOKUP(J174,$Q$73:$W$74,2)),0,HLOOKUP(J174,$Q$73:$W$74,2))</f>
        <v>0</v>
      </c>
      <c r="P174" s="145">
        <f>IF(ISERROR(HLOOKUP(K174,$Q$73:$W$74,2)),0,HLOOKUP(K174,$Q$73:$W$74,2))</f>
        <v>0</v>
      </c>
      <c r="Q174" s="145">
        <f>IF(ISERROR(HLOOKUP(L174,$Q$73:$W$74,2)),0,HLOOKUP(L174,$Q$73:$W$74,2))</f>
        <v>0</v>
      </c>
      <c r="R174" s="398">
        <v>36539</v>
      </c>
      <c r="S174" s="103"/>
      <c r="T174" s="103"/>
    </row>
    <row r="175" spans="1:45" ht="12.75" hidden="1" customHeight="1" x14ac:dyDescent="0.15">
      <c r="A175" s="259">
        <v>42</v>
      </c>
      <c r="B175" s="340" t="s">
        <v>627</v>
      </c>
      <c r="C175" s="21"/>
      <c r="D175" s="54"/>
      <c r="E175" s="54"/>
      <c r="F175" s="54"/>
      <c r="G175" s="396">
        <f>SUM($F$27:$F$32)</f>
        <v>0</v>
      </c>
      <c r="H175" s="103">
        <f>SUM($F$27:$F$32)+$J$51</f>
        <v>0</v>
      </c>
      <c r="I175" s="103">
        <f>SUM($F$27:$F$32)+$J$51+$J$60</f>
        <v>0</v>
      </c>
      <c r="J175" s="21">
        <f t="shared" si="7"/>
        <v>0</v>
      </c>
      <c r="K175" s="21">
        <f t="shared" si="8"/>
        <v>0</v>
      </c>
      <c r="L175" s="21">
        <f t="shared" si="9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43</v>
      </c>
      <c r="B176" s="340" t="s">
        <v>628</v>
      </c>
      <c r="C176" s="21" t="s">
        <v>527</v>
      </c>
      <c r="D176" s="104">
        <f>IF(ISERROR(HLOOKUP(J176,$Q$26:$AY$27,2)),0,HLOOKUP(J176,$Q$26:$AY$27,2))</f>
        <v>0</v>
      </c>
      <c r="E176" s="104">
        <f>IF(ISERROR(HLOOKUP(K176,$Q$26:$AY$27,2)),0,HLOOKUP(K176,$Q$26:$AY$27,2))</f>
        <v>0</v>
      </c>
      <c r="F176" s="104">
        <f>IF(ISERROR(HLOOKUP(L176,$Q$26:$AY$27,2)),0,HLOOKUP(L176,$Q$26:$AY$27,2))</f>
        <v>0</v>
      </c>
      <c r="G176" s="396">
        <f>SUM($F$27:$F$33)</f>
        <v>0</v>
      </c>
      <c r="H176" s="103">
        <f>SUM($F$27:$F$33)+$J$51</f>
        <v>0</v>
      </c>
      <c r="I176" s="103">
        <f>SUM($F$27:$F$33)+$J$51+$J$60</f>
        <v>0</v>
      </c>
      <c r="J176" s="21">
        <f t="shared" si="7"/>
        <v>0</v>
      </c>
      <c r="K176" s="21">
        <f t="shared" si="8"/>
        <v>0</v>
      </c>
      <c r="L176" s="21">
        <f t="shared" si="9"/>
        <v>0</v>
      </c>
      <c r="M176" s="78" t="s">
        <v>661</v>
      </c>
      <c r="P176" s="44"/>
      <c r="Q176" s="44"/>
    </row>
    <row r="177" spans="1:33" ht="12.75" hidden="1" customHeight="1" x14ac:dyDescent="0.15">
      <c r="A177" s="259">
        <v>44</v>
      </c>
      <c r="B177" s="340" t="s">
        <v>629</v>
      </c>
      <c r="C177" s="21" t="s">
        <v>547</v>
      </c>
      <c r="D177" s="104">
        <f t="shared" ref="D177:F178" si="14">IF(ISERROR(HLOOKUP(J177,$Q$73:$W$74,2)),0,HLOOKUP(J177,$Q$73:$W$74,2))</f>
        <v>0</v>
      </c>
      <c r="E177" s="104">
        <f t="shared" si="14"/>
        <v>0</v>
      </c>
      <c r="F177" s="104">
        <f t="shared" si="14"/>
        <v>0</v>
      </c>
      <c r="G177" s="396">
        <f>SUM($F$27:$F$32)</f>
        <v>0</v>
      </c>
      <c r="H177" s="103">
        <f>SUM($F$27:$F$32)+$J$51</f>
        <v>0</v>
      </c>
      <c r="I177" s="103">
        <f>SUM($F$27:$F$32)+$J$51+$J$60</f>
        <v>0</v>
      </c>
      <c r="J177" s="21">
        <f t="shared" si="7"/>
        <v>0</v>
      </c>
      <c r="K177" s="21">
        <f t="shared" si="8"/>
        <v>0</v>
      </c>
      <c r="L177" s="21">
        <f t="shared" si="9"/>
        <v>0</v>
      </c>
      <c r="M177" s="78" t="s">
        <v>661</v>
      </c>
      <c r="P177" s="44"/>
      <c r="Q177" s="44"/>
    </row>
    <row r="178" spans="1:33" ht="12.75" hidden="1" customHeight="1" x14ac:dyDescent="0.15">
      <c r="A178" s="259">
        <v>45</v>
      </c>
      <c r="B178" s="340" t="s">
        <v>630</v>
      </c>
      <c r="C178" s="21" t="s">
        <v>547</v>
      </c>
      <c r="D178" s="104">
        <f t="shared" si="14"/>
        <v>0</v>
      </c>
      <c r="E178" s="104">
        <f t="shared" si="14"/>
        <v>0</v>
      </c>
      <c r="F178" s="104">
        <f t="shared" si="14"/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7"/>
        <v>0</v>
      </c>
      <c r="K178" s="21">
        <f t="shared" si="8"/>
        <v>0</v>
      </c>
      <c r="L178" s="21">
        <f t="shared" si="9"/>
        <v>0</v>
      </c>
      <c r="M178" s="78" t="s">
        <v>661</v>
      </c>
      <c r="P178" s="44"/>
      <c r="Q178" s="44"/>
    </row>
    <row r="179" spans="1:33" ht="12.75" hidden="1" customHeight="1" x14ac:dyDescent="0.15">
      <c r="A179" s="259">
        <v>46</v>
      </c>
      <c r="B179" s="340" t="s">
        <v>631</v>
      </c>
      <c r="C179" s="21" t="s">
        <v>527</v>
      </c>
      <c r="D179" s="104">
        <f>IF(ISERROR(HLOOKUP(J179,$Q$26:$AY$27,2)),0,HLOOKUP(J179,$Q$26:$AY$27,2))</f>
        <v>0</v>
      </c>
      <c r="E179" s="104">
        <f>IF(ISERROR(HLOOKUP(K179,$Q$26:$AY$27,2)),0,HLOOKUP(K179,$Q$26:$AY$27,2))</f>
        <v>0</v>
      </c>
      <c r="F179" s="104">
        <f>IF(ISERROR(HLOOKUP(L179,$Q$26:$AY$27,2)),0,HLOOKUP(L179,$Q$26:$AY$27,2))</f>
        <v>0</v>
      </c>
      <c r="G179" s="396">
        <f>SUM($F$27:$F$32)</f>
        <v>0</v>
      </c>
      <c r="H179" s="103">
        <f>SUM($F$27:$F$32)+$J$51</f>
        <v>0</v>
      </c>
      <c r="I179" s="103">
        <f>SUM($F$27:$F$32)+$J$51+$J$60</f>
        <v>0</v>
      </c>
      <c r="J179" s="21">
        <f t="shared" si="7"/>
        <v>0</v>
      </c>
      <c r="K179" s="21">
        <f t="shared" si="8"/>
        <v>0</v>
      </c>
      <c r="L179" s="21">
        <f t="shared" si="9"/>
        <v>0</v>
      </c>
      <c r="M179" s="78" t="s">
        <v>661</v>
      </c>
      <c r="P179" s="44"/>
      <c r="Q179" s="44"/>
    </row>
    <row r="180" spans="1:33" ht="12.75" hidden="1" customHeight="1" x14ac:dyDescent="0.15">
      <c r="A180" s="259">
        <v>47</v>
      </c>
      <c r="B180" s="340" t="s">
        <v>632</v>
      </c>
      <c r="C180" s="21" t="s">
        <v>613</v>
      </c>
      <c r="D180" s="104">
        <f>IF(ISERROR(HLOOKUP(J180,$Q$48:$Z$49,2)),0,HLOOKUP(J180,$Q$48:$Z$49,2))</f>
        <v>0</v>
      </c>
      <c r="E180" s="104">
        <f>IF(ISERROR(HLOOKUP(K180,$Q$48:$Z$49,2)),0,HLOOKUP(K180,$Q$48:$Z$49,2))</f>
        <v>0</v>
      </c>
      <c r="F180" s="104">
        <f>IF(ISERROR(HLOOKUP(L180,$Q$48:$Z$49,2)),0,HLOOKUP(L180,$Q$48:$Z$49,2))</f>
        <v>0</v>
      </c>
      <c r="G180" s="396">
        <f>SUM($F$30:$F$32)</f>
        <v>0</v>
      </c>
      <c r="H180" s="103">
        <f>SUM($F$30:$F$32)+$J$51</f>
        <v>0</v>
      </c>
      <c r="I180" s="103">
        <f>SUM($F$30:$F$32)+$J$51+$J$60</f>
        <v>0</v>
      </c>
      <c r="J180" s="21">
        <f t="shared" si="7"/>
        <v>0</v>
      </c>
      <c r="K180" s="21">
        <f t="shared" si="8"/>
        <v>0</v>
      </c>
      <c r="L180" s="21">
        <f t="shared" si="9"/>
        <v>0</v>
      </c>
      <c r="M180" s="78" t="s">
        <v>661</v>
      </c>
      <c r="P180" s="44"/>
      <c r="Q180" s="44"/>
    </row>
    <row r="181" spans="1:33" ht="12.75" hidden="1" customHeight="1" x14ac:dyDescent="0.15">
      <c r="A181" s="259">
        <v>48</v>
      </c>
      <c r="B181" s="340" t="s">
        <v>633</v>
      </c>
      <c r="C181" s="21" t="s">
        <v>613</v>
      </c>
      <c r="D181" s="104">
        <f>IF(ISERROR(HLOOKUP(J181,$Q$48:$AJ$49,2)),0,HLOOKUP(J181,$Q$48:$AJ$49,2))</f>
        <v>0</v>
      </c>
      <c r="E181" s="104">
        <f>IF(ISERROR(HLOOKUP(K181,$Q$48:$AJ$49,2)),0,HLOOKUP(K181,$Q$48:$AJ$49,2))</f>
        <v>0</v>
      </c>
      <c r="F181" s="104">
        <f>IF(ISERROR(HLOOKUP(L181,$Q$48:$AJ$49,2)),0,HLOOKUP(L181,$Q$48:$AJ$49,2))</f>
        <v>0</v>
      </c>
      <c r="G181" s="396">
        <f>SUM($F$30:$F$33)</f>
        <v>0</v>
      </c>
      <c r="H181" s="103">
        <f>SUM($F$30:$F$33)+$J$51</f>
        <v>0</v>
      </c>
      <c r="I181" s="103">
        <f>SUM($F$30:$F$33)+$J$51+$J$60</f>
        <v>0</v>
      </c>
      <c r="J181" s="21">
        <f t="shared" si="7"/>
        <v>0</v>
      </c>
      <c r="K181" s="21">
        <f t="shared" si="8"/>
        <v>0</v>
      </c>
      <c r="L181" s="21">
        <f t="shared" si="9"/>
        <v>0</v>
      </c>
      <c r="M181" s="78" t="s">
        <v>661</v>
      </c>
      <c r="P181" s="44"/>
      <c r="Q181" s="44"/>
    </row>
    <row r="182" spans="1:33" ht="12.75" hidden="1" customHeight="1" x14ac:dyDescent="0.15">
      <c r="A182" s="259">
        <v>49</v>
      </c>
      <c r="B182" s="340" t="s">
        <v>634</v>
      </c>
      <c r="C182" s="21" t="s">
        <v>613</v>
      </c>
      <c r="D182" s="104">
        <f>IF(ISERROR(HLOOKUP(J182,$Q$48:$Z$49,2)),0,HLOOKUP(J182,$Q$48:$Z$49,2))</f>
        <v>0</v>
      </c>
      <c r="E182" s="104">
        <f>IF(ISERROR(HLOOKUP(K182,$Q$48:$Z$49,2)),0,HLOOKUP(K182,$Q$48:$Z$49,2))</f>
        <v>0</v>
      </c>
      <c r="F182" s="104">
        <f>IF(ISERROR(HLOOKUP(L182,$Q$48:$Z$49,2)),0,HLOOKUP(L182,$Q$48:$Z$49,2))</f>
        <v>0</v>
      </c>
      <c r="G182" s="396">
        <f>SUM($F$30:$F$33)</f>
        <v>0</v>
      </c>
      <c r="H182" s="103">
        <f>SUM($F$30:$F$33)+$J$51</f>
        <v>0</v>
      </c>
      <c r="I182" s="103">
        <f>SUM($F$30:$F$33)+$J$51+$J$60</f>
        <v>0</v>
      </c>
      <c r="J182" s="21">
        <f t="shared" si="7"/>
        <v>0</v>
      </c>
      <c r="K182" s="21">
        <f t="shared" si="8"/>
        <v>0</v>
      </c>
      <c r="L182" s="21">
        <f t="shared" si="9"/>
        <v>0</v>
      </c>
      <c r="M182" s="78" t="s">
        <v>661</v>
      </c>
      <c r="P182" s="44"/>
      <c r="Q182" s="44"/>
    </row>
    <row r="183" spans="1:33" ht="12.75" hidden="1" customHeight="1" x14ac:dyDescent="0.15">
      <c r="A183" s="259">
        <v>50</v>
      </c>
      <c r="B183" s="340" t="s">
        <v>635</v>
      </c>
      <c r="C183" s="21" t="s">
        <v>613</v>
      </c>
      <c r="D183" s="104">
        <f>IF(ISERROR(HLOOKUP(J183,$Q$39:$AB$40,2)),0,HLOOKUP(J183,$Q$39:$AB$40,2))</f>
        <v>0</v>
      </c>
      <c r="E183" s="104">
        <f>IF(ISERROR(HLOOKUP(K183,$Q$39:$AB$40,2)),0,HLOOKUP(K183,$Q$39:$AB$40,2))</f>
        <v>0</v>
      </c>
      <c r="F183" s="104">
        <f>IF(ISERROR(HLOOKUP(L183,$Q$39:$AB$40,2)),0,HLOOKUP(L183,$Q$39:$AB$40,2))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7"/>
        <v>0</v>
      </c>
      <c r="K183" s="21">
        <f t="shared" si="8"/>
        <v>0</v>
      </c>
      <c r="L183" s="21">
        <f t="shared" si="9"/>
        <v>0</v>
      </c>
      <c r="M183" s="78" t="s">
        <v>661</v>
      </c>
      <c r="P183" s="44"/>
      <c r="Q183" s="44"/>
    </row>
    <row r="184" spans="1:33" ht="12.75" hidden="1" customHeight="1" x14ac:dyDescent="0.15">
      <c r="A184" s="259">
        <v>51</v>
      </c>
      <c r="B184" s="340" t="s">
        <v>636</v>
      </c>
      <c r="C184" s="21" t="s">
        <v>613</v>
      </c>
      <c r="D184" s="104">
        <f>IF(ISERROR(HLOOKUP(J184,$Q$39:$AA$40,2)),0,HLOOKUP(J184,$Q$39:$AA$40,2))</f>
        <v>0</v>
      </c>
      <c r="E184" s="104">
        <f>IF(ISERROR(HLOOKUP(K184,$Q$39:$AA$40,2)),0,HLOOKUP(K184,$Q$39:$AA$40,2))</f>
        <v>0</v>
      </c>
      <c r="F184" s="104">
        <f>IF(ISERROR(HLOOKUP(L184,$Q$39:$AA$40,2)),0,HLOOKUP(L184,$Q$39:$AA$40,2))</f>
        <v>0</v>
      </c>
      <c r="G184" s="396">
        <f>SUM($F$30:$F$32)</f>
        <v>0</v>
      </c>
      <c r="H184" s="103">
        <f>SUM($F$30:$F$32)+$J$51</f>
        <v>0</v>
      </c>
      <c r="I184" s="103">
        <f>SUM($F$30:$F$32)+$J$51+$J$60</f>
        <v>0</v>
      </c>
      <c r="J184" s="21">
        <f t="shared" si="7"/>
        <v>0</v>
      </c>
      <c r="K184" s="21">
        <f t="shared" si="8"/>
        <v>0</v>
      </c>
      <c r="L184" s="21">
        <f t="shared" si="9"/>
        <v>0</v>
      </c>
      <c r="M184" s="78" t="s">
        <v>661</v>
      </c>
      <c r="P184" s="44"/>
      <c r="Q184" s="44"/>
    </row>
    <row r="185" spans="1:33" ht="12.75" hidden="1" customHeight="1" x14ac:dyDescent="0.15">
      <c r="A185" s="259">
        <v>52</v>
      </c>
      <c r="B185" s="340" t="s">
        <v>637</v>
      </c>
      <c r="C185" s="21" t="s">
        <v>613</v>
      </c>
      <c r="D185" s="104">
        <f>IF(ISERROR(HLOOKUP(J185,$Q$66:$X$67,2)),0,HLOOKUP(J185,$Q$66:$X$67,2))</f>
        <v>0</v>
      </c>
      <c r="E185" s="104">
        <f>IF(ISERROR(HLOOKUP(K185,$Q$66:$X$67,2)),0,HLOOKUP(K185,$Q$66:$X$67,2))</f>
        <v>0</v>
      </c>
      <c r="F185" s="104">
        <f>IF(ISERROR(HLOOKUP(L185,$Q$66:$X$67,2)),0,HLOOKUP(L185,$Q$66:$X$67,2))</f>
        <v>0</v>
      </c>
      <c r="G185" s="396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7"/>
        <v>0</v>
      </c>
      <c r="K185" s="21">
        <f t="shared" si="8"/>
        <v>0</v>
      </c>
      <c r="L185" s="21">
        <f t="shared" si="9"/>
        <v>0</v>
      </c>
      <c r="M185" s="78" t="s">
        <v>661</v>
      </c>
      <c r="P185" s="44"/>
      <c r="Q185" s="44"/>
    </row>
    <row r="186" spans="1:33" ht="12.75" hidden="1" customHeight="1" x14ac:dyDescent="0.15">
      <c r="A186" s="259">
        <v>53</v>
      </c>
      <c r="B186" s="340" t="s">
        <v>638</v>
      </c>
      <c r="C186" s="21" t="s">
        <v>613</v>
      </c>
      <c r="D186" s="104">
        <f>IF(ISERROR(HLOOKUP(J186,$Q$48:$AA$49,2)),0,HLOOKUP(J186,$Q$48:$AA$49,2))</f>
        <v>0</v>
      </c>
      <c r="E186" s="104">
        <f>IF(ISERROR(HLOOKUP(K186,$Q$48:$AA$49,2)),0,HLOOKUP(K186,$Q$48:$AA$49,2))</f>
        <v>0</v>
      </c>
      <c r="F186" s="104">
        <f>IF(ISERROR(HLOOKUP(L186,$Q$48:$AA$49,2)),0,HLOOKUP(L186,$Q$48:$AA$49,2))</f>
        <v>0</v>
      </c>
      <c r="G186" s="396">
        <f>SUM($F$30:$F$32)</f>
        <v>0</v>
      </c>
      <c r="H186" s="103">
        <f>SUM($F$30:$F$32)+$J$51</f>
        <v>0</v>
      </c>
      <c r="I186" s="103">
        <f>SUM($F$30:$F$32)+$J$51+$J$60</f>
        <v>0</v>
      </c>
      <c r="J186" s="21">
        <f t="shared" si="7"/>
        <v>0</v>
      </c>
      <c r="K186" s="21">
        <f t="shared" si="8"/>
        <v>0</v>
      </c>
      <c r="L186" s="21">
        <f t="shared" si="9"/>
        <v>0</v>
      </c>
      <c r="M186" s="78" t="s">
        <v>661</v>
      </c>
      <c r="P186" s="44"/>
      <c r="Q186" s="44"/>
    </row>
    <row r="187" spans="1:33" ht="12.75" hidden="1" customHeight="1" x14ac:dyDescent="0.15">
      <c r="A187" s="259">
        <v>54</v>
      </c>
      <c r="B187" s="340" t="s">
        <v>639</v>
      </c>
      <c r="C187" s="21" t="s">
        <v>613</v>
      </c>
      <c r="D187" s="104">
        <f>IF(ISERROR(HLOOKUP(J187,$Q$39:$AA$40,2)),0,HLOOKUP(J187,$Q$39:$AA$40,2))</f>
        <v>0</v>
      </c>
      <c r="E187" s="104">
        <f>IF(ISERROR(HLOOKUP(K187,$Q$39:$AA$40,2)),0,HLOOKUP(K187,$Q$39:$AA$40,2))</f>
        <v>0</v>
      </c>
      <c r="F187" s="104">
        <f>IF(ISERROR(HLOOKUP(L187,$Q$39:$AA$40,2)),0,HLOOKUP(L187,$Q$39:$AA$40,2))</f>
        <v>0</v>
      </c>
      <c r="G187" s="396">
        <f>SUM($F$27:$F$32)</f>
        <v>0</v>
      </c>
      <c r="H187" s="103">
        <f>SUM($F$27:$F$32)+$J$51</f>
        <v>0</v>
      </c>
      <c r="I187" s="103">
        <f>SUM($F$27:$F$32)+$J$51+$J$60</f>
        <v>0</v>
      </c>
      <c r="J187" s="21">
        <f t="shared" ref="J187:J218" si="15">ROUNDDOWN(G187/365,0)</f>
        <v>0</v>
      </c>
      <c r="K187" s="21">
        <f t="shared" ref="K187:K218" si="16">ROUNDDOWN(H187/365,0)</f>
        <v>0</v>
      </c>
      <c r="L187" s="21">
        <f t="shared" ref="L187:L218" si="17">ROUNDDOWN(I187/365,0)</f>
        <v>0</v>
      </c>
      <c r="M187" s="78" t="s">
        <v>661</v>
      </c>
      <c r="P187" s="44"/>
      <c r="Q187" s="44"/>
    </row>
    <row r="188" spans="1:33" ht="12.75" hidden="1" customHeight="1" x14ac:dyDescent="0.15">
      <c r="A188" s="259">
        <v>55</v>
      </c>
      <c r="B188" s="340" t="s">
        <v>640</v>
      </c>
      <c r="C188" s="21" t="s">
        <v>613</v>
      </c>
      <c r="D188" s="104">
        <f>IF(ISERROR(HLOOKUP(J188,$Q$60:$AA$61,2)),0,HLOOKUP(J188,$Q$60:$AA$61,2))</f>
        <v>0</v>
      </c>
      <c r="E188" s="104">
        <f>IF(ISERROR(HLOOKUP(K188,$Q$60:$AA$61,2)),0,HLOOKUP(K188,$Q$60:$AA$61,2))</f>
        <v>0</v>
      </c>
      <c r="F188" s="104">
        <f>IF(ISERROR(HLOOKUP(L188,$Q$60:$AA$61,2)),0,HLOOKUP(L188,$Q$60:$AA$61,2))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5"/>
        <v>0</v>
      </c>
      <c r="K188" s="21">
        <f t="shared" si="16"/>
        <v>0</v>
      </c>
      <c r="L188" s="21">
        <f t="shared" si="17"/>
        <v>0</v>
      </c>
      <c r="M188" s="78" t="s">
        <v>661</v>
      </c>
      <c r="P188" s="44"/>
      <c r="Q188" s="44"/>
    </row>
    <row r="189" spans="1:33" ht="12.75" hidden="1" customHeight="1" x14ac:dyDescent="0.15">
      <c r="A189" s="259">
        <v>56</v>
      </c>
      <c r="B189" s="340" t="s">
        <v>683</v>
      </c>
      <c r="C189" s="21" t="s">
        <v>547</v>
      </c>
      <c r="D189" s="104">
        <f>IF(ISERROR(HLOOKUP(J189,$Q$80:$W$81,2)),0,HLOOKUP(J189,$Q$80:$W$81,2))</f>
        <v>0</v>
      </c>
      <c r="E189" s="104">
        <f>IF(ISERROR(HLOOKUP(K189,$Q$80:$W$81,2)),0,HLOOKUP(K189,$Q$80:$W$81,2))</f>
        <v>0</v>
      </c>
      <c r="F189" s="104">
        <f>IF(ISERROR(HLOOKUP(L189,$Q$80:$W$81,2)),0,HLOOKUP(L189,$Q$80:$W$81,2))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5"/>
        <v>0</v>
      </c>
      <c r="K189" s="21">
        <f t="shared" si="16"/>
        <v>0</v>
      </c>
      <c r="L189" s="21">
        <f t="shared" si="17"/>
        <v>0</v>
      </c>
      <c r="M189" s="78" t="s">
        <v>661</v>
      </c>
      <c r="P189" s="44"/>
      <c r="Q189" s="44"/>
    </row>
    <row r="190" spans="1:33" ht="12.75" hidden="1" customHeight="1" x14ac:dyDescent="0.15">
      <c r="A190" s="259">
        <v>57</v>
      </c>
      <c r="B190" s="340" t="s">
        <v>699</v>
      </c>
      <c r="C190" s="21" t="s">
        <v>613</v>
      </c>
      <c r="D190" s="104">
        <f>IF(ISERROR(HLOOKUP(J190,$Q$48:$AA$49,2)),0,HLOOKUP(J190,$Q$48:$AA$49,2))</f>
        <v>0</v>
      </c>
      <c r="E190" s="104">
        <f>IF(ISERROR(HLOOKUP(K190,$Q$48:$AA$49,2)),0,HLOOKUP(K190,$Q$48:$AA$49,2))</f>
        <v>0</v>
      </c>
      <c r="F190" s="104">
        <f>IF(ISERROR(HLOOKUP(L190,$Q$48:$AA$49,2)),0,HLOOKUP(L190,$Q$48:$AA$49,2))</f>
        <v>0</v>
      </c>
      <c r="G190" s="396">
        <f>SUM($F$30:$F$32)</f>
        <v>0</v>
      </c>
      <c r="H190" s="103">
        <f>SUM($F$30:$F$32)+$J$51</f>
        <v>0</v>
      </c>
      <c r="I190" s="103">
        <f>SUM($F$30:$F$32)+$J$51+$J$60</f>
        <v>0</v>
      </c>
      <c r="J190" s="21">
        <f t="shared" si="15"/>
        <v>0</v>
      </c>
      <c r="K190" s="21">
        <f t="shared" si="16"/>
        <v>0</v>
      </c>
      <c r="L190" s="21">
        <f t="shared" si="17"/>
        <v>0</v>
      </c>
      <c r="M190" s="78" t="s">
        <v>661</v>
      </c>
      <c r="P190" s="44"/>
      <c r="Q190" s="44"/>
    </row>
    <row r="191" spans="1:33" ht="12.75" hidden="1" customHeight="1" x14ac:dyDescent="0.15">
      <c r="A191" s="259">
        <v>58</v>
      </c>
      <c r="B191" s="340" t="s">
        <v>641</v>
      </c>
      <c r="C191" s="21" t="s">
        <v>613</v>
      </c>
      <c r="D191" s="104">
        <f>IF(ISERROR(HLOOKUP(J191,$Q$69:$AC$70,2)),0,HLOOKUP(J191,$Q$69:$AC$70,2))</f>
        <v>0</v>
      </c>
      <c r="E191" s="104">
        <f>IF(ISERROR(HLOOKUP(K191,$Q$69:$AC$70,2)),0,HLOOKUP(K191,$Q$69:$AC$70,2))</f>
        <v>0</v>
      </c>
      <c r="F191" s="104">
        <f>IF(ISERROR(HLOOKUP(L191,$Q$69:$AC$70,2)),0,HLOOKUP(L191,$Q$69:$AC$70,2))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15"/>
        <v>0</v>
      </c>
      <c r="K191" s="21">
        <f t="shared" si="16"/>
        <v>0</v>
      </c>
      <c r="L191" s="21">
        <f t="shared" si="17"/>
        <v>0</v>
      </c>
      <c r="M191" s="78" t="s">
        <v>661</v>
      </c>
      <c r="P191" s="44"/>
      <c r="Q191" s="44"/>
    </row>
    <row r="192" spans="1:33" ht="12.75" hidden="1" customHeight="1" x14ac:dyDescent="0.15">
      <c r="A192" s="259">
        <v>59</v>
      </c>
      <c r="B192" s="340" t="s">
        <v>642</v>
      </c>
      <c r="C192" s="21" t="s">
        <v>613</v>
      </c>
      <c r="D192" s="104">
        <f>IF(ISERROR(HLOOKUP(J192,$Q$39:$AB$40,2)),0,HLOOKUP(J192,$Q$39:$AB$40,2))</f>
        <v>0</v>
      </c>
      <c r="E192" s="104">
        <f>IF(ISERROR(HLOOKUP(K192,$Q$39:$AB$40,2)),0,HLOOKUP(K192,$Q$39:$AB$40,2))</f>
        <v>0</v>
      </c>
      <c r="F192" s="104">
        <f>IF(ISERROR(HLOOKUP(L192,$Q$39:$AB$40,2)),0,HLOOKUP(L192,$Q$39:$AB$40,2))</f>
        <v>0</v>
      </c>
      <c r="G192" s="396">
        <f>SUM($F$27:$F$33)</f>
        <v>0</v>
      </c>
      <c r="H192" s="103">
        <f>SUM($F$27:$F$33)+$J$51</f>
        <v>0</v>
      </c>
      <c r="I192" s="103">
        <f>SUM($F$27:$F$33)+$J$51+$J$60</f>
        <v>0</v>
      </c>
      <c r="J192" s="21">
        <f t="shared" si="15"/>
        <v>0</v>
      </c>
      <c r="K192" s="21">
        <f t="shared" si="16"/>
        <v>0</v>
      </c>
      <c r="L192" s="21">
        <f t="shared" si="17"/>
        <v>0</v>
      </c>
      <c r="M192" s="78" t="s">
        <v>661</v>
      </c>
      <c r="P192" s="44"/>
      <c r="Q192" s="44"/>
      <c r="AC192" s="69"/>
      <c r="AD192" s="69"/>
      <c r="AE192" s="69"/>
      <c r="AF192" s="69"/>
      <c r="AG192" s="69"/>
    </row>
    <row r="193" spans="1:33" ht="12.75" hidden="1" customHeight="1" x14ac:dyDescent="0.15">
      <c r="A193" s="259">
        <v>60</v>
      </c>
      <c r="B193" s="340" t="s">
        <v>643</v>
      </c>
      <c r="C193" s="21" t="s">
        <v>547</v>
      </c>
      <c r="D193" s="104">
        <f>IF(ISERROR(HLOOKUP(J193,$Q$80:$W$81,2)),0,HLOOKUP(J193,$Q$80:$W$81,2))</f>
        <v>0</v>
      </c>
      <c r="E193" s="104">
        <f>IF(ISERROR(HLOOKUP(K193,$Q$80:$W$81,2)),0,HLOOKUP(K193,$Q$80:$W$81,2))</f>
        <v>0</v>
      </c>
      <c r="F193" s="104">
        <f>IF(ISERROR(HLOOKUP(L193,$Q$80:$W$81,2)),0,HLOOKUP(L193,$Q$80:$W$81,2))</f>
        <v>0</v>
      </c>
      <c r="G193" s="396">
        <f>SUM($F$30:$F$33)</f>
        <v>0</v>
      </c>
      <c r="H193" s="103">
        <f>SUM($F$30:$F$33)+$J$51</f>
        <v>0</v>
      </c>
      <c r="I193" s="103">
        <f>SUM($F$30:$F$33)+$J$51+$J$60</f>
        <v>0</v>
      </c>
      <c r="J193" s="21">
        <f t="shared" si="15"/>
        <v>0</v>
      </c>
      <c r="K193" s="21">
        <f t="shared" si="16"/>
        <v>0</v>
      </c>
      <c r="L193" s="21">
        <f t="shared" si="17"/>
        <v>0</v>
      </c>
      <c r="M193" s="78" t="s">
        <v>661</v>
      </c>
      <c r="P193" s="44"/>
      <c r="Q193" s="44"/>
      <c r="AC193" s="69"/>
      <c r="AD193" s="69"/>
      <c r="AE193" s="69"/>
      <c r="AF193" s="69"/>
      <c r="AG193" s="69"/>
    </row>
    <row r="194" spans="1:33" ht="12.75" hidden="1" customHeight="1" x14ac:dyDescent="0.15">
      <c r="A194" s="259">
        <v>61</v>
      </c>
      <c r="B194" s="340" t="s">
        <v>644</v>
      </c>
      <c r="C194" s="21" t="s">
        <v>613</v>
      </c>
      <c r="D194" s="104">
        <f>IF(ISERROR(HLOOKUP(J194,$Q$39:$AA$40,2)),0,HLOOKUP(J194,$Q$39:$AA$40,2))</f>
        <v>0</v>
      </c>
      <c r="E194" s="104">
        <f>IF(ISERROR(HLOOKUP(K194,$Q$39:$AA$40,2)),0,HLOOKUP(K194,$Q$39:$AA$40,2))</f>
        <v>0</v>
      </c>
      <c r="F194" s="104">
        <f>IF(ISERROR(HLOOKUP(L194,$Q$39:$AA$40,2)),0,HLOOKUP(L194,$Q$39:$AA$40,2))</f>
        <v>0</v>
      </c>
      <c r="G194" s="396">
        <f>SUM($F$27:$F$33)</f>
        <v>0</v>
      </c>
      <c r="H194" s="103">
        <f>SUM($F$27:$F$33)+$J$51</f>
        <v>0</v>
      </c>
      <c r="I194" s="103">
        <f>SUM($F$27:$F$33)+$J$51+$J$60</f>
        <v>0</v>
      </c>
      <c r="J194" s="21">
        <f t="shared" si="15"/>
        <v>0</v>
      </c>
      <c r="K194" s="21">
        <f t="shared" si="16"/>
        <v>0</v>
      </c>
      <c r="L194" s="21">
        <f t="shared" si="17"/>
        <v>0</v>
      </c>
      <c r="M194" s="78" t="s">
        <v>661</v>
      </c>
      <c r="P194" s="44"/>
      <c r="Q194" s="44"/>
      <c r="AC194" s="69"/>
      <c r="AD194" s="69"/>
      <c r="AE194" s="69"/>
      <c r="AF194" s="69"/>
      <c r="AG194" s="69"/>
    </row>
    <row r="195" spans="1:33" ht="12.75" hidden="1" customHeight="1" x14ac:dyDescent="0.15">
      <c r="A195" s="259">
        <v>62</v>
      </c>
      <c r="B195" s="345" t="s">
        <v>645</v>
      </c>
      <c r="C195" s="21" t="s">
        <v>527</v>
      </c>
      <c r="D195" s="104">
        <f>IF(ISERROR(HLOOKUP(J195,$Q$26:$AY$27,2)),0,HLOOKUP(J195,$Q$26:$AY$27,2))</f>
        <v>0</v>
      </c>
      <c r="E195" s="104">
        <f>IF(ISERROR(HLOOKUP(K195,$Q$26:$AY$27,2)),0,HLOOKUP(K195,$Q$26:$AY$27,2))</f>
        <v>0</v>
      </c>
      <c r="F195" s="104">
        <f>IF(ISERROR(HLOOKUP(L195,$Q$26:$AY$27,2)),0,HLOOKUP(L195,$Q$26:$AY$27,2))</f>
        <v>0</v>
      </c>
      <c r="G195" s="396">
        <f>SUM($F$30:$F$32)</f>
        <v>0</v>
      </c>
      <c r="H195" s="103">
        <f>SUM($F$27:$F$32)+$J$51</f>
        <v>0</v>
      </c>
      <c r="I195" s="103">
        <f>SUM($F$27:$F$32)+$J$51+$J$60</f>
        <v>0</v>
      </c>
      <c r="J195" s="21">
        <f t="shared" si="15"/>
        <v>0</v>
      </c>
      <c r="K195" s="21">
        <f t="shared" si="16"/>
        <v>0</v>
      </c>
      <c r="L195" s="21">
        <f t="shared" si="17"/>
        <v>0</v>
      </c>
      <c r="M195" s="346" t="s">
        <v>662</v>
      </c>
      <c r="P195" s="44"/>
      <c r="Q195" s="44"/>
      <c r="AC195" s="69"/>
      <c r="AD195" s="69"/>
      <c r="AE195" s="69"/>
      <c r="AF195" s="69"/>
      <c r="AG195" s="69"/>
    </row>
    <row r="196" spans="1:33" ht="12.75" hidden="1" customHeight="1" x14ac:dyDescent="0.15">
      <c r="A196" s="259">
        <v>63</v>
      </c>
      <c r="B196" s="345" t="s">
        <v>646</v>
      </c>
      <c r="C196" s="21"/>
      <c r="D196" s="54"/>
      <c r="E196" s="54"/>
      <c r="F196" s="54"/>
      <c r="G196" s="54"/>
      <c r="H196" s="54"/>
      <c r="I196" s="347"/>
      <c r="J196" s="21">
        <f t="shared" si="15"/>
        <v>0</v>
      </c>
      <c r="K196" s="21">
        <f t="shared" si="16"/>
        <v>0</v>
      </c>
      <c r="L196" s="21">
        <f t="shared" si="17"/>
        <v>0</v>
      </c>
      <c r="M196" s="346" t="s">
        <v>662</v>
      </c>
      <c r="P196" s="44"/>
      <c r="Q196" s="44"/>
      <c r="AC196" s="69"/>
      <c r="AD196" s="69"/>
      <c r="AE196" s="69"/>
      <c r="AF196" s="69"/>
      <c r="AG196" s="348"/>
    </row>
    <row r="197" spans="1:33" s="308" customFormat="1" ht="12.75" hidden="1" customHeight="1" x14ac:dyDescent="0.15">
      <c r="A197" s="304">
        <v>64</v>
      </c>
      <c r="B197" s="349" t="s">
        <v>647</v>
      </c>
      <c r="C197" s="308" t="s">
        <v>613</v>
      </c>
      <c r="D197" s="305">
        <f>IF(ISERROR(HLOOKUP(J197,$Q$48:$AB$49,2)),0,HLOOKUP(J197,$Q$48:$AB$49,2))</f>
        <v>0</v>
      </c>
      <c r="E197" s="305">
        <f>IF(ISERROR(HLOOKUP(K197,$Q$48:$AB$49,2)),0,HLOOKUP(K197,$Q$48:$AB$49,2))</f>
        <v>0</v>
      </c>
      <c r="F197" s="305">
        <f>IF(ISERROR(HLOOKUP(L197,$Q$48:$AB$49,2)),0,HLOOKUP(L197,$Q$48:$AB$49,2))</f>
        <v>0</v>
      </c>
      <c r="G197" s="350">
        <f>SUM($F$30:$F$33)+$O$197</f>
        <v>0</v>
      </c>
      <c r="H197" s="350">
        <f>$G$197+$J$51</f>
        <v>0</v>
      </c>
      <c r="I197" s="350">
        <f>$G$197+$J$51+$J$60</f>
        <v>0</v>
      </c>
      <c r="J197" s="351">
        <f t="shared" si="15"/>
        <v>0</v>
      </c>
      <c r="K197" s="351">
        <f t="shared" si="16"/>
        <v>0</v>
      </c>
      <c r="L197" s="351">
        <f t="shared" si="17"/>
        <v>0</v>
      </c>
      <c r="M197" s="352" t="s">
        <v>662</v>
      </c>
      <c r="N197" s="310">
        <f>SUM($F$27:$F$29)</f>
        <v>0</v>
      </c>
      <c r="O197" s="309">
        <f>IF($N$197&gt;365,365,$N$197)</f>
        <v>0</v>
      </c>
      <c r="P197" s="353"/>
      <c r="Q197" s="353"/>
      <c r="AC197" s="354"/>
      <c r="AD197" s="354"/>
      <c r="AE197" s="354"/>
      <c r="AF197" s="354"/>
      <c r="AG197" s="354"/>
    </row>
    <row r="198" spans="1:33" ht="12.75" hidden="1" customHeight="1" x14ac:dyDescent="0.15">
      <c r="A198" s="259">
        <v>65</v>
      </c>
      <c r="B198" s="345" t="s">
        <v>648</v>
      </c>
      <c r="C198" s="21" t="s">
        <v>547</v>
      </c>
      <c r="D198" s="104">
        <f>IF(ISERROR(HLOOKUP(J198,$Q$73:$AB$74,2)),0,HLOOKUP(J198,$Q$73:$AB$74,2))</f>
        <v>0</v>
      </c>
      <c r="E198" s="105">
        <f>IF(ISERROR(HLOOKUP(K198,$Q$73:$AB$74,2)),0,HLOOKUP(K198,$Q$73:$AB$74,2))</f>
        <v>0</v>
      </c>
      <c r="F198" s="106">
        <f>IF(ISERROR(HLOOKUP(L198,$Q$73:$AB$74,2)),0,HLOOKUP(L198,$Q$73:$AB$74,2))</f>
        <v>0</v>
      </c>
      <c r="G198" s="355">
        <f>SUM($F$27:$F$32)</f>
        <v>0</v>
      </c>
      <c r="H198" s="355">
        <f>SUM($F$27:$F$32)+$J$51</f>
        <v>0</v>
      </c>
      <c r="I198" s="355">
        <f>SUM($F$27:$F$32)+$J$51+$J$60</f>
        <v>0</v>
      </c>
      <c r="J198" s="21">
        <f t="shared" si="15"/>
        <v>0</v>
      </c>
      <c r="K198" s="21">
        <f t="shared" si="16"/>
        <v>0</v>
      </c>
      <c r="L198" s="21">
        <f t="shared" si="17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348"/>
    </row>
    <row r="199" spans="1:33" ht="12.75" hidden="1" customHeight="1" x14ac:dyDescent="0.15">
      <c r="A199" s="259">
        <v>66</v>
      </c>
      <c r="B199" s="345" t="s">
        <v>649</v>
      </c>
      <c r="C199" s="21" t="s">
        <v>613</v>
      </c>
      <c r="D199" s="104">
        <f>IF(ISERROR(HLOOKUP(J199,$Q$39:$Z$40,2)),0,HLOOKUP(J199,$Q$39:$Z$40,2))</f>
        <v>0</v>
      </c>
      <c r="E199" s="104">
        <f>IF(ISERROR(HLOOKUP(K199,$Q$39:$Z$40,2)),0,HLOOKUP(K199,$Q$39:$Z$40,2))</f>
        <v>0</v>
      </c>
      <c r="F199" s="104">
        <f>IF(ISERROR(HLOOKUP(L199,$Q$39:$Z$40,2)),0,HLOOKUP(L199,$Q$39:$Z$40,2))</f>
        <v>0</v>
      </c>
      <c r="G199" s="355">
        <f>SUM($F$30:$F$32)</f>
        <v>0</v>
      </c>
      <c r="H199" s="355">
        <f>SUM($F$30:$F$32)+$J$51</f>
        <v>0</v>
      </c>
      <c r="I199" s="355">
        <f>SUM($F$30:$F$32)+$J$51+$J$60</f>
        <v>0</v>
      </c>
      <c r="J199" s="356">
        <f t="shared" si="15"/>
        <v>0</v>
      </c>
      <c r="K199" s="356">
        <f t="shared" si="16"/>
        <v>0</v>
      </c>
      <c r="L199" s="356">
        <f t="shared" si="17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ht="12.75" hidden="1" customHeight="1" x14ac:dyDescent="0.15">
      <c r="A200" s="259">
        <v>67</v>
      </c>
      <c r="B200" s="345" t="s">
        <v>650</v>
      </c>
      <c r="C200" s="21" t="s">
        <v>613</v>
      </c>
      <c r="D200" s="104">
        <f>IF(ISERROR(HLOOKUP(J200,$Q$51:$Y$52,2)),0,HLOOKUP(J200,$Q$51:$Y$52,2))</f>
        <v>0</v>
      </c>
      <c r="E200" s="104">
        <f>IF(ISERROR(HLOOKUP(K200,$Q$51:$Y$52,2)),0,HLOOKUP(K200,$Q$51:$Y$52,2))</f>
        <v>0</v>
      </c>
      <c r="F200" s="104">
        <f>IF(ISERROR(HLOOKUP(L200,$Q$51:$Y$52,2)),0,HLOOKUP(L200,$Q$51:$Y$52,2))</f>
        <v>0</v>
      </c>
      <c r="G200" s="396">
        <f>SUM($F$30:$F$32)</f>
        <v>0</v>
      </c>
      <c r="H200" s="103">
        <f>SUM($F$30:$F$32)+$J$51</f>
        <v>0</v>
      </c>
      <c r="I200" s="103">
        <f>SUM($F$30:$F$32)+$J$51+$J$60</f>
        <v>0</v>
      </c>
      <c r="J200" s="21">
        <f t="shared" si="15"/>
        <v>0</v>
      </c>
      <c r="K200" s="21">
        <f t="shared" si="16"/>
        <v>0</v>
      </c>
      <c r="L200" s="21">
        <f t="shared" si="17"/>
        <v>0</v>
      </c>
      <c r="M200" s="346" t="s">
        <v>662</v>
      </c>
      <c r="P200" s="44"/>
      <c r="Q200" s="44"/>
      <c r="AC200" s="69"/>
      <c r="AD200" s="69"/>
      <c r="AE200" s="69"/>
      <c r="AF200" s="69"/>
      <c r="AG200" s="348"/>
    </row>
    <row r="201" spans="1:33" s="308" customFormat="1" ht="12.75" hidden="1" customHeight="1" x14ac:dyDescent="0.15">
      <c r="A201" s="304">
        <v>68</v>
      </c>
      <c r="B201" s="349" t="s">
        <v>651</v>
      </c>
      <c r="C201" s="308" t="s">
        <v>547</v>
      </c>
      <c r="D201" s="305">
        <f>IF(ISERROR(HLOOKUP(J201,$Q$73:$W$74,2)),0,HLOOKUP(J201,$Q$73:$W$74,2))</f>
        <v>0</v>
      </c>
      <c r="E201" s="305">
        <f>IF(ISERROR(HLOOKUP(K201,$Q$73:$W$74,2)),0,HLOOKUP(K201,$Q$73:$W$74,2))</f>
        <v>0</v>
      </c>
      <c r="F201" s="305">
        <f>IF(ISERROR(HLOOKUP(L201,$Q$73:$W$74,2)),0,HLOOKUP(L201,$Q$73:$W$74,2))</f>
        <v>0</v>
      </c>
      <c r="G201" s="350">
        <f>$N$201</f>
        <v>0</v>
      </c>
      <c r="H201" s="350">
        <f>$G$201+$J$51</f>
        <v>0</v>
      </c>
      <c r="I201" s="350">
        <f>$G$201+$J$51+$J$60</f>
        <v>0</v>
      </c>
      <c r="J201" s="308">
        <f t="shared" si="15"/>
        <v>0</v>
      </c>
      <c r="K201" s="308">
        <f t="shared" si="16"/>
        <v>0</v>
      </c>
      <c r="L201" s="308">
        <f t="shared" si="17"/>
        <v>0</v>
      </c>
      <c r="M201" s="352" t="s">
        <v>662</v>
      </c>
      <c r="N201" s="310">
        <f>SUM(F30:F32)</f>
        <v>0</v>
      </c>
      <c r="O201" s="309"/>
      <c r="P201" s="353"/>
      <c r="Q201" s="353"/>
      <c r="AC201" s="354"/>
      <c r="AD201" s="354"/>
      <c r="AE201" s="354"/>
      <c r="AF201" s="354"/>
      <c r="AG201" s="354"/>
    </row>
    <row r="202" spans="1:33" ht="12.75" hidden="1" customHeight="1" x14ac:dyDescent="0.15">
      <c r="A202" s="259">
        <v>69</v>
      </c>
      <c r="B202" s="345" t="s">
        <v>652</v>
      </c>
      <c r="C202" s="21" t="s">
        <v>613</v>
      </c>
      <c r="D202" s="104">
        <f>IF(ISERROR(HLOOKUP(J202,$Q$39:$Z$40,2)),0,HLOOKUP(J202,$Q$39:$Z$40,2))</f>
        <v>0</v>
      </c>
      <c r="E202" s="104">
        <f>IF(ISERROR(HLOOKUP(K202,$Q$39:$Z$40,2)),0,HLOOKUP(K202,$Q$39:$Z$40,2))</f>
        <v>0</v>
      </c>
      <c r="F202" s="104">
        <f>IF(ISERROR(HLOOKUP(L202,$Q$39:$Z$40,2)),0,HLOOKUP(L202,$Q$39:$Z$40,2))</f>
        <v>0</v>
      </c>
      <c r="G202" s="396">
        <f>SUM($F$30:$F$32)</f>
        <v>0</v>
      </c>
      <c r="H202" s="103">
        <f>SUM($F$30:$F$32)+$J$51</f>
        <v>0</v>
      </c>
      <c r="I202" s="103">
        <f>SUM($F$30:$F$32)+$J$51+$J$60</f>
        <v>0</v>
      </c>
      <c r="J202" s="21">
        <f t="shared" si="15"/>
        <v>0</v>
      </c>
      <c r="K202" s="21">
        <f t="shared" si="16"/>
        <v>0</v>
      </c>
      <c r="L202" s="21">
        <f t="shared" si="17"/>
        <v>0</v>
      </c>
      <c r="M202" s="346" t="s">
        <v>662</v>
      </c>
      <c r="P202" s="44"/>
      <c r="Q202" s="44"/>
      <c r="AC202" s="69"/>
      <c r="AD202" s="69"/>
      <c r="AE202" s="69"/>
      <c r="AF202" s="69"/>
      <c r="AG202" s="69"/>
    </row>
    <row r="203" spans="1:33" ht="13.5" hidden="1" x14ac:dyDescent="0.15">
      <c r="A203" s="259">
        <v>70</v>
      </c>
      <c r="B203" s="345" t="s">
        <v>653</v>
      </c>
      <c r="C203" s="21" t="s">
        <v>613</v>
      </c>
      <c r="D203" s="104">
        <f>IF(ISERROR(HLOOKUP(J203,$Q$48:$AB$49,2)),0,HLOOKUP(J203,$Q$48:$AB$49,2))</f>
        <v>0</v>
      </c>
      <c r="E203" s="104">
        <f>IF(ISERROR(HLOOKUP(K203,$Q$48:$AB$49,2)),0,HLOOKUP(K203,$Q$48:$AB$49,2))</f>
        <v>0</v>
      </c>
      <c r="F203" s="104">
        <f>IF(ISERROR(HLOOKUP(L203,$Q$48:$AB$49,2)),0,HLOOKUP(L203,$Q$48:$AB$49,2))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15"/>
        <v>0</v>
      </c>
      <c r="K203" s="21">
        <f t="shared" si="16"/>
        <v>0</v>
      </c>
      <c r="L203" s="21">
        <f t="shared" si="17"/>
        <v>0</v>
      </c>
      <c r="M203" s="346" t="s">
        <v>662</v>
      </c>
      <c r="P203" s="44"/>
      <c r="Q203" s="44"/>
    </row>
    <row r="204" spans="1:33" ht="13.5" hidden="1" x14ac:dyDescent="0.15">
      <c r="A204" s="259">
        <v>71</v>
      </c>
      <c r="B204" s="345" t="s">
        <v>654</v>
      </c>
      <c r="C204" s="21" t="s">
        <v>613</v>
      </c>
      <c r="D204" s="104">
        <f>IF(ISERROR(HLOOKUP(J204,$Q$48:$AA$49,2)),0,HLOOKUP(J204,$Q$48:$AA$49,2))</f>
        <v>0</v>
      </c>
      <c r="E204" s="104">
        <f>IF(ISERROR(HLOOKUP(K204,$Q$48:$AA$49,2)),0,HLOOKUP(K204,$Q$48:$AA$49,2))</f>
        <v>0</v>
      </c>
      <c r="F204" s="104">
        <f>IF(ISERROR(HLOOKUP(L204,$Q$48:$AA$49,2)),0,HLOOKUP(L204,$Q$48:$AA$49,2))</f>
        <v>0</v>
      </c>
      <c r="G204" s="396">
        <f>SUM($F$30:$F$32)</f>
        <v>0</v>
      </c>
      <c r="H204" s="103">
        <f>SUM($F$30:$F$32)+$J$51</f>
        <v>0</v>
      </c>
      <c r="I204" s="103">
        <f>SUM($F$30:$F$32)+$J$51+$J$60</f>
        <v>0</v>
      </c>
      <c r="J204" s="21">
        <f t="shared" si="15"/>
        <v>0</v>
      </c>
      <c r="K204" s="21">
        <f t="shared" si="16"/>
        <v>0</v>
      </c>
      <c r="L204" s="21">
        <f t="shared" si="17"/>
        <v>0</v>
      </c>
      <c r="M204" s="346" t="s">
        <v>662</v>
      </c>
      <c r="P204" s="44"/>
      <c r="Q204" s="44"/>
    </row>
    <row r="205" spans="1:33" ht="13.5" hidden="1" x14ac:dyDescent="0.15">
      <c r="A205" s="259">
        <v>72</v>
      </c>
      <c r="B205" s="345" t="s">
        <v>655</v>
      </c>
      <c r="C205" s="21" t="s">
        <v>527</v>
      </c>
      <c r="D205" s="104">
        <f>IF(ISERROR(HLOOKUP(J205,$Q$54:$AR$55,2)),0,HLOOKUP(J205,$Q$54:$AR$55,2))</f>
        <v>0</v>
      </c>
      <c r="E205" s="104">
        <f>IF(ISERROR(HLOOKUP(K205,$Q$54:$AR$55,2)),0,HLOOKUP(K205,$Q$54:$AR$55,2))</f>
        <v>0</v>
      </c>
      <c r="F205" s="104">
        <f>IF(ISERROR(HLOOKUP(L205,$Q$54:$AR$55,2)),0,HLOOKUP(L205,$Q$54:$AR$55,2))</f>
        <v>0</v>
      </c>
      <c r="G205" s="396">
        <f>SUM($F$27:$F$32)</f>
        <v>0</v>
      </c>
      <c r="H205" s="103">
        <f>SUM($F$27:$F$32)+$J$51</f>
        <v>0</v>
      </c>
      <c r="I205" s="103">
        <f>SUM($F$27:$F$32)+$J$51+$J$60</f>
        <v>0</v>
      </c>
      <c r="J205" s="21">
        <f t="shared" si="15"/>
        <v>0</v>
      </c>
      <c r="K205" s="21">
        <f t="shared" si="16"/>
        <v>0</v>
      </c>
      <c r="L205" s="21">
        <f t="shared" si="17"/>
        <v>0</v>
      </c>
      <c r="M205" s="346" t="s">
        <v>662</v>
      </c>
      <c r="P205" s="44"/>
      <c r="Q205" s="44"/>
    </row>
    <row r="206" spans="1:33" ht="13.5" hidden="1" x14ac:dyDescent="0.15">
      <c r="A206" s="259">
        <v>73</v>
      </c>
      <c r="B206" s="345" t="s">
        <v>663</v>
      </c>
      <c r="C206" s="21" t="s">
        <v>527</v>
      </c>
      <c r="D206" s="104">
        <f t="shared" ref="D206:F207" si="18">IF(ISERROR(HLOOKUP(J206,$Q$26:$AY$27,2)),0,HLOOKUP(J206,$Q$26:$AY$27,2))</f>
        <v>0</v>
      </c>
      <c r="E206" s="104">
        <f t="shared" si="18"/>
        <v>0</v>
      </c>
      <c r="F206" s="104">
        <f t="shared" si="18"/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15"/>
        <v>0</v>
      </c>
      <c r="K206" s="21">
        <f t="shared" si="16"/>
        <v>0</v>
      </c>
      <c r="L206" s="21">
        <f t="shared" si="17"/>
        <v>0</v>
      </c>
      <c r="M206" s="346" t="s">
        <v>662</v>
      </c>
      <c r="P206" s="44"/>
      <c r="Q206" s="44"/>
    </row>
    <row r="207" spans="1:33" ht="13.5" hidden="1" x14ac:dyDescent="0.15">
      <c r="A207" s="259">
        <v>74</v>
      </c>
      <c r="B207" s="345" t="s">
        <v>664</v>
      </c>
      <c r="C207" s="21" t="s">
        <v>527</v>
      </c>
      <c r="D207" s="104">
        <f t="shared" si="18"/>
        <v>0</v>
      </c>
      <c r="E207" s="104">
        <f t="shared" si="18"/>
        <v>0</v>
      </c>
      <c r="F207" s="104">
        <f t="shared" si="18"/>
        <v>0</v>
      </c>
      <c r="G207" s="396">
        <f>SUM($F$30:$F$32)</f>
        <v>0</v>
      </c>
      <c r="H207" s="103">
        <f>SUM($F$30:$F$32)+$J$51</f>
        <v>0</v>
      </c>
      <c r="I207" s="103">
        <f>SUM($F$30:$F$32)+$J$51+$J$60</f>
        <v>0</v>
      </c>
      <c r="J207" s="21">
        <f t="shared" si="15"/>
        <v>0</v>
      </c>
      <c r="K207" s="21">
        <f t="shared" si="16"/>
        <v>0</v>
      </c>
      <c r="L207" s="21">
        <f t="shared" si="17"/>
        <v>0</v>
      </c>
      <c r="M207" s="346" t="s">
        <v>662</v>
      </c>
      <c r="P207" s="44"/>
      <c r="Q207" s="44"/>
    </row>
    <row r="208" spans="1:33" ht="13.5" hidden="1" x14ac:dyDescent="0.15">
      <c r="A208" s="259">
        <v>75</v>
      </c>
      <c r="B208" s="345" t="s">
        <v>665</v>
      </c>
      <c r="C208" s="21" t="s">
        <v>547</v>
      </c>
      <c r="D208" s="104">
        <f>IF(ISERROR(HLOOKUP(J208,$Q$73:$W$74,2)),0,HLOOKUP(J208,$Q$73:$W$74,2))</f>
        <v>0</v>
      </c>
      <c r="E208" s="104">
        <f>IF(ISERROR(HLOOKUP(K208,$Q$73:$W$74,2)),0,HLOOKUP(K208,$Q$73:$W$74,2))</f>
        <v>0</v>
      </c>
      <c r="F208" s="104">
        <f>IF(ISERROR(HLOOKUP(L208,$Q$73:$W$74,2)),0,HLOOKUP(L208,$Q$73:$W$74,2))</f>
        <v>0</v>
      </c>
      <c r="G208" s="396">
        <f>SUM($F$27:$F$32)</f>
        <v>0</v>
      </c>
      <c r="H208" s="103">
        <f>SUM($F$27:$F$32)+$J$51</f>
        <v>0</v>
      </c>
      <c r="I208" s="103">
        <f>SUM($F$27:$F$32)+$J$51+$J$60</f>
        <v>0</v>
      </c>
      <c r="J208" s="21">
        <f t="shared" si="15"/>
        <v>0</v>
      </c>
      <c r="K208" s="21">
        <f t="shared" si="16"/>
        <v>0</v>
      </c>
      <c r="L208" s="21">
        <f t="shared" si="17"/>
        <v>0</v>
      </c>
      <c r="M208" s="346" t="s">
        <v>662</v>
      </c>
      <c r="P208" s="44"/>
      <c r="Q208" s="44"/>
    </row>
    <row r="209" spans="1:32" ht="13.5" hidden="1" x14ac:dyDescent="0.15">
      <c r="A209" s="259">
        <v>76</v>
      </c>
      <c r="B209" s="345" t="s">
        <v>689</v>
      </c>
      <c r="C209" s="21" t="s">
        <v>613</v>
      </c>
      <c r="D209" s="104">
        <f>IF(ISERROR(HLOOKUP(J209,$Q$48:$AB$49,2)),0,HLOOKUP(J209,$Q$48:$AB$49,2))</f>
        <v>0</v>
      </c>
      <c r="E209" s="104">
        <f>IF(ISERROR(HLOOKUP(K209,$Q$48:$AB$49,2)),0,HLOOKUP(K209,$Q$48:$AB$49,2))</f>
        <v>0</v>
      </c>
      <c r="F209" s="104">
        <f>IF(ISERROR(HLOOKUP(L209,$Q$48:$AB$49,2)),0,HLOOKUP(L209,$Q$48:$AB$49,2))</f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15"/>
        <v>0</v>
      </c>
      <c r="K209" s="21">
        <f t="shared" si="16"/>
        <v>0</v>
      </c>
      <c r="L209" s="21">
        <f t="shared" si="17"/>
        <v>0</v>
      </c>
      <c r="M209" s="346" t="s">
        <v>662</v>
      </c>
      <c r="P209" s="44"/>
      <c r="Q209" s="44"/>
    </row>
    <row r="210" spans="1:32" ht="13.5" hidden="1" x14ac:dyDescent="0.15">
      <c r="A210" s="259">
        <v>77</v>
      </c>
      <c r="B210" s="345" t="s">
        <v>666</v>
      </c>
      <c r="C210" s="21" t="s">
        <v>613</v>
      </c>
      <c r="D210" s="104">
        <f>IF(ISERROR(HLOOKUP(J210,$Q$48:$AA$49,2)),0,HLOOKUP(J210,$Q$48:$AA$49,2))</f>
        <v>0</v>
      </c>
      <c r="E210" s="104">
        <f>IF(ISERROR(HLOOKUP(K210,$Q$48:$AA$49,2)),0,HLOOKUP(K210,$Q$48:$AA$49,2))</f>
        <v>0</v>
      </c>
      <c r="F210" s="104">
        <f>IF(ISERROR(HLOOKUP(L210,$Q$48:$AA$49,2)),0,HLOOKUP(L210,$Q$48:$AA$49,2))</f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15"/>
        <v>0</v>
      </c>
      <c r="K210" s="21">
        <f t="shared" si="16"/>
        <v>0</v>
      </c>
      <c r="L210" s="21">
        <f t="shared" si="17"/>
        <v>0</v>
      </c>
      <c r="M210" s="346" t="s">
        <v>662</v>
      </c>
      <c r="P210" s="44"/>
      <c r="Q210" s="44"/>
    </row>
    <row r="211" spans="1:32" ht="13.5" hidden="1" x14ac:dyDescent="0.15">
      <c r="A211" s="259">
        <v>78</v>
      </c>
      <c r="B211" s="345" t="s">
        <v>667</v>
      </c>
      <c r="C211" s="21" t="s">
        <v>613</v>
      </c>
      <c r="D211" s="104">
        <f>IF(ISERROR(HLOOKUP(J211,$Q$57:$AA$58,2)),0,HLOOKUP(J211,$Q$57:$AA$58,2))</f>
        <v>0</v>
      </c>
      <c r="E211" s="104">
        <f>IF(ISERROR(HLOOKUP(K211,$Q$57:$AA$58,2)),0,HLOOKUP(K211,$Q$57:$AA$58,2))</f>
        <v>0</v>
      </c>
      <c r="F211" s="104">
        <f>IF(ISERROR(HLOOKUP(L211,$Q$57:$AA$58,2)),0,HLOOKUP(L211,$Q$57:$AA$58,2))</f>
        <v>0</v>
      </c>
      <c r="G211" s="396">
        <f>SUM($F$29:$F$32)</f>
        <v>0</v>
      </c>
      <c r="H211" s="103">
        <f>SUM($F$29:$F$32)+$J$51</f>
        <v>0</v>
      </c>
      <c r="I211" s="103">
        <f>SUM($F$29:$F$32)+$J$51+$J$60</f>
        <v>0</v>
      </c>
      <c r="J211" s="21">
        <f t="shared" si="15"/>
        <v>0</v>
      </c>
      <c r="K211" s="21">
        <f t="shared" si="16"/>
        <v>0</v>
      </c>
      <c r="L211" s="21">
        <f t="shared" si="17"/>
        <v>0</v>
      </c>
      <c r="M211" s="346" t="s">
        <v>662</v>
      </c>
      <c r="P211" s="44"/>
      <c r="Q211" s="44"/>
    </row>
    <row r="212" spans="1:32" s="308" customFormat="1" ht="13.5" hidden="1" x14ac:dyDescent="0.15">
      <c r="A212" s="304">
        <v>79</v>
      </c>
      <c r="B212" s="349" t="s">
        <v>668</v>
      </c>
      <c r="C212" s="308" t="s">
        <v>613</v>
      </c>
      <c r="D212" s="305">
        <f>IF(ISERROR(HLOOKUP(J212,$Q$39:$AA$40,2)),0,HLOOKUP(J212,$Q$39:$AA$40,2))</f>
        <v>0</v>
      </c>
      <c r="E212" s="305">
        <f>IF(ISERROR(HLOOKUP(K212,$Q$39:$AA$40,2)),0,HLOOKUP(K212,$Q$39:$AA$40,2))</f>
        <v>0</v>
      </c>
      <c r="F212" s="305">
        <f>IF(ISERROR(HLOOKUP(L212,$Q$39:$AA$40,2)),0,HLOOKUP(L212,$Q$39:$AA$40,2))</f>
        <v>0</v>
      </c>
      <c r="G212" s="399">
        <f>$N$212+$F$33</f>
        <v>0</v>
      </c>
      <c r="H212" s="307">
        <f>$G$212+$J$51</f>
        <v>0</v>
      </c>
      <c r="I212" s="307">
        <f>$N$212+$J$51+$J$60</f>
        <v>0</v>
      </c>
      <c r="J212" s="308">
        <f t="shared" si="15"/>
        <v>0</v>
      </c>
      <c r="K212" s="308">
        <f t="shared" si="16"/>
        <v>0</v>
      </c>
      <c r="L212" s="308">
        <f t="shared" si="17"/>
        <v>0</v>
      </c>
      <c r="M212" s="352" t="s">
        <v>662</v>
      </c>
      <c r="N212" s="308">
        <f>IF($C$30&gt;=$A$36,$E$30-$C$30+1,IF($C$31&gt;=$A$36,$E$31-$C$31+1,IF($C$32&gt;=$A$36,$E$32-$C$32+1,IF($E$30&lt;&gt;0,$E$30-$A$36+1,IF($E$31&lt;&gt;0,$E$31-$A$36+1,IF($E$32&lt;&gt;0,$E$32-$A$36+1,0))))))</f>
        <v>0</v>
      </c>
      <c r="O212" s="309"/>
      <c r="P212" s="353"/>
      <c r="Q212" s="353"/>
      <c r="AD212" s="310"/>
      <c r="AE212" s="310"/>
      <c r="AF212" s="310"/>
    </row>
    <row r="213" spans="1:32" ht="13.5" hidden="1" x14ac:dyDescent="0.15">
      <c r="A213" s="259">
        <v>80</v>
      </c>
      <c r="B213" s="345" t="s">
        <v>669</v>
      </c>
      <c r="C213" s="21" t="s">
        <v>547</v>
      </c>
      <c r="D213" s="104">
        <f>IF(ISERROR(HLOOKUP(J213,$Q$73:$V$74,2)),0,HLOOKUP(J213,$Q$73:$V$74,2))</f>
        <v>0</v>
      </c>
      <c r="E213" s="104">
        <f>IF(ISERROR(HLOOKUP(K213,$Q$73:$V$74,2)),0,HLOOKUP(K213,$Q$73:$V$74,2))</f>
        <v>0</v>
      </c>
      <c r="F213" s="104">
        <f>IF(ISERROR(HLOOKUP(L213,$Q$73:$V$74,2)),0,HLOOKUP(L213,$Q$73:$V$74,2))</f>
        <v>0</v>
      </c>
      <c r="G213" s="396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15"/>
        <v>0</v>
      </c>
      <c r="K213" s="21">
        <f t="shared" si="16"/>
        <v>0</v>
      </c>
      <c r="L213" s="21">
        <f t="shared" si="17"/>
        <v>0</v>
      </c>
      <c r="M213" s="346" t="s">
        <v>662</v>
      </c>
      <c r="P213" s="44"/>
      <c r="Q213" s="44"/>
    </row>
    <row r="214" spans="1:32" ht="13.5" hidden="1" x14ac:dyDescent="0.15">
      <c r="A214" s="259" t="s">
        <v>703</v>
      </c>
      <c r="B214" s="345" t="s">
        <v>701</v>
      </c>
      <c r="C214" s="21" t="s">
        <v>702</v>
      </c>
      <c r="D214" s="148">
        <f>IF(J214&lt;=10,0.1,IF(J214&lt;=20,0.2,0.3))</f>
        <v>0.1</v>
      </c>
      <c r="E214" s="148">
        <f>IF(K214&lt;=10,0.1,IF(K214&lt;=20,0.2,0.3))</f>
        <v>0.1</v>
      </c>
      <c r="F214" s="148">
        <f>IF(L214&lt;=10,0.1,IF(L214&lt;=20,0.2,0.3))</f>
        <v>0.1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15"/>
        <v>0</v>
      </c>
      <c r="K214" s="21">
        <f t="shared" si="16"/>
        <v>0</v>
      </c>
      <c r="L214" s="21">
        <f t="shared" si="17"/>
        <v>0</v>
      </c>
      <c r="M214" s="346" t="s">
        <v>662</v>
      </c>
      <c r="P214" s="44"/>
      <c r="Q214" s="44"/>
    </row>
    <row r="215" spans="1:32" ht="13.5" hidden="1" x14ac:dyDescent="0.15">
      <c r="A215" s="259">
        <v>81</v>
      </c>
      <c r="B215" s="345" t="s">
        <v>670</v>
      </c>
      <c r="C215" s="21" t="s">
        <v>547</v>
      </c>
      <c r="D215" s="104">
        <f>IF(ISERROR(HLOOKUP(J215,$Q$73:$W$74,2)),0,HLOOKUP(J215,$Q$73:$W$74,2))</f>
        <v>0</v>
      </c>
      <c r="E215" s="104">
        <f>IF(ISERROR(HLOOKUP(K215,$Q$73:$W$74,2)),0,HLOOKUP(K215,$Q$73:$W$74,2))</f>
        <v>0</v>
      </c>
      <c r="F215" s="104">
        <f>IF(ISERROR(HLOOKUP(L215,$Q$73:$W$74,2)),0,HLOOKUP(L215,$Q$73:$W$74,2))</f>
        <v>0</v>
      </c>
      <c r="G215" s="396">
        <f>SUM($F$27:$F$33)</f>
        <v>0</v>
      </c>
      <c r="H215" s="103">
        <f>SUM($F$27:$F$33)+$J$51</f>
        <v>0</v>
      </c>
      <c r="I215" s="103">
        <f>SUM($F$27:$F$33)+$J$51+$J$60</f>
        <v>0</v>
      </c>
      <c r="J215" s="21">
        <f t="shared" si="15"/>
        <v>0</v>
      </c>
      <c r="K215" s="21">
        <f t="shared" si="16"/>
        <v>0</v>
      </c>
      <c r="L215" s="21">
        <f t="shared" si="17"/>
        <v>0</v>
      </c>
      <c r="M215" s="346" t="s">
        <v>662</v>
      </c>
      <c r="P215" s="44"/>
      <c r="Q215" s="44"/>
    </row>
    <row r="216" spans="1:32" ht="13.5" hidden="1" x14ac:dyDescent="0.15">
      <c r="A216" s="259">
        <v>82</v>
      </c>
      <c r="B216" s="345" t="s">
        <v>671</v>
      </c>
      <c r="C216" s="21" t="s">
        <v>613</v>
      </c>
      <c r="D216" s="104">
        <f>IF(ISERROR(HLOOKUP(J216,$Q$42:$AA$43,2)),0,HLOOKUP(J216,$Q$42:$AA$43,2))</f>
        <v>0</v>
      </c>
      <c r="E216" s="104">
        <f>IF(ISERROR(HLOOKUP(K216,$Q$42:$AA$43,2)),0,HLOOKUP(K216,$Q$42:$AA$43,2))</f>
        <v>0</v>
      </c>
      <c r="F216" s="104">
        <f>IF(ISERROR(HLOOKUP(L216,$Q$42:$AA$43,2)),0,HLOOKUP(L216,$Q$42:$AA$43,2))</f>
        <v>0</v>
      </c>
      <c r="G216" s="396">
        <f>SUM($F$30:$F$32)</f>
        <v>0</v>
      </c>
      <c r="H216" s="103">
        <f>SUM($F$30:$F$32)+$J$51</f>
        <v>0</v>
      </c>
      <c r="I216" s="103">
        <f>SUM($F$30:$F$32)+$J$51+$J$60</f>
        <v>0</v>
      </c>
      <c r="J216" s="21">
        <f t="shared" si="15"/>
        <v>0</v>
      </c>
      <c r="K216" s="21">
        <f t="shared" si="16"/>
        <v>0</v>
      </c>
      <c r="L216" s="21">
        <f t="shared" si="17"/>
        <v>0</v>
      </c>
      <c r="M216" s="346" t="s">
        <v>662</v>
      </c>
      <c r="P216" s="44"/>
      <c r="Q216" s="44"/>
    </row>
    <row r="217" spans="1:32" ht="13.5" hidden="1" x14ac:dyDescent="0.15">
      <c r="A217" s="259">
        <v>83</v>
      </c>
      <c r="B217" s="345" t="s">
        <v>672</v>
      </c>
      <c r="C217" s="21"/>
      <c r="E217" s="40"/>
      <c r="J217" s="21">
        <f t="shared" si="15"/>
        <v>0</v>
      </c>
      <c r="K217" s="21">
        <f t="shared" si="16"/>
        <v>0</v>
      </c>
      <c r="L217" s="21">
        <f t="shared" si="17"/>
        <v>0</v>
      </c>
      <c r="M217" s="346" t="s">
        <v>662</v>
      </c>
      <c r="P217" s="44"/>
      <c r="Q217" s="44"/>
    </row>
    <row r="218" spans="1:32" ht="13.5" hidden="1" x14ac:dyDescent="0.15">
      <c r="A218" s="259">
        <v>84</v>
      </c>
      <c r="B218" s="108" t="s">
        <v>673</v>
      </c>
      <c r="C218" s="21" t="s">
        <v>613</v>
      </c>
      <c r="D218" s="104">
        <f>IF(ISERROR(HLOOKUP(J218,$Q$48:$AB$49,2)),0,HLOOKUP(J218,$Q$48:$AB$49,2))</f>
        <v>0</v>
      </c>
      <c r="E218" s="104">
        <f>IF(ISERROR(HLOOKUP(K218,$Q$48:$AB$49,2)),0,HLOOKUP(K218,$Q$48:$AB$49,2))</f>
        <v>0</v>
      </c>
      <c r="F218" s="104">
        <f>IF(ISERROR(HLOOKUP(L218,$Q$48:$AB$49,2)),0,HLOOKUP(L218,$Q$48:$AB$49,2))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15"/>
        <v>0</v>
      </c>
      <c r="K218" s="21">
        <f t="shared" si="16"/>
        <v>0</v>
      </c>
      <c r="L218" s="21">
        <f t="shared" si="17"/>
        <v>0</v>
      </c>
      <c r="M218" s="346" t="s">
        <v>662</v>
      </c>
      <c r="N218" s="104">
        <f>IF(ISERROR(HLOOKUP(L218,$Q$48:$AB$49,2)),0,HLOOKUP(L218,$Q$48:$AB$49,2))</f>
        <v>0</v>
      </c>
      <c r="P218" s="44"/>
      <c r="Q218" s="44"/>
    </row>
    <row r="219" spans="1:32" ht="13.5" hidden="1" x14ac:dyDescent="0.15">
      <c r="A219" s="259">
        <v>85</v>
      </c>
      <c r="B219" s="108" t="s">
        <v>674</v>
      </c>
      <c r="C219" s="21" t="s">
        <v>527</v>
      </c>
      <c r="D219" s="104">
        <f>IF(ISERROR(HLOOKUP(J219,$Q$35:$AY$36,2)),0,HLOOKUP(J219,$Q$35:$AY$36,2))</f>
        <v>0</v>
      </c>
      <c r="E219" s="104">
        <f>IF(ISERROR(HLOOKUP(K219,$Q$35:$AY$36,2)),0,HLOOKUP(K219,$Q$35:$AY$36,2))</f>
        <v>0</v>
      </c>
      <c r="F219" s="104">
        <f>IF(ISERROR(HLOOKUP(L219,$Q$35:$AY$36,2)),0,HLOOKUP(L219,$Q$35:$AY$36,2))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ref="J219:J226" si="19">ROUNDDOWN(G219/365,0)</f>
        <v>0</v>
      </c>
      <c r="K219" s="21">
        <f t="shared" ref="K219:K226" si="20">ROUNDDOWN(H219/365,0)</f>
        <v>0</v>
      </c>
      <c r="L219" s="21">
        <f t="shared" ref="L219:L226" si="21">ROUNDDOWN(I219/365,0)</f>
        <v>0</v>
      </c>
      <c r="M219" s="346" t="s">
        <v>662</v>
      </c>
      <c r="P219" s="44"/>
      <c r="Q219" s="44"/>
    </row>
    <row r="220" spans="1:32" ht="13.5" hidden="1" x14ac:dyDescent="0.15">
      <c r="A220" s="259">
        <v>86</v>
      </c>
      <c r="B220" s="108" t="s">
        <v>675</v>
      </c>
      <c r="C220" s="21" t="s">
        <v>613</v>
      </c>
      <c r="D220" s="104">
        <f>IF(ISERROR(HLOOKUP(J220,$Q$60:$AC$61,2)),0,HLOOKUP(J220,$Q$60:$AC$61,2))</f>
        <v>0</v>
      </c>
      <c r="E220" s="104">
        <f>IF(ISERROR(HLOOKUP(K220,$Q$60:$AC$61,2)),0,HLOOKUP(K220,$Q$60:$AC$61,2))</f>
        <v>0</v>
      </c>
      <c r="F220" s="104">
        <f>IF(ISERROR(HLOOKUP(L220,$Q$60:$AC$61,2)),0,HLOOKUP(L220,$Q$60:$AC$61,2))</f>
        <v>0</v>
      </c>
      <c r="G220" s="396">
        <f>SUM($F$30:$F$32)</f>
        <v>0</v>
      </c>
      <c r="H220" s="103">
        <f>SUM($F$30:$F$32)+$J$51</f>
        <v>0</v>
      </c>
      <c r="I220" s="103">
        <f>SUM($F$30:$F$32)+$J$51+$J$60</f>
        <v>0</v>
      </c>
      <c r="J220" s="21">
        <f t="shared" si="19"/>
        <v>0</v>
      </c>
      <c r="K220" s="21">
        <f t="shared" si="20"/>
        <v>0</v>
      </c>
      <c r="L220" s="21">
        <f t="shared" si="21"/>
        <v>0</v>
      </c>
      <c r="M220" s="346" t="s">
        <v>662</v>
      </c>
      <c r="P220" s="44"/>
      <c r="Q220" s="44"/>
    </row>
    <row r="221" spans="1:32" ht="13.5" hidden="1" x14ac:dyDescent="0.15">
      <c r="A221" s="259">
        <v>87</v>
      </c>
      <c r="B221" s="108" t="s">
        <v>677</v>
      </c>
      <c r="C221" s="21"/>
      <c r="D221" s="21"/>
      <c r="J221" s="21">
        <f t="shared" si="19"/>
        <v>0</v>
      </c>
      <c r="K221" s="21">
        <f t="shared" si="20"/>
        <v>0</v>
      </c>
      <c r="L221" s="21">
        <f t="shared" si="21"/>
        <v>0</v>
      </c>
      <c r="M221" s="346" t="s">
        <v>662</v>
      </c>
      <c r="P221" s="44"/>
      <c r="Q221" s="44"/>
    </row>
    <row r="222" spans="1:32" ht="13.5" hidden="1" x14ac:dyDescent="0.15">
      <c r="A222" s="259">
        <v>88</v>
      </c>
      <c r="B222" s="108" t="s">
        <v>678</v>
      </c>
      <c r="C222" s="21" t="s">
        <v>613</v>
      </c>
      <c r="D222" s="104">
        <f>IF(ISERROR(HLOOKUP(J222,$Q$39:$AA$40,2)),0,HLOOKUP(J222,$Q$39:$AA$40,2))</f>
        <v>0</v>
      </c>
      <c r="E222" s="104">
        <f>IF(ISERROR(HLOOKUP(K222,$Q$39:$AA$40,2)),0,HLOOKUP(K222,$Q$39:$AA$40,2))</f>
        <v>0</v>
      </c>
      <c r="F222" s="104">
        <f>IF(ISERROR(HLOOKUP(L222,$Q$39:$AA$40,2)),0,HLOOKUP(L222,$Q$39:$AA$40,2))</f>
        <v>0</v>
      </c>
      <c r="G222" s="396">
        <f>SUM($F$27:$F$32)</f>
        <v>0</v>
      </c>
      <c r="H222" s="103">
        <f>SUM($F$27:$F$32)+$J$51</f>
        <v>0</v>
      </c>
      <c r="I222" s="103">
        <f>SUM($F$27:$F$32)+$J$51+$J$60</f>
        <v>0</v>
      </c>
      <c r="J222" s="21">
        <f t="shared" si="19"/>
        <v>0</v>
      </c>
      <c r="K222" s="21">
        <f t="shared" si="20"/>
        <v>0</v>
      </c>
      <c r="L222" s="21">
        <f t="shared" si="21"/>
        <v>0</v>
      </c>
      <c r="M222" s="346" t="s">
        <v>662</v>
      </c>
      <c r="P222" s="44"/>
      <c r="Q222" s="44"/>
    </row>
    <row r="223" spans="1:32" ht="13.5" hidden="1" x14ac:dyDescent="0.15">
      <c r="A223" s="259">
        <v>89</v>
      </c>
      <c r="B223" s="108" t="s">
        <v>679</v>
      </c>
      <c r="C223" s="21" t="s">
        <v>613</v>
      </c>
      <c r="D223" s="104">
        <f>IF(ISERROR(HLOOKUP(J223,$Q$48:$V$49,2)),0,HLOOKUP(J223,$Q$48:$V$49,2))</f>
        <v>0</v>
      </c>
      <c r="E223" s="104">
        <f>IF(ISERROR(HLOOKUP(K223,$Q$48:$V$49,2)),0,HLOOKUP(K223,$Q$48:$V$49,2))</f>
        <v>0</v>
      </c>
      <c r="F223" s="104">
        <f>IF(ISERROR(HLOOKUP(L223,$Q$48:$V$49,2)),0,HLOOKUP(L223,$Q$48:$V$49,2))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19"/>
        <v>0</v>
      </c>
      <c r="K223" s="21">
        <f t="shared" si="20"/>
        <v>0</v>
      </c>
      <c r="L223" s="21">
        <f t="shared" si="21"/>
        <v>0</v>
      </c>
      <c r="M223" s="346" t="s">
        <v>662</v>
      </c>
      <c r="P223" s="44"/>
      <c r="Q223" s="44"/>
    </row>
    <row r="224" spans="1:32" ht="13.5" hidden="1" x14ac:dyDescent="0.15">
      <c r="A224" s="259">
        <v>90</v>
      </c>
      <c r="B224" s="108" t="s">
        <v>680</v>
      </c>
      <c r="C224" s="21" t="s">
        <v>527</v>
      </c>
      <c r="D224" s="104">
        <f>IF(ISERROR(HLOOKUP(J224,$Q$26:$AY$27,2)),0,HLOOKUP(J224,$Q$26:$AY$27,2))</f>
        <v>0</v>
      </c>
      <c r="E224" s="104">
        <f>IF(ISERROR(HLOOKUP(K224,$Q$26:$AY$27,2)),0,HLOOKUP(K224,$Q$26:$AY$27,2))</f>
        <v>0</v>
      </c>
      <c r="F224" s="104">
        <f>IF(ISERROR(HLOOKUP(L224,$Q$26:$AY$27,2)),0,HLOOKUP(L224,$Q$26:$AY$27,2))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19"/>
        <v>0</v>
      </c>
      <c r="K224" s="21">
        <f t="shared" si="20"/>
        <v>0</v>
      </c>
      <c r="L224" s="21">
        <f t="shared" si="21"/>
        <v>0</v>
      </c>
      <c r="M224" s="346" t="s">
        <v>662</v>
      </c>
      <c r="P224" s="44"/>
      <c r="Q224" s="44"/>
    </row>
    <row r="225" spans="1:40" ht="13.5" hidden="1" x14ac:dyDescent="0.15">
      <c r="A225" s="259">
        <v>91</v>
      </c>
      <c r="B225" s="108" t="s">
        <v>681</v>
      </c>
      <c r="C225" s="21" t="s">
        <v>613</v>
      </c>
      <c r="D225" s="104">
        <f>IF(ISERROR(HLOOKUP(J225,$Q$42:$AA$43,2)),0,HLOOKUP(J225,$Q$42:$AA$43,2))</f>
        <v>0</v>
      </c>
      <c r="E225" s="104">
        <f>IF(ISERROR(HLOOKUP(K225,$Q$42:$AA$43,2)),0,HLOOKUP(K225,$Q$42:$AA$43,2))</f>
        <v>0</v>
      </c>
      <c r="F225" s="104">
        <f>IF(ISERROR(HLOOKUP(L225,$Q$42:$AA$43,2)),0,HLOOKUP(L225,$Q$42:$AA$43,2))</f>
        <v>0</v>
      </c>
      <c r="G225" s="396">
        <f>SUM($F$30:$F$32)</f>
        <v>0</v>
      </c>
      <c r="H225" s="103">
        <f>SUM($F$30:$F$32)+$J$51</f>
        <v>0</v>
      </c>
      <c r="I225" s="103">
        <f>SUM($F$30:$F$32)+$J$51+$J$60</f>
        <v>0</v>
      </c>
      <c r="J225" s="21">
        <f t="shared" si="19"/>
        <v>0</v>
      </c>
      <c r="K225" s="21">
        <f t="shared" si="20"/>
        <v>0</v>
      </c>
      <c r="L225" s="21">
        <f t="shared" si="21"/>
        <v>0</v>
      </c>
      <c r="M225" s="346" t="s">
        <v>662</v>
      </c>
      <c r="P225" s="44"/>
      <c r="Q225" s="44"/>
    </row>
    <row r="226" spans="1:40" ht="13.5" hidden="1" x14ac:dyDescent="0.15">
      <c r="A226" s="259">
        <v>92</v>
      </c>
      <c r="B226" s="108" t="s">
        <v>682</v>
      </c>
      <c r="C226" s="21" t="s">
        <v>613</v>
      </c>
      <c r="D226" s="104">
        <f>IF(ISERROR(HLOOKUP(J226,$Q$42:$Z$43,2)),0,HLOOKUP(J226,$Q$42:$Z$43,2))</f>
        <v>0</v>
      </c>
      <c r="E226" s="104">
        <f>IF(ISERROR(HLOOKUP(K226,$Q$42:$Z$43,2)),0,HLOOKUP(K226,$Q$42:$Z$43,2))</f>
        <v>0</v>
      </c>
      <c r="F226" s="104">
        <f>IF(ISERROR(HLOOKUP(L226,$Q$42:$Z$43,2)),0,HLOOKUP(L226,$Q$42:$Z$43,2))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19"/>
        <v>0</v>
      </c>
      <c r="K226" s="21">
        <f t="shared" si="20"/>
        <v>0</v>
      </c>
      <c r="L226" s="21">
        <f t="shared" si="21"/>
        <v>0</v>
      </c>
      <c r="M226" s="346" t="s">
        <v>662</v>
      </c>
      <c r="P226" s="44"/>
      <c r="Q226" s="44"/>
    </row>
    <row r="227" spans="1:40" ht="13.5" hidden="1" x14ac:dyDescent="0.15">
      <c r="B227" s="10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357"/>
      <c r="N227" s="54"/>
      <c r="O227" s="258"/>
      <c r="P227" s="44"/>
      <c r="Q227" s="44"/>
    </row>
    <row r="228" spans="1:40" ht="13.5" hidden="1" x14ac:dyDescent="0.15">
      <c r="B228" s="248" t="s">
        <v>720</v>
      </c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258"/>
    </row>
    <row r="229" spans="1:40" ht="13.5" hidden="1" x14ac:dyDescent="0.15">
      <c r="A229" s="259">
        <v>1</v>
      </c>
      <c r="B229" s="51" t="s">
        <v>550</v>
      </c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258"/>
    </row>
    <row r="230" spans="1:40" ht="13.5" hidden="1" x14ac:dyDescent="0.15">
      <c r="A230" s="259" t="s">
        <v>721</v>
      </c>
      <c r="B230" s="51" t="s">
        <v>615</v>
      </c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58"/>
    </row>
    <row r="231" spans="1:40" ht="13.5" hidden="1" x14ac:dyDescent="0.15">
      <c r="A231" s="259">
        <v>2</v>
      </c>
      <c r="B231" s="338" t="s">
        <v>617</v>
      </c>
      <c r="C231" s="109"/>
      <c r="D231" s="109"/>
      <c r="E231" s="110"/>
      <c r="F231" s="358"/>
      <c r="G231" s="111"/>
      <c r="H231" s="111"/>
      <c r="I231" s="111"/>
      <c r="J231" s="46"/>
      <c r="K231" s="46"/>
      <c r="L231" s="46"/>
      <c r="M231" s="46"/>
      <c r="N231" s="9"/>
      <c r="O231" s="258"/>
    </row>
    <row r="232" spans="1:40" ht="13.5" hidden="1" x14ac:dyDescent="0.15">
      <c r="A232" s="259">
        <v>3</v>
      </c>
      <c r="B232" s="345" t="s">
        <v>645</v>
      </c>
      <c r="C232" s="104"/>
      <c r="D232" s="105"/>
      <c r="E232" s="106"/>
      <c r="F232" s="47"/>
      <c r="G232" s="47"/>
      <c r="H232" s="47"/>
      <c r="I232" s="47"/>
      <c r="J232" s="46"/>
      <c r="K232" s="46"/>
      <c r="L232" s="46"/>
      <c r="M232" s="46"/>
      <c r="N232" s="46"/>
      <c r="O232" s="258"/>
    </row>
    <row r="233" spans="1:40" ht="13.5" hidden="1" x14ac:dyDescent="0.15">
      <c r="A233" s="259">
        <v>4</v>
      </c>
      <c r="B233" s="338" t="s">
        <v>618</v>
      </c>
      <c r="C233" s="104"/>
      <c r="D233" s="104"/>
      <c r="E233" s="104"/>
      <c r="F233" s="112"/>
      <c r="G233" s="112"/>
      <c r="H233" s="112"/>
      <c r="I233" s="112"/>
      <c r="J233" s="46"/>
      <c r="K233" s="46"/>
      <c r="L233" s="46"/>
      <c r="M233" s="46"/>
      <c r="N233" s="46"/>
      <c r="O233" s="258"/>
    </row>
    <row r="234" spans="1:40" ht="13.5" hidden="1" x14ac:dyDescent="0.15">
      <c r="A234" s="259">
        <v>5</v>
      </c>
      <c r="B234" s="345" t="s">
        <v>646</v>
      </c>
      <c r="C234" s="104"/>
      <c r="D234" s="104"/>
      <c r="E234" s="104"/>
      <c r="F234" s="112"/>
      <c r="G234" s="112"/>
      <c r="H234" s="112"/>
      <c r="I234" s="112"/>
      <c r="J234" s="46"/>
      <c r="K234" s="46"/>
      <c r="L234" s="46"/>
      <c r="M234" s="46"/>
      <c r="N234" s="46"/>
      <c r="O234" s="258"/>
    </row>
    <row r="235" spans="1:40" ht="13.5" hidden="1" x14ac:dyDescent="0.15">
      <c r="A235" s="259">
        <v>6</v>
      </c>
      <c r="B235" s="345" t="s">
        <v>647</v>
      </c>
      <c r="C235" s="104"/>
      <c r="D235" s="104"/>
      <c r="E235" s="104"/>
      <c r="F235" s="112"/>
      <c r="G235" s="112"/>
      <c r="H235" s="112"/>
      <c r="I235" s="112"/>
      <c r="J235" s="46"/>
      <c r="K235" s="46"/>
      <c r="L235" s="46"/>
      <c r="M235" s="46"/>
      <c r="N235" s="46"/>
      <c r="O235" s="258"/>
    </row>
    <row r="236" spans="1:40" ht="13.5" hidden="1" x14ac:dyDescent="0.15">
      <c r="A236" s="259">
        <v>7</v>
      </c>
      <c r="B236" s="51" t="s">
        <v>551</v>
      </c>
      <c r="C236" s="104"/>
      <c r="D236" s="104"/>
      <c r="E236" s="104"/>
      <c r="F236" s="112"/>
      <c r="G236" s="112"/>
      <c r="H236" s="112"/>
      <c r="I236" s="112"/>
      <c r="J236" s="46"/>
      <c r="K236" s="46"/>
      <c r="L236" s="46"/>
      <c r="M236" s="46"/>
      <c r="N236" s="46"/>
      <c r="O236" s="258"/>
    </row>
    <row r="237" spans="1:40" ht="13.5" hidden="1" x14ac:dyDescent="0.15">
      <c r="A237" s="259">
        <v>8</v>
      </c>
      <c r="B237" s="51" t="s">
        <v>552</v>
      </c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258"/>
    </row>
    <row r="238" spans="1:40" ht="13.5" hidden="1" x14ac:dyDescent="0.15">
      <c r="A238" s="259">
        <v>9</v>
      </c>
      <c r="B238" s="51" t="s">
        <v>553</v>
      </c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58"/>
      <c r="AH238" s="69"/>
      <c r="AI238" s="69"/>
      <c r="AJ238" s="69"/>
      <c r="AK238" s="69"/>
      <c r="AL238" s="69"/>
      <c r="AM238" s="69"/>
      <c r="AN238" s="69"/>
    </row>
    <row r="239" spans="1:40" ht="13.5" hidden="1" x14ac:dyDescent="0.15">
      <c r="A239" s="259" t="s">
        <v>722</v>
      </c>
      <c r="B239" s="51" t="s">
        <v>616</v>
      </c>
      <c r="C239" s="109"/>
      <c r="D239" s="109"/>
      <c r="E239" s="110"/>
      <c r="F239" s="358"/>
      <c r="G239" s="111"/>
      <c r="H239" s="111"/>
      <c r="I239" s="111"/>
      <c r="J239" s="46"/>
      <c r="K239" s="46"/>
      <c r="L239" s="46"/>
      <c r="M239" s="46"/>
      <c r="N239" s="9"/>
      <c r="O239" s="258"/>
      <c r="AH239" s="69"/>
      <c r="AI239" s="69"/>
      <c r="AJ239" s="69"/>
      <c r="AK239" s="69"/>
      <c r="AL239" s="69"/>
      <c r="AM239" s="69"/>
      <c r="AN239" s="69"/>
    </row>
    <row r="240" spans="1:40" ht="13.5" hidden="1" x14ac:dyDescent="0.15">
      <c r="A240" s="259">
        <v>10</v>
      </c>
      <c r="B240" s="338" t="s">
        <v>619</v>
      </c>
      <c r="C240" s="104"/>
      <c r="D240" s="105"/>
      <c r="E240" s="106"/>
      <c r="F240" s="46"/>
      <c r="G240" s="46"/>
      <c r="H240" s="46"/>
      <c r="I240" s="46"/>
      <c r="J240" s="46"/>
      <c r="K240" s="46"/>
      <c r="L240" s="46"/>
      <c r="M240" s="46"/>
      <c r="N240" s="46"/>
      <c r="O240" s="258"/>
      <c r="AH240" s="69"/>
      <c r="AI240" s="69"/>
      <c r="AJ240" s="69"/>
      <c r="AK240" s="69"/>
      <c r="AL240" s="69"/>
      <c r="AM240" s="69"/>
      <c r="AN240" s="69"/>
    </row>
    <row r="241" spans="1:40" ht="13.5" hidden="1" x14ac:dyDescent="0.15">
      <c r="A241" s="259">
        <v>11</v>
      </c>
      <c r="B241" s="345" t="s">
        <v>648</v>
      </c>
      <c r="C241" s="104"/>
      <c r="D241" s="105"/>
      <c r="E241" s="106"/>
      <c r="F241" s="47"/>
      <c r="G241" s="47"/>
      <c r="H241" s="47"/>
      <c r="I241" s="47"/>
      <c r="J241" s="46"/>
      <c r="K241" s="46"/>
      <c r="L241" s="46"/>
      <c r="M241" s="46"/>
      <c r="N241" s="46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>
        <v>12</v>
      </c>
      <c r="B242" s="345" t="s">
        <v>649</v>
      </c>
      <c r="C242" s="104"/>
      <c r="D242" s="105"/>
      <c r="E242" s="106"/>
      <c r="F242" s="47"/>
      <c r="G242" s="111"/>
      <c r="H242" s="47"/>
      <c r="I242" s="47"/>
      <c r="J242" s="46"/>
      <c r="K242" s="46"/>
      <c r="L242" s="46"/>
      <c r="M242" s="46"/>
      <c r="N242" s="46"/>
      <c r="O242" s="258"/>
      <c r="AH242" s="69"/>
      <c r="AI242" s="69"/>
      <c r="AJ242" s="69"/>
      <c r="AK242" s="69"/>
      <c r="AL242" s="69"/>
      <c r="AM242" s="69"/>
      <c r="AN242" s="69"/>
    </row>
    <row r="243" spans="1:40" ht="13.5" hidden="1" x14ac:dyDescent="0.15">
      <c r="A243" s="259">
        <v>13</v>
      </c>
      <c r="B243" s="338" t="s">
        <v>620</v>
      </c>
      <c r="C243" s="104"/>
      <c r="D243" s="105"/>
      <c r="E243" s="106"/>
      <c r="F243" s="47"/>
      <c r="G243" s="111"/>
      <c r="H243" s="47"/>
      <c r="I243" s="47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14</v>
      </c>
      <c r="B244" s="345" t="s">
        <v>650</v>
      </c>
      <c r="C244" s="104"/>
      <c r="D244" s="105"/>
      <c r="E244" s="106"/>
      <c r="F244" s="47"/>
      <c r="G244" s="111"/>
      <c r="H244" s="47"/>
      <c r="I244" s="47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15</v>
      </c>
      <c r="B245" s="345" t="s">
        <v>651</v>
      </c>
      <c r="C245" s="104"/>
      <c r="D245" s="105"/>
      <c r="E245" s="106"/>
      <c r="F245" s="47"/>
      <c r="G245" s="111"/>
      <c r="H245" s="47"/>
      <c r="I245" s="47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16</v>
      </c>
      <c r="B246" s="339" t="s">
        <v>621</v>
      </c>
      <c r="C246" s="104"/>
      <c r="D246" s="105"/>
      <c r="E246" s="106"/>
      <c r="F246" s="112"/>
      <c r="G246" s="112"/>
      <c r="H246" s="112"/>
      <c r="I246" s="112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17</v>
      </c>
      <c r="B247" s="345" t="s">
        <v>652</v>
      </c>
      <c r="C247" s="104"/>
      <c r="D247" s="105"/>
      <c r="E247" s="106"/>
      <c r="F247" s="112"/>
      <c r="G247" s="112"/>
      <c r="H247" s="112"/>
      <c r="I247" s="112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18</v>
      </c>
      <c r="B248" s="345" t="s">
        <v>653</v>
      </c>
      <c r="C248" s="104"/>
      <c r="D248" s="104"/>
      <c r="E248" s="104"/>
      <c r="F248" s="112"/>
      <c r="G248" s="112"/>
      <c r="H248" s="112"/>
      <c r="I248" s="112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19</v>
      </c>
      <c r="B249" s="340" t="s">
        <v>622</v>
      </c>
      <c r="C249" s="104"/>
      <c r="D249" s="104"/>
      <c r="E249" s="104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20</v>
      </c>
      <c r="B250" s="345" t="s">
        <v>654</v>
      </c>
      <c r="C250" s="104"/>
      <c r="D250" s="104"/>
      <c r="E250" s="104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21</v>
      </c>
      <c r="B251" s="340" t="s">
        <v>623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22</v>
      </c>
      <c r="B252" s="345" t="s">
        <v>655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23</v>
      </c>
      <c r="B253" s="340" t="s">
        <v>624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24</v>
      </c>
      <c r="B254" s="340" t="s">
        <v>625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25</v>
      </c>
      <c r="B255" s="340" t="s">
        <v>626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26</v>
      </c>
      <c r="B256" s="51" t="s">
        <v>556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27</v>
      </c>
      <c r="B257" s="107" t="s">
        <v>549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28</v>
      </c>
      <c r="B258" s="340" t="s">
        <v>627</v>
      </c>
      <c r="C258" s="359"/>
      <c r="D258" s="111"/>
      <c r="E258" s="360"/>
      <c r="F258" s="112"/>
      <c r="G258" s="112"/>
      <c r="H258" s="112"/>
      <c r="I258" s="112"/>
      <c r="J258" s="46"/>
      <c r="K258" s="46"/>
      <c r="L258" s="46"/>
      <c r="M258" s="46"/>
      <c r="N258" s="361"/>
      <c r="O258" s="258"/>
    </row>
    <row r="259" spans="1:15" ht="13.5" hidden="1" x14ac:dyDescent="0.15">
      <c r="A259" s="259">
        <v>29</v>
      </c>
      <c r="B259" s="345" t="s">
        <v>663</v>
      </c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58"/>
    </row>
    <row r="260" spans="1:15" ht="13.5" hidden="1" x14ac:dyDescent="0.15">
      <c r="A260" s="259">
        <v>30</v>
      </c>
      <c r="B260" s="340" t="s">
        <v>628</v>
      </c>
      <c r="C260" s="109"/>
      <c r="D260" s="109"/>
      <c r="E260" s="110"/>
      <c r="F260" s="358"/>
      <c r="G260" s="111"/>
      <c r="H260" s="111"/>
      <c r="I260" s="111"/>
      <c r="J260" s="46"/>
      <c r="K260" s="46"/>
      <c r="L260" s="46"/>
      <c r="M260" s="46"/>
      <c r="N260" s="9"/>
      <c r="O260" s="258"/>
    </row>
    <row r="261" spans="1:15" ht="13.5" hidden="1" x14ac:dyDescent="0.15">
      <c r="A261" s="259">
        <v>31</v>
      </c>
      <c r="B261" s="51" t="s">
        <v>557</v>
      </c>
      <c r="C261" s="104"/>
      <c r="D261" s="105"/>
      <c r="E261" s="106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 t="s">
        <v>723</v>
      </c>
      <c r="B262" s="51" t="s">
        <v>614</v>
      </c>
      <c r="C262" s="104"/>
      <c r="D262" s="105"/>
      <c r="E262" s="106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32</v>
      </c>
      <c r="B263" s="345" t="s">
        <v>664</v>
      </c>
      <c r="C263" s="104"/>
      <c r="D263" s="105"/>
      <c r="E263" s="106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33</v>
      </c>
      <c r="B264" s="340" t="s">
        <v>629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34</v>
      </c>
      <c r="B265" s="345" t="s">
        <v>665</v>
      </c>
      <c r="C265" s="104"/>
      <c r="D265" s="105"/>
      <c r="E265" s="106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35</v>
      </c>
      <c r="B266" s="51" t="s">
        <v>559</v>
      </c>
      <c r="C266" s="104"/>
      <c r="D266" s="104"/>
      <c r="E266" s="104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36</v>
      </c>
      <c r="B267" s="51" t="s">
        <v>560</v>
      </c>
      <c r="C267" s="104"/>
      <c r="D267" s="104"/>
      <c r="E267" s="104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37</v>
      </c>
      <c r="B268" s="345" t="s">
        <v>689</v>
      </c>
      <c r="C268" s="104"/>
      <c r="D268" s="104"/>
      <c r="E268" s="104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38</v>
      </c>
      <c r="B269" s="345" t="s">
        <v>666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39</v>
      </c>
      <c r="B270" s="340" t="s">
        <v>630</v>
      </c>
      <c r="C270" s="104"/>
      <c r="D270" s="104"/>
      <c r="E270" s="104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40</v>
      </c>
      <c r="B271" s="340" t="s">
        <v>631</v>
      </c>
      <c r="C271" s="9"/>
      <c r="D271" s="9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41</v>
      </c>
      <c r="B272" s="51" t="s">
        <v>561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42</v>
      </c>
      <c r="B273" s="345" t="s">
        <v>667</v>
      </c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43</v>
      </c>
      <c r="B274" s="51" t="s">
        <v>562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44</v>
      </c>
      <c r="B275" s="51" t="s">
        <v>563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45</v>
      </c>
      <c r="B276" s="51" t="s">
        <v>686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46</v>
      </c>
      <c r="B277" s="345" t="s">
        <v>668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47</v>
      </c>
      <c r="B278" s="345" t="s">
        <v>669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 t="s">
        <v>724</v>
      </c>
      <c r="B279" s="345" t="s">
        <v>701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48</v>
      </c>
      <c r="B280" s="51" t="s">
        <v>564</v>
      </c>
      <c r="C280" s="9"/>
      <c r="D280" s="9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49</v>
      </c>
      <c r="B281" s="345" t="s">
        <v>670</v>
      </c>
      <c r="C281" s="9"/>
      <c r="D281" s="9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50</v>
      </c>
      <c r="B282" s="340" t="s">
        <v>632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51</v>
      </c>
      <c r="B283" s="51" t="s">
        <v>565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52</v>
      </c>
      <c r="B284" s="51" t="s">
        <v>566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53</v>
      </c>
      <c r="B285" s="51" t="s">
        <v>567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54</v>
      </c>
      <c r="B286" s="51" t="s">
        <v>568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55</v>
      </c>
      <c r="B287" s="51" t="s">
        <v>569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56</v>
      </c>
      <c r="B288" s="340" t="s">
        <v>633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57</v>
      </c>
      <c r="B289" s="51" t="s">
        <v>570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58</v>
      </c>
      <c r="B290" s="51" t="s">
        <v>571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59</v>
      </c>
      <c r="B291" s="345" t="s">
        <v>671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60</v>
      </c>
      <c r="B292" s="51" t="s">
        <v>572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61</v>
      </c>
      <c r="B293" s="51" t="s">
        <v>573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62</v>
      </c>
      <c r="B294" s="51" t="s">
        <v>574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63</v>
      </c>
      <c r="B295" s="345" t="s">
        <v>672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64</v>
      </c>
      <c r="B296" s="51" t="s">
        <v>580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65</v>
      </c>
      <c r="B297" s="51" t="s">
        <v>583</v>
      </c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258"/>
    </row>
    <row r="298" spans="1:15" ht="13.5" hidden="1" x14ac:dyDescent="0.15">
      <c r="A298" s="259">
        <v>66</v>
      </c>
      <c r="B298" s="340" t="s">
        <v>634</v>
      </c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258"/>
    </row>
    <row r="299" spans="1:15" ht="13.5" hidden="1" x14ac:dyDescent="0.15">
      <c r="A299" s="259">
        <v>67</v>
      </c>
      <c r="B299" s="51" t="s">
        <v>581</v>
      </c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258"/>
    </row>
    <row r="300" spans="1:15" ht="13.5" hidden="1" x14ac:dyDescent="0.15">
      <c r="A300" s="259" t="s">
        <v>725</v>
      </c>
      <c r="B300" s="51" t="s">
        <v>684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68</v>
      </c>
      <c r="B301" s="108" t="s">
        <v>673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69</v>
      </c>
      <c r="B302" s="340" t="s">
        <v>635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>
        <v>70</v>
      </c>
      <c r="B303" s="108" t="s">
        <v>674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71</v>
      </c>
      <c r="B304" s="108" t="s">
        <v>675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72</v>
      </c>
      <c r="B305" s="108" t="s">
        <v>677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73</v>
      </c>
      <c r="B306" s="340" t="s">
        <v>636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74</v>
      </c>
      <c r="B307" s="108" t="s">
        <v>678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75</v>
      </c>
      <c r="B308" s="340" t="s">
        <v>637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76</v>
      </c>
      <c r="B309" s="108" t="s">
        <v>679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77</v>
      </c>
      <c r="B310" s="340" t="s">
        <v>638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78</v>
      </c>
      <c r="B311" s="108" t="s">
        <v>680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79</v>
      </c>
      <c r="B312" s="340" t="s">
        <v>639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80</v>
      </c>
      <c r="B313" s="340" t="s">
        <v>640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81</v>
      </c>
      <c r="B314" s="108" t="s">
        <v>681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82</v>
      </c>
      <c r="B315" s="51" t="s">
        <v>584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83</v>
      </c>
      <c r="B316" s="340" t="s">
        <v>683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84</v>
      </c>
      <c r="B317" s="340" t="s">
        <v>699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85</v>
      </c>
      <c r="B318" s="340" t="s">
        <v>641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86</v>
      </c>
      <c r="B319" s="340" t="s">
        <v>642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87</v>
      </c>
      <c r="B320" s="340" t="s">
        <v>643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88</v>
      </c>
      <c r="B321" s="340" t="s">
        <v>644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89</v>
      </c>
      <c r="B322" s="51" t="s">
        <v>585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90</v>
      </c>
      <c r="B323" s="108" t="s">
        <v>682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91</v>
      </c>
      <c r="B324" s="51" t="s">
        <v>586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 t="s">
        <v>726</v>
      </c>
      <c r="B325" s="51" t="s">
        <v>685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92</v>
      </c>
      <c r="B326" s="51" t="s">
        <v>588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B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B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B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98:E98"/>
    <mergeCell ref="B127:N127"/>
    <mergeCell ref="C120:E120"/>
    <mergeCell ref="F120:H120"/>
    <mergeCell ref="K107:S107"/>
    <mergeCell ref="B107:J107"/>
    <mergeCell ref="I120:J120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J97">
    <cfRule type="cellIs" dxfId="285" priority="1" stopIfTrue="1" operator="equal">
      <formula>"ATENDE TEMPO NO CARGO"</formula>
    </cfRule>
    <cfRule type="cellIs" dxfId="284" priority="2" stopIfTrue="1" operator="equal">
      <formula>"NÃO CUMPRE TEMPO NO CARGO"</formula>
    </cfRule>
  </conditionalFormatting>
  <conditionalFormatting sqref="M240:M258 M230:M236 M261:M284 C218:C220 C129:C174 N173:N174 C176:C195 C215:C216 C222:C226 C197:C213">
    <cfRule type="cellIs" dxfId="283" priority="3" stopIfTrue="1" operator="equal">
      <formula>"ANUÊNIO"</formula>
    </cfRule>
    <cfRule type="cellIs" dxfId="282" priority="4" stopIfTrue="1" operator="equal">
      <formula>"TRIÊNIO"</formula>
    </cfRule>
    <cfRule type="cellIs" dxfId="281" priority="5" stopIfTrue="1" operator="equal">
      <formula>"QUINQUÊNIO"</formula>
    </cfRule>
  </conditionalFormatting>
  <conditionalFormatting sqref="F72:F74">
    <cfRule type="cellIs" dxfId="280" priority="6" stopIfTrue="1" operator="equal">
      <formula>"NADA A CUMPRIR"</formula>
    </cfRule>
    <cfRule type="cellIs" dxfId="279" priority="7" stopIfTrue="1" operator="equal">
      <formula>"NÃO CABE"</formula>
    </cfRule>
    <cfRule type="cellIs" dxfId="278" priority="8" stopIfTrue="1" operator="greaterThanOrEqual">
      <formula>0</formula>
    </cfRule>
  </conditionalFormatting>
  <conditionalFormatting sqref="E71">
    <cfRule type="cellIs" dxfId="277" priority="9" stopIfTrue="1" operator="equal">
      <formula>"NÃO ATENDE LIMITE MÍNIMO DE IDADE"</formula>
    </cfRule>
    <cfRule type="cellIs" dxfId="276" priority="10" stopIfTrue="1" operator="equal">
      <formula>"REANALISAR FUNDAMENTAÇÃO E/OU MODALIDADE"</formula>
    </cfRule>
    <cfRule type="cellIs" dxfId="275" priority="11" stopIfTrue="1" operator="equal">
      <formula>"ATENDE LIMITE MÍNIMO DE IDADE"</formula>
    </cfRule>
  </conditionalFormatting>
  <conditionalFormatting sqref="N69 N71">
    <cfRule type="cellIs" dxfId="274" priority="12" stopIfTrue="1" operator="equal">
      <formula>0</formula>
    </cfRule>
  </conditionalFormatting>
  <conditionalFormatting sqref="K8">
    <cfRule type="expression" dxfId="273" priority="13" stopIfTrue="1">
      <formula>"SE($N$8=0)"</formula>
    </cfRule>
  </conditionalFormatting>
  <conditionalFormatting sqref="C73">
    <cfRule type="cellIs" dxfId="272" priority="14" stopIfTrue="1" operator="equal">
      <formula>"FALTA DATA"</formula>
    </cfRule>
  </conditionalFormatting>
  <conditionalFormatting sqref="M74">
    <cfRule type="cellIs" dxfId="271" priority="15" stopIfTrue="1" operator="equal">
      <formula>"ATENDE"</formula>
    </cfRule>
    <cfRule type="cellIs" dxfId="270" priority="16" stopIfTrue="1" operator="equal">
      <formula>"NÃO ATENDE"</formula>
    </cfRule>
    <cfRule type="cellIs" dxfId="269" priority="17" stopIfTrue="1" operator="equal">
      <formula>"NÃO CABE"</formula>
    </cfRule>
  </conditionalFormatting>
  <conditionalFormatting sqref="M73">
    <cfRule type="cellIs" dxfId="268" priority="18" stopIfTrue="1" operator="equal">
      <formula>"ATENDE"</formula>
    </cfRule>
    <cfRule type="cellIs" dxfId="267" priority="19" stopIfTrue="1" operator="equal">
      <formula>"NÃO ATENDE"</formula>
    </cfRule>
    <cfRule type="cellIs" dxfId="266" priority="20" stopIfTrue="1" operator="equal">
      <formula>"NÃO CABE"</formula>
    </cfRule>
  </conditionalFormatting>
  <conditionalFormatting sqref="M75:M76 L77:M77 L78:L82">
    <cfRule type="cellIs" dxfId="265" priority="21" stopIfTrue="1" operator="equal">
      <formula>"ATENDE"</formula>
    </cfRule>
    <cfRule type="cellIs" dxfId="264" priority="22" stopIfTrue="1" operator="equal">
      <formula>"NÃO ATENDE"</formula>
    </cfRule>
    <cfRule type="cellIs" dxfId="263" priority="23" stopIfTrue="1" operator="equal">
      <formula>"OK"</formula>
    </cfRule>
  </conditionalFormatting>
  <conditionalFormatting sqref="K42">
    <cfRule type="expression" dxfId="262" priority="24" stopIfTrue="1">
      <formula>$E$42&lt;=0</formula>
    </cfRule>
  </conditionalFormatting>
  <conditionalFormatting sqref="M42">
    <cfRule type="expression" dxfId="261" priority="25" stopIfTrue="1">
      <formula>$E$42&lt;=0</formula>
    </cfRule>
  </conditionalFormatting>
  <conditionalFormatting sqref="O70 I67">
    <cfRule type="cellIs" dxfId="260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B00-000000000000}">
      <formula1>$O$2:$O$7</formula1>
    </dataValidation>
    <dataValidation type="list" allowBlank="1" showInputMessage="1" showErrorMessage="1" sqref="E2:I2" xr:uid="{00000000-0002-0000-0B00-000001000000}">
      <formula1>$B$87:$B$95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T824"/>
  <sheetViews>
    <sheetView showGridLines="0" topLeftCell="A40" zoomScale="75" zoomScaleNormal="75" workbookViewId="0" xr3:uid="{C67EF94B-0B3B-5838-830C-E3A509766221}">
      <selection activeCell="F72" sqref="F72"/>
    </sheetView>
  </sheetViews>
  <sheetFormatPr defaultColWidth="9.16796875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3" width="0" style="21" hidden="1" customWidth="1"/>
    <col min="254" max="16384" width="9.16796875" style="2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487</v>
      </c>
      <c r="F2" s="1850"/>
      <c r="G2" s="1850"/>
      <c r="H2" s="1850"/>
      <c r="I2" s="1850"/>
      <c r="J2" s="652" t="s">
        <v>462</v>
      </c>
      <c r="K2" s="1939" t="s">
        <v>463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IF(OR($E$2=$B$90,$E$2=$B$91,E2=B92),IF($M$13&gt;=5,"ATENDE","NÃO CUMPRE"),"NÃO CABE")</f>
        <v>NÃO CABE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IF(OR($E$2=$B$90,$E$2=$B$91,E2=B92),IF($M$15&gt;=10,"ATENDE","NÃO CUMPRE"),O82)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43">
        <f>CRÍTICA_IGP1!N8</f>
        <v>0</v>
      </c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43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">
        <v>613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745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IF(E2=B98,IF(D12="X",IF(G10="X",ROUNDDOWN(SUM(F26:F34)*0.2,0),ROUNDDOWN(SUM(F26:F34)*0.17,0)),0),0)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 t="str">
        <f>IF(E38&lt;36145,E38,"REVER")</f>
        <v>REVER</v>
      </c>
      <c r="F37" s="157">
        <f>IF($E$37&gt;$A$37,0,SUM($F$26:$F$35))</f>
        <v>0</v>
      </c>
      <c r="G37" s="150"/>
      <c r="H37" s="662" t="str">
        <f>E38</f>
        <v>REVER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 t="str">
        <f>IF(E32&gt;0,E32,IF(E31&gt;0,E31,IF(E30&gt;0,E30,IF(E29&gt;0,E29,IF(E28&gt;0,E28,IF(E27&gt;0,E27,IF(E26&gt;0,F26,"REVER")))))))</f>
        <v>REVER</v>
      </c>
      <c r="F38" s="270"/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IF(E41&gt;0,IF(E2=B90,E41,IF(E2=B91,E41,IF(E2=B97,E41,))),0)</f>
        <v>10950</v>
      </c>
      <c r="D41" s="178" t="b">
        <f>IF(E41&gt;0,IF(K2=O5,IF(E2=B98,E41,0)),0)</f>
        <v>0</v>
      </c>
      <c r="E41" s="179">
        <f>IF($E$2=B97,IF($G$10="X",(25*365)-$F$37,(30*365)-$F$37),IF($G$10="X",(30*365)-$F$37,(35*365)-$F$37))</f>
        <v>10950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CUMPRIR",IF(K2=O5,IF(E2=B98,"HÁ PEDÁGIO A CUMPRIR",E71))),"NÃO HÁ PEDÁGIO A CUMPRIR")</f>
        <v>NÃO HÁ PEDÁGIO A CUMPRIR</v>
      </c>
      <c r="I42" s="185"/>
      <c r="J42" s="186"/>
      <c r="K42" s="186">
        <f>IF(E41&gt;0,ROUNDDOWN(E41/365,0),0)</f>
        <v>30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IF(E42&gt;0,IF(E2=B97,ROUNDUP(E42*0.4,0),ROUNDUP(E42*0.2,0)),0)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IF(K2=O2,0,IF(K2=O3,A42,IF(K2=O4,A43,A44)))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153"/>
      <c r="C46" s="273"/>
      <c r="D46" s="274"/>
      <c r="E46" s="275"/>
      <c r="F46" s="278">
        <f>SUM(F47:F50)</f>
        <v>0</v>
      </c>
      <c r="G46" s="591" t="str">
        <f>IF(AND($E$51&gt;=36145,$E$51&lt;=37985),$E$51,"REVER")</f>
        <v>REVER</v>
      </c>
      <c r="H46" s="592" t="str">
        <f>IF(AND($E$51&gt;=36145,$E$51&lt;38037),$E$51,"REVER")</f>
        <v>REVER</v>
      </c>
      <c r="I46" s="230"/>
      <c r="J46" s="230"/>
      <c r="K46" s="230"/>
      <c r="L46" s="230"/>
      <c r="M46" s="378"/>
      <c r="N46" s="230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CRÍTICA_IGP1!E50</f>
        <v>25567</v>
      </c>
      <c r="F50" s="600">
        <f>IF(C50=0,0,IF(E50=0,0,E50-C50+1))-N50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362"/>
      <c r="C51" s="277" t="str">
        <f>IF($C$47&gt;0,$C$47,IF($C$48&gt;0,$C$48,IF($C$49&gt;0,$C$49,IF($C$50&gt;0,$C$50,"REVER"))))</f>
        <v>REVER</v>
      </c>
      <c r="D51" s="362"/>
      <c r="E51" s="277">
        <f>IF($E$50&gt;0,$E$50,IF($E$49&gt;0,$E$49,IF($E$48&gt;0,$E$48,IF($E$47&gt;0,$E$47,"REVER"))))</f>
        <v>25567</v>
      </c>
      <c r="F51" s="362" t="s">
        <v>741</v>
      </c>
      <c r="G51" s="362"/>
      <c r="H51" s="363">
        <f>SUM($F$48:$F$50)</f>
        <v>0</v>
      </c>
      <c r="I51" s="362" t="s">
        <v>743</v>
      </c>
      <c r="J51" s="363">
        <f>SUM(F49:F50)</f>
        <v>0</v>
      </c>
      <c r="K51" s="362"/>
      <c r="L51" s="362"/>
      <c r="M51" s="362"/>
      <c r="N51" s="362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3">
        <v>38037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685"/>
      <c r="C58" s="277">
        <f>IF(C54&gt;0,C54,IF(C55&gt;0,C55,IF(C56&gt;0,C56,IF(C57&gt;0,C57,"REVER"))))</f>
        <v>38037</v>
      </c>
      <c r="D58" s="22"/>
      <c r="E58" s="289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>
        <f>IF($C$58&gt;=38037,$C$58,"REVER")</f>
        <v>38037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>
        <f>IF(E2=B92,"NÃO CABE",IF(E2=B94,"NÃO CABE",IF(E2=B95,"NÃO CABE",IF(E2=B96,"NÃO CABE",IF(C65&gt;0,C65,"NADA A CUMPRIR")))))</f>
        <v>10950</v>
      </c>
      <c r="D64" s="198"/>
      <c r="E64" s="199"/>
      <c r="F64" s="200"/>
      <c r="G64" s="198"/>
      <c r="H64" s="201">
        <f>IF($C$64="NÃO CABE",0,IF($C$65&gt;0,ROUNDDOWN($C$65/365,0),0))</f>
        <v>30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254" ht="15" thickBot="1" x14ac:dyDescent="0.2">
      <c r="B65" s="204"/>
      <c r="C65" s="209">
        <f>IF(K2=O2,IF(E2=B97,R123,R122),IF(K2=O3,Q121,IF(K2=O6,Q121,IF(K2=O4,Q120,IF(K2=O5,Q120,IF($K$2=O7,Q124,0))))))</f>
        <v>10950</v>
      </c>
      <c r="D65" s="205"/>
      <c r="E65" s="206"/>
      <c r="F65" s="207"/>
      <c r="G65" s="205"/>
      <c r="H65" s="207">
        <f>IF($C$64="NÃO CABE",0,IF($C$65&gt;0,ROUNDDOWN($C$65/365,0),0))</f>
        <v>30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254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254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IF($O$10&lt;$D$131,VLOOKUP($E$6,$B$132:$Q$229,3,FALSE),IF($O$10&lt;$E$131,VLOOKUP($E$6,$B$132:$Q$229,4,FALSE),VLOOKUP($E$6,$B$132:$Q$229,5,FALSE)))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254" x14ac:dyDescent="0.15">
      <c r="B68" s="219" t="s">
        <v>360</v>
      </c>
      <c r="C68" s="45"/>
      <c r="D68" s="45"/>
      <c r="E68" s="220" t="e">
        <f>IF($BC$90&lt;=$BC$88,VLOOKUP($C$8,$BB$91:$BH$130,2,FALSE),IF($BC$90&lt;=$BD$88,VLOOKUP($C$8,$BB$91:$BH$130,3,FALSE),IF($BC$90&lt;=$BE$88,VLOOKUP($C$8,$BB$91:$BH$130,4,FALSE),IF($BC$90&lt;=$BF$88,VLOOKUP($C$8,$BB$91:$BH$130,5,FALSE),IF($BC$90&lt;=$BG$88,VLOOKUP($C$8,$BB$91:$BH$130,6,FALSE),VLOOKUP($C$8,$BB$91:$BH$130,7,FALSE))))))</f>
        <v>#N/A</v>
      </c>
      <c r="F68" s="150"/>
      <c r="G68" s="150"/>
      <c r="H68" s="150"/>
      <c r="I68" s="221"/>
      <c r="J68" s="222" t="e">
        <f>IF($BC$87&lt;=$BC$88,VLOOKUP($C$8,$BB$91:$BH$130,2,FALSE),IF($BC$87&lt;=$BD$88,VLOOKUP($C$8,$BB$91:$BH$130,3,FALSE),IF($BC$87&lt;=$BE$88,VLOOKUP($C$8,$BB$91:$BH$130,4,FALSE),IF($BC$87&lt;=$BF$88,VLOOKUP($C$8,$BB$91:$BH$130,5,FALSE),IF($BC$87&lt;=$BG$88,VLOOKUP($C$8,$BB$91:$BH$130,6,FALSE),VLOOKUP($C$8,$BB$91:$BH$130,7,FALSE))))))</f>
        <v>#N/A</v>
      </c>
      <c r="K68" s="150" t="s">
        <v>448</v>
      </c>
      <c r="L68" s="153"/>
      <c r="M68" s="150"/>
      <c r="N68" s="223">
        <f>IF($K$2=$O$2,J102,IF($K$2=$O$3,J103,IF($K$2=$O$4,J104,IF($K$2=$O$5,J105,"NÃO CABE"))))</f>
        <v>0</v>
      </c>
      <c r="O68" s="254" t="str">
        <f>VLOOKUP($E$6,$B$132:$C$229,2,FALSE)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254" x14ac:dyDescent="0.15">
      <c r="A69" s="295"/>
      <c r="B69" s="219" t="s">
        <v>505</v>
      </c>
      <c r="C69" s="150"/>
      <c r="D69" s="224"/>
      <c r="E69" s="31" t="str">
        <f>K2</f>
        <v>REGRAS ANTES EC20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254" x14ac:dyDescent="0.15">
      <c r="A70" s="295"/>
      <c r="B70" s="219" t="s">
        <v>506</v>
      </c>
      <c r="C70" s="150"/>
      <c r="D70" s="45"/>
      <c r="E70" s="31" t="str">
        <f>E2</f>
        <v>VOL. PROPORCIONAL T. CONTRIBUIÇÃO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IF(K2=O3,IF(M104&gt;=N104,N103,"NÃO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254" x14ac:dyDescent="0.15">
      <c r="A71" s="295"/>
      <c r="B71" s="219" t="s">
        <v>501</v>
      </c>
      <c r="C71" s="150"/>
      <c r="D71" s="227"/>
      <c r="E71" s="29" t="str">
        <f>IF($E$2=$L$111,$O$111,IF($E$2=$L$112,$O$112,IF($E$2=$L$113,$O$113,IF($E$2=$L$114,$O$114,IF($E$2=$L$115,$O$115,$O$116)))))</f>
        <v>NADA A CRITICAR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254" x14ac:dyDescent="0.15">
      <c r="A72" s="295"/>
      <c r="B72" s="219" t="s">
        <v>502</v>
      </c>
      <c r="C72" s="29"/>
      <c r="D72" s="227"/>
      <c r="E72" s="232"/>
      <c r="F72" s="72">
        <f>IF(AND(K2=O2,OR(J8&gt;=36145,J9&gt;=36145)),"INCOMPATÍVEL",C64)</f>
        <v>10950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254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CABE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254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254" ht="15" thickBot="1" x14ac:dyDescent="0.2">
      <c r="A75" s="295"/>
      <c r="B75" s="237" t="s">
        <v>452</v>
      </c>
      <c r="C75" s="238"/>
      <c r="D75" s="239">
        <f>IF(OR(E6=B200,E6=B212,E6=B223),IF(L212&gt;=25,"FAZ JUS A 1/6 DA REMUNERAÇÃO",IF(L223&gt;=25,"FAZ JUS A 1/6 DA REMUNERAÇÃO",IF(L200&gt;=25,"FAZ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CABE",$O$82),$O$82),$O$82)</f>
        <v>NÃO CUMPRE</v>
      </c>
      <c r="P75" s="129" t="s">
        <v>359</v>
      </c>
      <c r="Q75" s="130"/>
      <c r="R75" s="131"/>
      <c r="S75" s="132">
        <f>IF(ISERROR(HLOOKUP($J$177,$Q$73:$W$74,2)),0,HLOOKUP($J$177,$Q$73:$W$74,2))</f>
        <v>0</v>
      </c>
      <c r="T75" s="133" t="s">
        <v>451</v>
      </c>
      <c r="U75" s="132"/>
      <c r="V75" s="133"/>
      <c r="W75" s="132">
        <f>IF(ISERROR(HLOOKUP($K$177,$Q$73:$W$74,2)),0,HLOOKUP($K$177,$Q$73:$W$74,2))</f>
        <v>0</v>
      </c>
      <c r="X75" s="134" t="s">
        <v>507</v>
      </c>
      <c r="Y75" s="135"/>
      <c r="Z75" s="136"/>
      <c r="AA75" s="134"/>
      <c r="AB75" s="137">
        <f>IF(ISERROR(HLOOKUP($L$177,$Q$73:$W$74,2)),0,HLOOKUP($L$177,$Q$73:$W$74,2))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  <c r="IT75" s="362"/>
    </row>
    <row r="76" spans="1:254" x14ac:dyDescent="0.15">
      <c r="A76" s="295"/>
      <c r="B76" s="394"/>
      <c r="C76" s="150"/>
      <c r="D76" s="395"/>
      <c r="E76" s="150"/>
      <c r="F76" s="150"/>
      <c r="G76" s="150"/>
      <c r="H76" s="150"/>
      <c r="I76" s="150"/>
      <c r="J76" s="153"/>
      <c r="K76" s="150"/>
      <c r="L76" s="150"/>
      <c r="M76" s="234"/>
      <c r="N76" s="260"/>
      <c r="O76" s="255"/>
      <c r="P76" s="28"/>
      <c r="Q76" s="8"/>
      <c r="R76" s="5"/>
      <c r="S76" s="27"/>
      <c r="T76" s="28"/>
      <c r="U76" s="27"/>
      <c r="V76" s="28"/>
      <c r="W76" s="27"/>
      <c r="X76" s="114"/>
      <c r="Y76" s="100"/>
      <c r="Z76" s="115"/>
      <c r="AA76" s="114"/>
      <c r="AB76" s="114"/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254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254" ht="13.5" hidden="1" x14ac:dyDescent="0.15">
      <c r="A78" s="295"/>
      <c r="B78" s="35" t="s">
        <v>450</v>
      </c>
      <c r="C78" s="414" t="str">
        <f t="shared" ref="C78:C86" si="0">IF(OR($E$71="NADA A CRITICAR",$E$71="ATENDE LIMITE MÍNIMO DE IDADE"),"SIM","NÃO")</f>
        <v>SIM</v>
      </c>
      <c r="D78" s="415"/>
      <c r="E78" s="18" t="s">
        <v>463</v>
      </c>
      <c r="F78" s="416"/>
      <c r="G78" s="18"/>
      <c r="H78" s="414" t="str">
        <f t="shared" ref="H78:H86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6" si="2">IF(OR($M$73="NÃO CABE",$M$73="ATENDE"),"SIM","NÃO")</f>
        <v>SIM</v>
      </c>
      <c r="K78" s="414" t="str">
        <f t="shared" ref="K78:K86" si="3">IF(OR($M$74="NÃO CABE",$M$74="ATENDE"),"SIM","NÃO")</f>
        <v>SIM</v>
      </c>
      <c r="L78" s="412"/>
      <c r="M78" s="414" t="str">
        <f t="shared" ref="M78:M86" si="4">IF(OR($M$75="ATENDE",$M$75="OK"),"SIM","NÃO")</f>
        <v>NÃO</v>
      </c>
      <c r="N78" s="414" t="str">
        <f t="shared" ref="N78:N86" si="5"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254" ht="13.5" hidden="1" x14ac:dyDescent="0.15">
      <c r="A79" s="295"/>
      <c r="B79" s="35" t="s">
        <v>450</v>
      </c>
      <c r="C79" s="414" t="str">
        <f t="shared" si="0"/>
        <v>SIM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SIM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55"/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254" ht="13.5" hidden="1" x14ac:dyDescent="0.15">
      <c r="A80" s="295"/>
      <c r="B80" s="35" t="s">
        <v>450</v>
      </c>
      <c r="C80" s="414" t="str">
        <f t="shared" si="0"/>
        <v>SIM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SIM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SIM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SIM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7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SIM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SIM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" t="str">
        <f>IF($F$72="NADA A CUMPRIR","OK",IF($F$72="NÃO CABE","NÃO CABE","NÃO CUMPRE"))</f>
        <v>NÃO CUMPRE</v>
      </c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8" t="s">
        <v>487</v>
      </c>
      <c r="C83" s="619" t="str">
        <f t="shared" si="0"/>
        <v>SIM</v>
      </c>
      <c r="D83" s="620"/>
      <c r="E83" s="621" t="s">
        <v>463</v>
      </c>
      <c r="F83" s="622">
        <f>I67</f>
        <v>0</v>
      </c>
      <c r="G83" s="621"/>
      <c r="H83" s="619" t="str">
        <f t="shared" si="1"/>
        <v>NÃO</v>
      </c>
      <c r="I83" s="623" t="str">
        <f t="shared" si="6"/>
        <v>NÃO</v>
      </c>
      <c r="J83" s="619" t="str">
        <f t="shared" si="2"/>
        <v>SIM</v>
      </c>
      <c r="K83" s="619" t="str">
        <f t="shared" si="3"/>
        <v>SIM</v>
      </c>
      <c r="L83" s="624"/>
      <c r="M83" s="619" t="str">
        <f t="shared" si="4"/>
        <v>NÃO</v>
      </c>
      <c r="N83" s="619" t="str">
        <f>IF($N$8&gt;=36145,"NÃO",IF(AND(C83="SIM",H83="SIM",J83="SIM",K83="SIM",M83="SIM"),"SIM","NÃO"))</f>
        <v>NÃO</v>
      </c>
      <c r="O83" s="2"/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6" t="s">
        <v>487</v>
      </c>
      <c r="C84" s="414" t="str">
        <f t="shared" si="0"/>
        <v>SIM</v>
      </c>
      <c r="D84" s="415"/>
      <c r="E84" s="18" t="s">
        <v>754</v>
      </c>
      <c r="F84" s="18"/>
      <c r="G84" s="18"/>
      <c r="H84" s="414" t="str">
        <f t="shared" si="1"/>
        <v>NÃO</v>
      </c>
      <c r="I84" s="413" t="str">
        <f t="shared" si="6"/>
        <v>NÃO</v>
      </c>
      <c r="J84" s="414" t="str">
        <f t="shared" si="2"/>
        <v>SIM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"/>
      <c r="AC84" s="69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412" t="s">
        <v>467</v>
      </c>
      <c r="C85" s="414" t="str">
        <f t="shared" si="0"/>
        <v>SIM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SIM</v>
      </c>
      <c r="K85" s="414" t="str">
        <f t="shared" si="3"/>
        <v>SIM</v>
      </c>
      <c r="L85" s="412"/>
      <c r="M85" s="414" t="str">
        <f t="shared" si="4"/>
        <v>NÃO</v>
      </c>
      <c r="N85" s="414" t="str">
        <f t="shared" si="5"/>
        <v>NÃO</v>
      </c>
      <c r="O85" s="2"/>
      <c r="AC85" s="69"/>
      <c r="AD85" s="70"/>
      <c r="AE85" s="70"/>
      <c r="AF85" s="70"/>
      <c r="AG85" s="69"/>
      <c r="AX85" s="11"/>
      <c r="AY85" s="11"/>
      <c r="AZ85" s="11"/>
      <c r="BA85" s="85"/>
    </row>
    <row r="86" spans="1:64" hidden="1" thickBot="1" x14ac:dyDescent="0.2">
      <c r="A86" s="295"/>
      <c r="B86" s="412" t="s">
        <v>467</v>
      </c>
      <c r="C86" s="414" t="str">
        <f t="shared" si="0"/>
        <v>SIM</v>
      </c>
      <c r="D86" s="415"/>
      <c r="E86" s="18" t="s">
        <v>485</v>
      </c>
      <c r="F86" s="18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SIM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"/>
      <c r="AC86" s="69"/>
      <c r="AD86" s="70"/>
      <c r="AE86" s="70"/>
      <c r="AF86" s="70"/>
      <c r="AG86" s="69"/>
      <c r="AX86" s="11"/>
      <c r="AY86" s="11"/>
      <c r="AZ86" s="11"/>
      <c r="BA86" s="85"/>
    </row>
    <row r="87" spans="1:64" ht="15.95" hidden="1" customHeight="1" thickTop="1" x14ac:dyDescent="0.15">
      <c r="C87" s="21"/>
      <c r="D87" s="21"/>
      <c r="F87" s="5"/>
      <c r="G87" s="5"/>
      <c r="H87" s="5"/>
      <c r="I87" s="5"/>
      <c r="J87" s="5"/>
      <c r="K87" s="5"/>
      <c r="L87" s="5"/>
      <c r="M87" s="2"/>
      <c r="N87" s="5"/>
      <c r="O87" s="255"/>
      <c r="AC87" s="69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Z87" s="11"/>
      <c r="BA87" s="85"/>
      <c r="BB87" s="686"/>
      <c r="BC87" s="687">
        <f>SUM(F30:F32)</f>
        <v>0</v>
      </c>
      <c r="BD87" s="687"/>
      <c r="BE87" s="687"/>
      <c r="BF87" s="688"/>
      <c r="BG87" s="688"/>
      <c r="BH87" s="688"/>
      <c r="BI87" s="688" t="s">
        <v>361</v>
      </c>
      <c r="BJ87" s="689" t="s">
        <v>362</v>
      </c>
      <c r="BK87" s="690" t="s">
        <v>362</v>
      </c>
      <c r="BL87" s="691" t="s">
        <v>363</v>
      </c>
    </row>
    <row r="88" spans="1:64" ht="15.95" hidden="1" customHeight="1" thickBot="1" x14ac:dyDescent="0.2">
      <c r="C88" s="21"/>
      <c r="D88" s="21"/>
      <c r="G88" s="5"/>
      <c r="H88" s="5"/>
      <c r="I88" s="5"/>
      <c r="J88" s="5"/>
      <c r="K88" s="5"/>
      <c r="L88" s="5"/>
      <c r="M88" s="2"/>
      <c r="N88" s="5"/>
      <c r="O88" s="255"/>
      <c r="AC88" s="69"/>
      <c r="AD88" s="70"/>
      <c r="AE88" s="70"/>
      <c r="AF88" s="70"/>
      <c r="AG88" s="69"/>
      <c r="AZ88" s="11"/>
      <c r="BA88" s="85"/>
      <c r="BB88" s="692" t="s">
        <v>364</v>
      </c>
      <c r="BC88" s="693">
        <v>5</v>
      </c>
      <c r="BD88" s="693">
        <v>10</v>
      </c>
      <c r="BE88" s="693">
        <v>15</v>
      </c>
      <c r="BF88" s="693">
        <v>20</v>
      </c>
      <c r="BG88" s="694">
        <v>25</v>
      </c>
      <c r="BH88" s="694" t="s">
        <v>365</v>
      </c>
      <c r="BI88" s="695" t="s">
        <v>366</v>
      </c>
      <c r="BJ88" s="696" t="s">
        <v>367</v>
      </c>
      <c r="BK88" s="697">
        <v>34820</v>
      </c>
      <c r="BL88" s="698">
        <v>34851</v>
      </c>
    </row>
    <row r="89" spans="1:64" ht="15.95" hidden="1" customHeight="1" thickBot="1" x14ac:dyDescent="0.2">
      <c r="B89" s="88" t="s">
        <v>449</v>
      </c>
      <c r="C89" s="89"/>
      <c r="D89" s="97" t="s">
        <v>546</v>
      </c>
      <c r="E89" s="98"/>
      <c r="F89" s="99"/>
      <c r="G89" s="5"/>
      <c r="H89" s="5"/>
      <c r="I89" s="5"/>
      <c r="J89" s="5"/>
      <c r="K89" s="5"/>
      <c r="L89" s="5"/>
      <c r="M89" s="2"/>
      <c r="N89" s="5"/>
      <c r="O89" s="255"/>
      <c r="AC89" s="69"/>
      <c r="AD89" s="70"/>
      <c r="AE89" s="70"/>
      <c r="AF89" s="70"/>
      <c r="AG89" s="69"/>
      <c r="AZ89" s="11"/>
      <c r="BA89" s="85"/>
      <c r="BB89" s="692"/>
      <c r="BC89" s="693"/>
      <c r="BD89" s="693"/>
      <c r="BE89" s="693"/>
      <c r="BF89" s="693"/>
      <c r="BG89" s="694"/>
      <c r="BH89" s="694"/>
      <c r="BI89" s="695"/>
      <c r="BJ89" s="696"/>
      <c r="BK89" s="697"/>
      <c r="BL89" s="698"/>
    </row>
    <row r="90" spans="1:64" ht="15.95" hidden="1" customHeight="1" thickBot="1" x14ac:dyDescent="0.2">
      <c r="B90" s="91" t="s">
        <v>450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C90" s="69"/>
      <c r="AD90" s="21"/>
      <c r="AE90" s="21"/>
      <c r="AF90" s="21"/>
      <c r="AZ90" s="11"/>
      <c r="BA90" s="85"/>
      <c r="BB90" s="699"/>
      <c r="BC90" s="700">
        <f>(BC87+F45+F59)/365</f>
        <v>0</v>
      </c>
      <c r="BD90" s="701"/>
      <c r="BE90" s="701"/>
      <c r="BF90" s="701"/>
      <c r="BG90" s="701"/>
      <c r="BH90" s="701"/>
      <c r="BI90" s="702">
        <v>0.45</v>
      </c>
      <c r="BJ90" s="703"/>
      <c r="BK90" s="704"/>
      <c r="BL90" s="705" t="s">
        <v>368</v>
      </c>
    </row>
    <row r="91" spans="1:64" ht="15.95" hidden="1" customHeight="1" x14ac:dyDescent="0.15">
      <c r="B91" s="91" t="s">
        <v>455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06" t="s">
        <v>369</v>
      </c>
      <c r="BC91" s="707" t="s">
        <v>370</v>
      </c>
      <c r="BD91" s="708" t="s">
        <v>371</v>
      </c>
      <c r="BE91" s="708" t="s">
        <v>372</v>
      </c>
      <c r="BF91" s="708" t="s">
        <v>373</v>
      </c>
      <c r="BG91" s="708" t="s">
        <v>374</v>
      </c>
      <c r="BH91" s="709" t="s">
        <v>375</v>
      </c>
      <c r="BI91" s="710" t="e">
        <f>#REF!*1.45</f>
        <v>#REF!</v>
      </c>
      <c r="BJ91" s="711">
        <v>80.64</v>
      </c>
      <c r="BK91" s="712">
        <v>100</v>
      </c>
      <c r="BL91" s="713">
        <v>112</v>
      </c>
    </row>
    <row r="92" spans="1:64" ht="15.95" hidden="1" customHeight="1" x14ac:dyDescent="0.15">
      <c r="B92" s="91" t="s">
        <v>467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376</v>
      </c>
      <c r="BC92" s="715" t="s">
        <v>370</v>
      </c>
      <c r="BD92" s="716" t="s">
        <v>371</v>
      </c>
      <c r="BE92" s="716" t="s">
        <v>372</v>
      </c>
      <c r="BF92" s="716" t="s">
        <v>373</v>
      </c>
      <c r="BG92" s="716" t="s">
        <v>374</v>
      </c>
      <c r="BH92" s="717" t="s">
        <v>375</v>
      </c>
      <c r="BI92" s="718" t="e">
        <f>#REF!*1.45</f>
        <v>#REF!</v>
      </c>
      <c r="BJ92" s="719">
        <v>90.32</v>
      </c>
      <c r="BK92" s="720">
        <v>100</v>
      </c>
      <c r="BL92" s="721">
        <v>125.44</v>
      </c>
    </row>
    <row r="93" spans="1:64" ht="15.95" hidden="1" customHeight="1" x14ac:dyDescent="0.15">
      <c r="B93" s="91" t="s">
        <v>468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377</v>
      </c>
      <c r="BC93" s="715" t="s">
        <v>371</v>
      </c>
      <c r="BD93" s="716" t="s">
        <v>372</v>
      </c>
      <c r="BE93" s="716" t="s">
        <v>373</v>
      </c>
      <c r="BF93" s="716" t="s">
        <v>374</v>
      </c>
      <c r="BG93" s="716" t="s">
        <v>375</v>
      </c>
      <c r="BH93" s="717" t="s">
        <v>378</v>
      </c>
      <c r="BI93" s="718" t="e">
        <f>#REF!*1.45</f>
        <v>#REF!</v>
      </c>
      <c r="BJ93" s="719">
        <v>101.15</v>
      </c>
      <c r="BK93" s="720">
        <v>101.15</v>
      </c>
      <c r="BL93" s="721">
        <v>140.4</v>
      </c>
    </row>
    <row r="94" spans="1:64" ht="15.95" hidden="1" customHeight="1" x14ac:dyDescent="0.15">
      <c r="B94" s="91" t="s">
        <v>470</v>
      </c>
      <c r="C94" s="90"/>
      <c r="D94" s="90"/>
      <c r="E94" s="90"/>
      <c r="F94" s="92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379</v>
      </c>
      <c r="BC94" s="715" t="s">
        <v>371</v>
      </c>
      <c r="BD94" s="716" t="s">
        <v>372</v>
      </c>
      <c r="BE94" s="716" t="s">
        <v>373</v>
      </c>
      <c r="BF94" s="716" t="s">
        <v>374</v>
      </c>
      <c r="BG94" s="716" t="s">
        <v>375</v>
      </c>
      <c r="BH94" s="717" t="s">
        <v>378</v>
      </c>
      <c r="BI94" s="718" t="e">
        <f>#REF!*1.45</f>
        <v>#REF!</v>
      </c>
      <c r="BJ94" s="719">
        <v>113.29</v>
      </c>
      <c r="BK94" s="720">
        <v>113.29</v>
      </c>
      <c r="BL94" s="721">
        <v>157.35</v>
      </c>
    </row>
    <row r="95" spans="1:64" ht="15.95" hidden="1" customHeight="1" x14ac:dyDescent="0.15">
      <c r="B95" s="91" t="s">
        <v>471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380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 t="e">
        <f>#REF!*1.45</f>
        <v>#REF!</v>
      </c>
      <c r="BJ95" s="719">
        <v>126.89</v>
      </c>
      <c r="BK95" s="720">
        <v>129.88999999999999</v>
      </c>
      <c r="BL95" s="721">
        <v>176.23</v>
      </c>
    </row>
    <row r="96" spans="1:64" ht="15.95" hidden="1" customHeight="1" x14ac:dyDescent="0.15">
      <c r="B96" s="93" t="s">
        <v>472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328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A129*1.45</f>
        <v>0</v>
      </c>
      <c r="BJ96" s="719">
        <v>80.64</v>
      </c>
      <c r="BK96" s="720">
        <v>100</v>
      </c>
      <c r="BL96" s="721">
        <v>112</v>
      </c>
    </row>
    <row r="97" spans="2:64" ht="15.95" hidden="1" customHeight="1" x14ac:dyDescent="0.15">
      <c r="B97" s="93" t="s">
        <v>487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382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A130*1.45</f>
        <v>0</v>
      </c>
      <c r="BJ97" s="719">
        <v>90.32</v>
      </c>
      <c r="BK97" s="720">
        <v>100</v>
      </c>
      <c r="BL97" s="721">
        <v>125.44</v>
      </c>
    </row>
    <row r="98" spans="2:64" ht="15.95" hidden="1" customHeight="1" thickBot="1" x14ac:dyDescent="0.2">
      <c r="B98" s="94" t="s">
        <v>484</v>
      </c>
      <c r="C98" s="95"/>
      <c r="D98" s="95"/>
      <c r="E98" s="95"/>
      <c r="F98" s="96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383</v>
      </c>
      <c r="BC98" s="715" t="s">
        <v>372</v>
      </c>
      <c r="BD98" s="716" t="s">
        <v>373</v>
      </c>
      <c r="BE98" s="716" t="s">
        <v>374</v>
      </c>
      <c r="BF98" s="716" t="s">
        <v>375</v>
      </c>
      <c r="BG98" s="716" t="s">
        <v>378</v>
      </c>
      <c r="BH98" s="717" t="s">
        <v>381</v>
      </c>
      <c r="BI98" s="718">
        <f>A131*1.45</f>
        <v>0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30"/>
      <c r="C99" s="5"/>
      <c r="D99" s="5"/>
      <c r="E99" s="5"/>
      <c r="F99" s="5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384</v>
      </c>
      <c r="BC99" s="715" t="s">
        <v>372</v>
      </c>
      <c r="BD99" s="716" t="s">
        <v>373</v>
      </c>
      <c r="BE99" s="716" t="s">
        <v>374</v>
      </c>
      <c r="BF99" s="716" t="s">
        <v>375</v>
      </c>
      <c r="BG99" s="716" t="s">
        <v>378</v>
      </c>
      <c r="BH99" s="717" t="s">
        <v>381</v>
      </c>
      <c r="BI99" s="718">
        <f>A132*1.45</f>
        <v>1.45</v>
      </c>
      <c r="BJ99" s="719">
        <v>113.29</v>
      </c>
      <c r="BK99" s="720">
        <v>113.29</v>
      </c>
      <c r="BL99" s="721">
        <v>157.35</v>
      </c>
    </row>
    <row r="100" spans="2:64" ht="13.5" hidden="1" x14ac:dyDescent="0.15">
      <c r="B100" s="30"/>
      <c r="C100" s="5"/>
      <c r="D100" s="5"/>
      <c r="E100" s="5"/>
      <c r="F100" s="5"/>
      <c r="G100" s="5"/>
      <c r="H100" s="5"/>
      <c r="I100" s="5"/>
      <c r="J100" s="74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385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>
        <f>A132*1.45</f>
        <v>1.45</v>
      </c>
      <c r="BJ100" s="719">
        <v>126.89</v>
      </c>
      <c r="BK100" s="720">
        <v>126.89</v>
      </c>
      <c r="BL100" s="721">
        <v>176.23</v>
      </c>
    </row>
    <row r="101" spans="2:64" ht="13.5" hidden="1" x14ac:dyDescent="0.15">
      <c r="B101" s="1849" t="s">
        <v>508</v>
      </c>
      <c r="C101" s="1849"/>
      <c r="D101" s="1849"/>
      <c r="E101" s="1849"/>
      <c r="H101" s="5"/>
      <c r="I101" s="37"/>
      <c r="J101" s="5"/>
      <c r="K101" s="27"/>
      <c r="L101" s="6"/>
      <c r="M101" s="27"/>
      <c r="N101" s="60"/>
      <c r="O101" s="255"/>
      <c r="AD101" s="70"/>
      <c r="AE101" s="70"/>
      <c r="AF101" s="70"/>
      <c r="AG101" s="69"/>
      <c r="AZ101" s="11"/>
      <c r="BA101" s="85"/>
      <c r="BB101" s="714" t="s">
        <v>386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A133*1.45</f>
        <v>2.9</v>
      </c>
      <c r="BJ101" s="719">
        <v>126.89</v>
      </c>
      <c r="BK101" s="720">
        <v>126.89</v>
      </c>
      <c r="BL101" s="721">
        <v>176.23</v>
      </c>
    </row>
    <row r="102" spans="2:64" hidden="1" thickBot="1" x14ac:dyDescent="0.2">
      <c r="B102" s="34" t="s">
        <v>463</v>
      </c>
      <c r="C102" s="17"/>
      <c r="D102" s="21"/>
      <c r="E102" s="36"/>
      <c r="F102" s="5"/>
      <c r="G102" s="28"/>
      <c r="H102" s="5"/>
      <c r="I102" s="17" t="s">
        <v>463</v>
      </c>
      <c r="J102" s="5">
        <f>IF(E2=B92,H103,IF(E2=B94,H103,IF(E2=B96,H103,IF(E2=B97,H103,"NÃO CABE"))))</f>
        <v>0</v>
      </c>
      <c r="K102" s="27"/>
      <c r="L102" s="6" t="s">
        <v>510</v>
      </c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Z102" s="11"/>
      <c r="BA102" s="85"/>
      <c r="BB102" s="714" t="s">
        <v>387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 t="e">
        <f>A134*1.45</f>
        <v>#VALUE!</v>
      </c>
      <c r="BJ102" s="719">
        <v>142.12</v>
      </c>
      <c r="BK102" s="720">
        <v>142.12</v>
      </c>
      <c r="BL102" s="721">
        <v>197.38</v>
      </c>
    </row>
    <row r="103" spans="2:64" hidden="1" thickBot="1" x14ac:dyDescent="0.2">
      <c r="B103" s="34" t="s">
        <v>485</v>
      </c>
      <c r="C103" s="17"/>
      <c r="D103" s="16"/>
      <c r="E103" s="57">
        <f>IF($F$103="NÃO CABE","NÃO CABE",IF($G$10="X",$F$103/30,$F$103/35))</f>
        <v>0</v>
      </c>
      <c r="F103" s="10">
        <f>IF(E2="VOLUNTÁRIA ESPECIAL","NÃO CABE",IF(E2="VOLUNTÁRIA INTEGRAL","NÃO CABE",IF(E2="COMPULSÓRIA INTEGRAL","NÃO CABE",IF(E2="INVALIDEZ INTEGRAL","NÃO CABE",ROUNDDOWN(F61/365,0)))))</f>
        <v>0</v>
      </c>
      <c r="G103" s="28"/>
      <c r="H103" s="14">
        <f>IF(E103&gt;1,1,E103)</f>
        <v>0</v>
      </c>
      <c r="I103" s="17" t="s">
        <v>485</v>
      </c>
      <c r="J103" s="5" t="str">
        <f>IF($E$2=$B$92,H103,IF($E$2=$B$94,H103,IF($E$2=$B$96,H103,"NÃO CABE")))</f>
        <v>NÃO CABE</v>
      </c>
      <c r="K103" s="27"/>
      <c r="L103" s="57">
        <f>IF($F$103="NÃO CABE","NÃO CABE",IF($G$10="X",$F$61/10950,$F$61/12775))</f>
        <v>0</v>
      </c>
      <c r="M103" s="14">
        <f>IF(L103&gt;1,1,L103)</f>
        <v>0</v>
      </c>
      <c r="N103" s="5" t="str">
        <f>IF($E$2=$B$92,M103,IF($E$2=$B$94,M103,IF($E$2=$B$96,M103,"NÃO CABE")))</f>
        <v>NÃO CABE</v>
      </c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Z103" s="11"/>
      <c r="BA103" s="85"/>
      <c r="BB103" s="714" t="s">
        <v>389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A136*1.45</f>
        <v>5.8</v>
      </c>
      <c r="BJ103" s="719">
        <v>90.32</v>
      </c>
      <c r="BK103" s="720">
        <v>100</v>
      </c>
      <c r="BL103" s="721">
        <v>125.44</v>
      </c>
    </row>
    <row r="104" spans="2:64" hidden="1" thickBot="1" x14ac:dyDescent="0.2">
      <c r="B104" s="34" t="s">
        <v>476</v>
      </c>
      <c r="C104" s="17"/>
      <c r="D104" s="16"/>
      <c r="E104" s="58" t="str">
        <f>IF(E2=B97,IF(C65&gt;0,"TEMPO A CUMPRIR",IF(F104=1,75%,IF(F104=2,80%,IF(F104=3,85%,IF(F104=4,90%,IF(F104=5,95%,IF(F104&gt;=6,100%,70%))))))),"NÃO CABE")</f>
        <v>TEMPO A CUMPRIR</v>
      </c>
      <c r="F104" s="10">
        <f>IF(G10="X",ROUNDDOWN((F61-(25*365+E43))/365,0),ROUNDDOWN((F61-(30*365+E43))/365,0))</f>
        <v>-30</v>
      </c>
      <c r="G104" s="28"/>
      <c r="I104" s="17" t="s">
        <v>476</v>
      </c>
      <c r="J104" s="5" t="str">
        <f>IF(E2=B97,E104,"NÃO CABE")</f>
        <v>TEMPO A CUMPRIR</v>
      </c>
      <c r="K104" s="27"/>
      <c r="L104" s="65"/>
      <c r="M104" s="66">
        <f>O10</f>
        <v>0</v>
      </c>
      <c r="N104" s="60">
        <v>38037</v>
      </c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Z104" s="11"/>
      <c r="BA104" s="85"/>
      <c r="BB104" s="714" t="s">
        <v>390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/>
      <c r="BJ104" s="719"/>
      <c r="BK104" s="720"/>
      <c r="BL104" s="721"/>
    </row>
    <row r="105" spans="2:64" hidden="1" thickBot="1" x14ac:dyDescent="0.2">
      <c r="B105" s="35" t="s">
        <v>464</v>
      </c>
      <c r="C105" s="33"/>
      <c r="D105" s="16"/>
      <c r="E105" s="36" t="s">
        <v>457</v>
      </c>
      <c r="F105" s="5">
        <f>IF($D$12="X",50-$N$11,55-$N$11)</f>
        <v>55</v>
      </c>
      <c r="G105" s="28"/>
      <c r="H105" s="59" t="str">
        <f>IF($G$10="X",IF($O$9&gt;=17532,IF($O$10&gt;=38718,1-($F$105*0.05),1-($F$105*0.035)),"NÃO CABE"),IF($O$9&gt;=19359,IF($O$10&gt;=38718,1-($F$106*0.05),1-($F$106*0.035)),"NÃO CABE"))</f>
        <v>NÃO CABE</v>
      </c>
      <c r="I105" s="33" t="s">
        <v>464</v>
      </c>
      <c r="J105" s="61" t="str">
        <f>IF(E2=B98,H106,"NÃO CABE")</f>
        <v>NÃO CABE</v>
      </c>
      <c r="K105" s="27"/>
      <c r="L105" s="6"/>
      <c r="M105" s="27"/>
      <c r="N105" s="60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391</v>
      </c>
      <c r="BC105" s="715" t="s">
        <v>373</v>
      </c>
      <c r="BD105" s="716" t="s">
        <v>374</v>
      </c>
      <c r="BE105" s="716" t="s">
        <v>375</v>
      </c>
      <c r="BF105" s="716" t="s">
        <v>378</v>
      </c>
      <c r="BG105" s="716" t="s">
        <v>381</v>
      </c>
      <c r="BH105" s="717" t="s">
        <v>388</v>
      </c>
      <c r="BI105" s="718" t="e">
        <f>A138*1.45</f>
        <v>#VALUE!</v>
      </c>
      <c r="BJ105" s="719">
        <v>101.15</v>
      </c>
      <c r="BK105" s="720">
        <v>101.15</v>
      </c>
      <c r="BL105" s="721">
        <v>140.4</v>
      </c>
    </row>
    <row r="106" spans="2:64" ht="13.5" hidden="1" x14ac:dyDescent="0.15">
      <c r="B106" s="39">
        <v>38717</v>
      </c>
      <c r="C106" s="11">
        <v>38717</v>
      </c>
      <c r="D106" s="16"/>
      <c r="E106" s="36" t="s">
        <v>456</v>
      </c>
      <c r="F106" s="5">
        <f>IF($D$12="X",55-$N$11,60-$N$11)</f>
        <v>60</v>
      </c>
      <c r="G106" s="28"/>
      <c r="H106" s="14">
        <f>IF(H105="NÃO CABE",0,IF(H105&gt;1,1,H105))</f>
        <v>0</v>
      </c>
      <c r="I106" s="18"/>
      <c r="J106" s="5"/>
      <c r="K106" s="27"/>
      <c r="L106" s="6"/>
      <c r="M106" s="27"/>
      <c r="N106" s="60"/>
      <c r="O106" s="255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S106" s="69"/>
      <c r="AX106" s="11"/>
      <c r="AY106" s="11"/>
      <c r="AZ106" s="11"/>
      <c r="BA106" s="85"/>
      <c r="BB106" s="714" t="s">
        <v>392</v>
      </c>
      <c r="BC106" s="715" t="s">
        <v>373</v>
      </c>
      <c r="BD106" s="716" t="s">
        <v>374</v>
      </c>
      <c r="BE106" s="716" t="s">
        <v>375</v>
      </c>
      <c r="BF106" s="716" t="s">
        <v>378</v>
      </c>
      <c r="BG106" s="716" t="s">
        <v>381</v>
      </c>
      <c r="BH106" s="717" t="s">
        <v>388</v>
      </c>
      <c r="BI106" s="718"/>
      <c r="BJ106" s="719"/>
      <c r="BK106" s="720"/>
      <c r="BL106" s="721"/>
    </row>
    <row r="107" spans="2:64" ht="13.5" hidden="1" x14ac:dyDescent="0.15">
      <c r="B107" s="39">
        <v>38718</v>
      </c>
      <c r="C107" s="11">
        <v>38718</v>
      </c>
      <c r="D107" s="8"/>
      <c r="E107" s="63"/>
      <c r="F107" s="6"/>
      <c r="G107" s="6"/>
      <c r="H107" s="6"/>
      <c r="I107" s="18"/>
      <c r="J107" s="9"/>
      <c r="K107" s="5"/>
      <c r="L107" s="6"/>
      <c r="M107" s="10"/>
      <c r="N107" s="11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393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>
        <f>A139*1.45</f>
        <v>8.6999999999999993</v>
      </c>
      <c r="BJ107" s="719">
        <v>113.29</v>
      </c>
      <c r="BK107" s="720">
        <v>113.29</v>
      </c>
      <c r="BL107" s="721">
        <v>157.35</v>
      </c>
    </row>
    <row r="108" spans="2:64" ht="13.5" hidden="1" x14ac:dyDescent="0.15">
      <c r="B108" s="62"/>
      <c r="C108" s="38">
        <v>38097</v>
      </c>
      <c r="D108" s="8"/>
      <c r="E108" s="5"/>
      <c r="F108" s="6"/>
      <c r="G108" s="6"/>
      <c r="H108" s="6"/>
      <c r="I108" s="6"/>
      <c r="J108" s="9"/>
      <c r="K108" s="5"/>
      <c r="L108" s="6"/>
      <c r="M108" s="10"/>
      <c r="N108" s="11"/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394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A140*1.45</f>
        <v>10.15</v>
      </c>
      <c r="BJ108" s="719">
        <v>113.29</v>
      </c>
      <c r="BK108" s="720">
        <v>113.29</v>
      </c>
      <c r="BL108" s="721">
        <v>157.35</v>
      </c>
    </row>
    <row r="109" spans="2:64" ht="13.5" hidden="1" x14ac:dyDescent="0.15">
      <c r="B109" s="6"/>
      <c r="C109" s="38"/>
      <c r="D109" s="8"/>
      <c r="E109" s="5"/>
      <c r="F109" s="6"/>
      <c r="G109" s="6"/>
      <c r="H109" s="6"/>
      <c r="I109" s="6"/>
      <c r="J109" s="9"/>
      <c r="K109" s="5"/>
      <c r="L109" s="6"/>
      <c r="M109" s="10"/>
      <c r="N109" s="11"/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14" t="s">
        <v>395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1849" t="s">
        <v>477</v>
      </c>
      <c r="C110" s="1849"/>
      <c r="D110" s="1849"/>
      <c r="E110" s="1849"/>
      <c r="F110" s="1849"/>
      <c r="G110" s="1849"/>
      <c r="H110" s="1849"/>
      <c r="I110" s="1849"/>
      <c r="J110" s="1849"/>
      <c r="K110" s="1849" t="s">
        <v>477</v>
      </c>
      <c r="L110" s="1849"/>
      <c r="M110" s="1849"/>
      <c r="N110" s="1849"/>
      <c r="O110" s="1849"/>
      <c r="P110" s="1849"/>
      <c r="Q110" s="1849"/>
      <c r="R110" s="1849"/>
      <c r="S110" s="1849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399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13.049999999999999</v>
      </c>
      <c r="BJ110" s="719">
        <v>126.89</v>
      </c>
      <c r="BK110" s="720">
        <v>126.89</v>
      </c>
      <c r="BL110" s="721">
        <v>176.23</v>
      </c>
    </row>
    <row r="111" spans="2:64" ht="13.5" hidden="1" x14ac:dyDescent="0.15">
      <c r="B111" s="19" t="s">
        <v>480</v>
      </c>
      <c r="C111" s="8"/>
      <c r="D111" s="8"/>
      <c r="E111" s="5"/>
      <c r="F111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1" t="s">
        <v>450</v>
      </c>
      <c r="M111" s="10"/>
      <c r="N111" s="11"/>
      <c r="O111" s="255" t="b">
        <f>IF(E2=L111,IF(K2=O3,F111,IF(K2=O4,F113,IF(K2=O6,F111,IF(K2=O7,F112,IF(K2=O2,"NADA A CRITICAR","REANALISAR FUNDAMENTAÇÃO E/OU MODALIDADE"))))))</f>
        <v>0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400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/>
      <c r="BJ111" s="719"/>
      <c r="BK111" s="720"/>
      <c r="BL111" s="721"/>
    </row>
    <row r="112" spans="2:64" ht="13.5" hidden="1" x14ac:dyDescent="0.15">
      <c r="B112" s="6" t="s">
        <v>481</v>
      </c>
      <c r="D112" s="10"/>
      <c r="E112" s="11"/>
      <c r="F112" s="6" t="str">
        <f>IF(G10="X",IF(O9&gt;=I125,"ATENDE LIMITE MÍNIMO DE IDADE","NÃO ATENDE LIMITE MÍNIMO DE IDADE"),IF(O9&gt;=J125,"ATENDE LIMITE MÍNIMO DE IDADE","NÃO ATENDE LIMITE MÍNIMO DE IDADE"))</f>
        <v>NÃO ATENDE LIMITE MÍNIMO DE IDADE</v>
      </c>
      <c r="G112" s="6"/>
      <c r="H112" s="6"/>
      <c r="I112" s="6"/>
      <c r="J112" s="9"/>
      <c r="L112" s="41" t="s">
        <v>455</v>
      </c>
      <c r="O112" s="255" t="str">
        <f>IF(E2=L112,IF(K2=O3,F114,IF(K2=O4,F117,IF(K2=O6,F114,IF(K2=O2,"NADA A CRITICAR","REANALISAR FUNDAMENTAÇÃO E/OU MODALIDADE")))),"REANALISAR FUNDAMENTAÇÃO E/OU MODALIDADE")</f>
        <v>REANALISAR FUNDAMENTAÇÃO E/OU MODALIDADE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401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>
        <f>A145*1.45</f>
        <v>15.95</v>
      </c>
      <c r="BJ112" s="719">
        <v>142.12</v>
      </c>
      <c r="BK112" s="720">
        <v>142.12</v>
      </c>
      <c r="BL112" s="721">
        <v>197.38</v>
      </c>
    </row>
    <row r="113" spans="2:64" ht="13.5" hidden="1" x14ac:dyDescent="0.15">
      <c r="B113" s="20" t="s">
        <v>482</v>
      </c>
      <c r="F113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3" s="5"/>
      <c r="L113" s="41" t="s">
        <v>467</v>
      </c>
      <c r="O113" s="254" t="str">
        <f>IF(E2=L113,IF(K2=O3,F115,IF(K2=O2,F115,"REANALISAR FUNDAMENTAÇÃO E/OU MODALIDADE")),"REANALISAR FUNDAMENTAÇÃO E/OU MODALIDADE")</f>
        <v>REANALISAR FUNDAMENTAÇÃO E/OU MODALIDADE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2" t="s">
        <v>402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2:64" ht="13.5" hidden="1" x14ac:dyDescent="0.15">
      <c r="B114" s="6" t="s">
        <v>478</v>
      </c>
      <c r="C114" s="8"/>
      <c r="D114" s="8"/>
      <c r="E114" s="5"/>
      <c r="F114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4" s="6"/>
      <c r="H114" s="6"/>
      <c r="I114" s="6"/>
      <c r="J114" s="9"/>
      <c r="K114" s="5"/>
      <c r="L114" s="11" t="s">
        <v>487</v>
      </c>
      <c r="M114" s="10"/>
      <c r="N114" s="11"/>
      <c r="O114" s="255" t="str">
        <f>IF(E2=L114,IF(K2=O4,F116,IF(K2=O2,"NADA A CRITICAR","REANALISAR FUNDAMENTAÇÃO E/OU MODALIDADE")),"REANALISAR FUNDAMENTAÇÃO E/OU MODALIDADE")</f>
        <v>NADA A CRITICAR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403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>
        <f>A147*1.45</f>
        <v>18.849999999999998</v>
      </c>
      <c r="BJ114" s="719">
        <v>159.16999999999999</v>
      </c>
      <c r="BK114" s="720">
        <v>159.16999999999999</v>
      </c>
      <c r="BL114" s="721">
        <v>221.06</v>
      </c>
    </row>
    <row r="115" spans="2:64" ht="13.5" hidden="1" x14ac:dyDescent="0.15">
      <c r="B115" s="6" t="s">
        <v>479</v>
      </c>
      <c r="C115" s="8"/>
      <c r="D115" s="8"/>
      <c r="E115" s="5"/>
      <c r="F115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5" s="6"/>
      <c r="H115" s="6"/>
      <c r="I115" s="6"/>
      <c r="J115" s="9"/>
      <c r="K115" s="5"/>
      <c r="L115" s="42" t="s">
        <v>484</v>
      </c>
      <c r="M115" s="10"/>
      <c r="N115" s="11"/>
      <c r="O115" s="255" t="str">
        <f>IF(E2=L115,IF(K2=O5,F113,"REANALISAR FUNDAMENTAÇÃO E/OU MODALIDADE"),"REANALISAR FUNDAMENTAÇÃO E/OU MODALIDADE")</f>
        <v>REANALISAR FUNDAMENTAÇÃO E/OU MODALIDADE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404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20.3</v>
      </c>
      <c r="BJ115" s="719">
        <v>101.15</v>
      </c>
      <c r="BK115" s="720">
        <v>101.15</v>
      </c>
      <c r="BL115" s="721">
        <v>140.4</v>
      </c>
    </row>
    <row r="116" spans="2:64" hidden="1" x14ac:dyDescent="0.15">
      <c r="B116" s="20" t="s">
        <v>483</v>
      </c>
      <c r="C116" s="43"/>
      <c r="D116" s="43"/>
      <c r="E116" s="44"/>
      <c r="F116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6" s="44"/>
      <c r="H116" s="44"/>
      <c r="I116" s="44"/>
      <c r="J116" s="44"/>
      <c r="K116" s="45"/>
      <c r="L116" s="46" t="s">
        <v>488</v>
      </c>
      <c r="M116" s="46"/>
      <c r="N116" s="47"/>
      <c r="O116" s="255" t="str">
        <f>IF($K$2=$O$2,IF($E$2=$B$93,$F$118,IF(E2=$B$94,$F$118,IF($E$2=$B$95,"EX OFFICIO",IF($E$2=$B$96,"EX OFFICIO","REANALISAR FUNDAMENTAÇÃO E/OU MODALIDADE")))),IF($K$2=$O$3,IF($E$2=$B$93,$F$118,IF($E$2=$B$94,$F$118,IF($E$2=$B$95,"EX OFFICIO",IF($E$2=$B$96,"EX OFFICIO","REANALISAR FUNDAMENTAÇÃO E/OU MODADALIDADE"))))))</f>
        <v>REANALISAR FUNDAMENTAÇÃO E/OU MODALIDADE</v>
      </c>
      <c r="P116" s="3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405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20" t="s">
        <v>486</v>
      </c>
      <c r="C117" s="43"/>
      <c r="D117" s="43"/>
      <c r="E117" s="44"/>
      <c r="F117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7" s="44"/>
      <c r="H117" s="44"/>
      <c r="I117" s="44"/>
      <c r="J117" s="44"/>
      <c r="K117" s="46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406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2:64" ht="13.5" hidden="1" x14ac:dyDescent="0.15">
      <c r="B118" s="44" t="s">
        <v>503</v>
      </c>
      <c r="C118" s="43"/>
      <c r="D118" s="43"/>
      <c r="E118" s="44"/>
      <c r="F118" s="44" t="str">
        <f>IF($N$11&gt;=70,"ATENDE LIMITE MÍNIMO DE IDADE","NÃO ATENDE LIMITE MÍNIMO DE IDADE")</f>
        <v>NÃO ATENDE LIMITE MÍNIMO DE IDADE</v>
      </c>
      <c r="G118" s="44"/>
      <c r="H118" s="44"/>
      <c r="I118" s="44"/>
      <c r="J118" s="44"/>
      <c r="K118" s="46"/>
      <c r="L118" s="48"/>
      <c r="M118" s="48"/>
      <c r="N118" s="47"/>
      <c r="O118" s="255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3" t="s">
        <v>407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44"/>
      <c r="C119" s="43"/>
      <c r="D119" s="43"/>
      <c r="E119" s="44"/>
      <c r="F119" s="44"/>
      <c r="G119" s="44"/>
      <c r="H119" s="44"/>
      <c r="I119" s="44"/>
      <c r="J119" s="44"/>
      <c r="K119" s="46"/>
      <c r="L119" s="49" t="s">
        <v>498</v>
      </c>
      <c r="M119" s="11"/>
      <c r="N119" s="11"/>
      <c r="O119" s="255"/>
      <c r="P119" s="79"/>
      <c r="Q119" s="79"/>
      <c r="R119" s="79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23" t="s">
        <v>408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2:64" ht="13.5" hidden="1" x14ac:dyDescent="0.15">
      <c r="B120" s="50"/>
      <c r="C120" s="50"/>
      <c r="D120" s="50"/>
      <c r="E120" s="50"/>
      <c r="F120" s="50"/>
      <c r="G120" s="50"/>
      <c r="H120" s="50"/>
      <c r="I120" s="50"/>
      <c r="J120" s="50"/>
      <c r="K120" s="51"/>
      <c r="L120" s="11" t="s">
        <v>499</v>
      </c>
      <c r="M120" s="11"/>
      <c r="N120" s="11"/>
      <c r="O120" s="255"/>
      <c r="P120" s="79"/>
      <c r="Q120" s="86" t="b">
        <f>IF(K2=O4,IF(E2=B90,R120,IF(E2=B91,R120,IF(E2=B97,R120,IF(G10="X",(30*365)-F61,(35*365)-F61)))),IF(K2=O5,IF(E2=B98,R120,IF(G10="X",(30*365)-F61,(35*365)-F61))))</f>
        <v>0</v>
      </c>
      <c r="R120" s="86" t="b">
        <f>IF($K$2=$O$4,IF($F$61&gt;=($F$37+$E$44),0,($F$37+$E$44)-$F$61),IF($K$2=$O$5,IF($F$61&gt;=($F$37+$E$44),0,($F$37+$E$44)-$F$61)))</f>
        <v>0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23" t="s">
        <v>409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2:64" ht="13.5" hidden="1" x14ac:dyDescent="0.15">
      <c r="B121" s="52"/>
      <c r="C121" s="52"/>
      <c r="D121" s="52"/>
      <c r="E121" s="52"/>
      <c r="F121" s="52"/>
      <c r="G121" s="52"/>
      <c r="H121" s="52"/>
      <c r="I121" s="52"/>
      <c r="J121" s="52"/>
      <c r="K121" s="53"/>
      <c r="L121" s="42" t="s">
        <v>500</v>
      </c>
      <c r="M121" s="11"/>
      <c r="N121" s="11"/>
      <c r="O121" s="255"/>
      <c r="P121" s="79"/>
      <c r="Q121" s="86">
        <f>IF(E2="VOLUNTÁRIA ESPECIAL",IF(D12="X",IF(G10="X",(25*365)-F61,(30*365)-F61)),IF(G10="X",(30*365)-F61,(35*365)-F61))</f>
        <v>12775</v>
      </c>
      <c r="R121" s="79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23" t="s">
        <v>410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17" t="s">
        <v>463</v>
      </c>
      <c r="M122" s="11"/>
      <c r="N122" s="11"/>
      <c r="O122" s="255" t="s">
        <v>504</v>
      </c>
      <c r="P122" s="79"/>
      <c r="Q122" s="87"/>
      <c r="R122" s="86">
        <f>IF(E2="VOLUNTÁRIA ESPECIAL",IF(D12="X",IF(G10="X",(25*365)-$F$37,(30*365)-$F$37)),IF(G10="X",(30*365)-$F$37,(35*365)-$F$37))</f>
        <v>12775</v>
      </c>
      <c r="S122" s="11"/>
      <c r="T122" s="5"/>
      <c r="U122" s="5"/>
      <c r="V122" s="5"/>
      <c r="W122" s="5"/>
      <c r="X122" s="5"/>
      <c r="Y122" s="5"/>
      <c r="Z122" s="5"/>
      <c r="AA122" s="5"/>
      <c r="AB122" s="5"/>
      <c r="AC122" s="69"/>
      <c r="AD122" s="70"/>
      <c r="AE122" s="70"/>
      <c r="AF122" s="70"/>
      <c r="AG122" s="69"/>
      <c r="AX122" s="11"/>
      <c r="AY122" s="11"/>
      <c r="AZ122" s="5"/>
      <c r="BA122" s="724"/>
      <c r="BB122" s="723" t="s">
        <v>411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customHeight="1" x14ac:dyDescent="0.15">
      <c r="B123" s="6"/>
      <c r="C123" s="1943" t="s">
        <v>459</v>
      </c>
      <c r="D123" s="1943"/>
      <c r="E123" s="1943"/>
      <c r="F123" s="1943" t="s">
        <v>460</v>
      </c>
      <c r="G123" s="1943"/>
      <c r="H123" s="1943"/>
      <c r="I123" s="1943" t="s">
        <v>461</v>
      </c>
      <c r="J123" s="1943"/>
      <c r="K123" s="51"/>
      <c r="L123" s="51"/>
      <c r="M123" s="54"/>
      <c r="N123" s="54"/>
      <c r="O123" s="255" t="s">
        <v>487</v>
      </c>
      <c r="P123" s="78"/>
      <c r="Q123" s="78"/>
      <c r="R123" s="86">
        <f>IF(E2=B97,IF(G10="X",(25*365)-$F$37,(30*365)-$F$37),IF(G10="X",(30*365)-$F$37,(35*365)-$F$37))</f>
        <v>10950</v>
      </c>
      <c r="AX123" s="11"/>
      <c r="AY123" s="11"/>
      <c r="BB123" s="723" t="s">
        <v>412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2.75" hidden="1" customHeight="1" x14ac:dyDescent="0.15">
      <c r="B124" s="40" t="s">
        <v>454</v>
      </c>
      <c r="C124" s="40" t="s">
        <v>457</v>
      </c>
      <c r="D124" s="8"/>
      <c r="E124" s="5" t="s">
        <v>456</v>
      </c>
      <c r="F124" s="6" t="s">
        <v>457</v>
      </c>
      <c r="G124" s="6"/>
      <c r="H124" s="6" t="s">
        <v>456</v>
      </c>
      <c r="I124" s="8" t="s">
        <v>457</v>
      </c>
      <c r="J124" s="8" t="s">
        <v>456</v>
      </c>
      <c r="K124" s="51"/>
      <c r="L124" s="18" t="s">
        <v>466</v>
      </c>
      <c r="M124" s="54"/>
      <c r="N124" s="54"/>
      <c r="O124" s="255" t="s">
        <v>509</v>
      </c>
      <c r="P124" s="78"/>
      <c r="Q124" s="86">
        <f>IF(K2=O7,IF($E$2=B90,IF($G$10="X",(30*365)-$F$61,(35*365)-$F$61)),IF($G$10="X",(30*365)-$F$61,(35*365)-$F$61))</f>
        <v>12775</v>
      </c>
      <c r="R124" s="78"/>
      <c r="AX124" s="11"/>
      <c r="AY124" s="11"/>
      <c r="BB124" s="723" t="s">
        <v>413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customHeight="1" x14ac:dyDescent="0.15">
      <c r="B125" s="16" t="s">
        <v>450</v>
      </c>
      <c r="C125" s="55">
        <f>30*365</f>
        <v>10950</v>
      </c>
      <c r="D125" s="55"/>
      <c r="E125" s="55">
        <f>35*365</f>
        <v>12775</v>
      </c>
      <c r="F125" s="55">
        <v>20089</v>
      </c>
      <c r="G125" s="55"/>
      <c r="H125" s="55">
        <v>21914</v>
      </c>
      <c r="I125" s="55">
        <f>F125-C128</f>
        <v>31039</v>
      </c>
      <c r="J125" s="55">
        <f>H125-E128</f>
        <v>34689</v>
      </c>
      <c r="K125" s="51"/>
      <c r="L125" s="51"/>
      <c r="M125" s="54"/>
      <c r="N125" s="54"/>
      <c r="P125" s="78"/>
      <c r="Q125" s="78"/>
      <c r="R125" s="78"/>
      <c r="AX125" s="11"/>
      <c r="AY125" s="11"/>
      <c r="BB125" s="723" t="s">
        <v>414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2.75" hidden="1" customHeight="1" x14ac:dyDescent="0.15">
      <c r="B126" s="16" t="s">
        <v>455</v>
      </c>
      <c r="C126" s="47">
        <f>25*365</f>
        <v>9125</v>
      </c>
      <c r="D126" s="47"/>
      <c r="E126" s="47">
        <f>30*365</f>
        <v>10950</v>
      </c>
      <c r="F126" s="55">
        <v>18264</v>
      </c>
      <c r="G126" s="55"/>
      <c r="H126" s="55">
        <v>20089</v>
      </c>
      <c r="I126" s="47">
        <f>ROUNDDOWN(I125/365,0)</f>
        <v>85</v>
      </c>
      <c r="J126" s="47">
        <f>ROUNDDOWN(J125/365,0)</f>
        <v>95</v>
      </c>
      <c r="K126" s="51"/>
      <c r="L126" s="51"/>
      <c r="M126" s="54"/>
      <c r="N126" s="54"/>
      <c r="P126" s="78"/>
      <c r="Q126" s="78"/>
      <c r="R126" s="78"/>
      <c r="AX126" s="11"/>
      <c r="AY126" s="11"/>
      <c r="BB126" s="723" t="s">
        <v>415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2.75" hidden="1" customHeight="1" x14ac:dyDescent="0.15">
      <c r="B127" s="48"/>
      <c r="C127" s="48"/>
      <c r="D127" s="48"/>
      <c r="E127" s="46"/>
      <c r="F127" s="48"/>
      <c r="G127" s="48"/>
      <c r="H127" s="48"/>
      <c r="I127" s="48"/>
      <c r="J127" s="46"/>
      <c r="K127" s="51"/>
      <c r="L127" s="51"/>
      <c r="M127" s="54"/>
      <c r="N127" s="54"/>
      <c r="AX127" s="5"/>
      <c r="AY127" s="5"/>
      <c r="BB127" s="723" t="s">
        <v>416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2.75" hidden="1" customHeight="1" x14ac:dyDescent="0.15">
      <c r="B128" s="48" t="s">
        <v>458</v>
      </c>
      <c r="C128" s="56">
        <f>ROUNDDOWN((F61-C125),0)</f>
        <v>-10950</v>
      </c>
      <c r="D128" s="48"/>
      <c r="E128" s="56">
        <f>ROUNDDOWN((F61-E125),0)</f>
        <v>-12775</v>
      </c>
      <c r="F128" s="48"/>
      <c r="G128" s="48"/>
      <c r="H128" s="48"/>
      <c r="I128" s="48"/>
      <c r="J128" s="46"/>
      <c r="K128" s="51"/>
      <c r="L128" s="51"/>
      <c r="M128" s="54"/>
      <c r="N128" s="54"/>
      <c r="BB128" s="723" t="s">
        <v>417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4"/>
      <c r="N129" s="54"/>
      <c r="BB129" s="723" t="s">
        <v>418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2.75" hidden="1" customHeight="1" thickBot="1" x14ac:dyDescent="0.2">
      <c r="B130" s="1848" t="s">
        <v>548</v>
      </c>
      <c r="C130" s="1848"/>
      <c r="D130" s="1848"/>
      <c r="E130" s="1848"/>
      <c r="F130" s="1848"/>
      <c r="G130" s="1848"/>
      <c r="H130" s="1848"/>
      <c r="I130" s="1848"/>
      <c r="J130" s="1848"/>
      <c r="K130" s="1848"/>
      <c r="L130" s="1848"/>
      <c r="M130" s="1848"/>
      <c r="N130" s="1848"/>
      <c r="BB130" s="312"/>
      <c r="BC130" s="313"/>
      <c r="BD130" s="314"/>
      <c r="BE130" s="314"/>
      <c r="BF130" s="315"/>
      <c r="BG130" s="315"/>
      <c r="BH130" s="316"/>
      <c r="BI130" s="317">
        <f>A150*1.45</f>
        <v>23.2</v>
      </c>
      <c r="BJ130" s="318">
        <v>113.29</v>
      </c>
      <c r="BK130" s="319">
        <v>113.29</v>
      </c>
      <c r="BL130" s="320">
        <v>157.35</v>
      </c>
    </row>
    <row r="131" spans="1:64" ht="12.75" hidden="1" customHeight="1" x14ac:dyDescent="0.15">
      <c r="B131" s="51" t="s">
        <v>656</v>
      </c>
      <c r="C131" s="21" t="s">
        <v>657</v>
      </c>
      <c r="D131" s="101">
        <v>36145</v>
      </c>
      <c r="E131" s="101">
        <v>37986</v>
      </c>
      <c r="F131" s="102">
        <v>37986</v>
      </c>
      <c r="G131" s="246" t="s">
        <v>608</v>
      </c>
      <c r="H131" s="51" t="s">
        <v>609</v>
      </c>
      <c r="I131" s="51" t="s">
        <v>610</v>
      </c>
      <c r="J131" s="21" t="s">
        <v>612</v>
      </c>
      <c r="M131" s="40" t="s">
        <v>658</v>
      </c>
      <c r="P131" s="109"/>
      <c r="Q131" s="110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BB131" s="321"/>
      <c r="BC131" s="322"/>
      <c r="BD131" s="322"/>
      <c r="BE131" s="322"/>
      <c r="BF131" s="323"/>
      <c r="BG131" s="323"/>
      <c r="BH131" s="323"/>
      <c r="BI131" s="324"/>
      <c r="BJ131" s="325"/>
      <c r="BK131" s="326"/>
      <c r="BL131" s="327"/>
    </row>
    <row r="132" spans="1:64" ht="12.75" hidden="1" customHeight="1" x14ac:dyDescent="0.15">
      <c r="A132" s="259">
        <v>1</v>
      </c>
      <c r="B132" s="107" t="s">
        <v>549</v>
      </c>
      <c r="C132" s="21" t="s">
        <v>613</v>
      </c>
      <c r="D132" s="104">
        <f>IF(ISERROR(HLOOKUP($N$34,$Q$39:$AA$40,2)),0,HLOOKUP($N$34,$Q$39:$AA$40,2))</f>
        <v>0</v>
      </c>
      <c r="E132" s="105">
        <f>IF(ISERROR(HLOOKUP($O$34,$Q$39:$AA$40,2)),0,HLOOKUP($O$34,$Q$39:$AA$40,2))</f>
        <v>0</v>
      </c>
      <c r="F132" s="106">
        <f>IF(ISERROR(HLOOKUP($O$60,$Q$39:$AA$40,2)),0,HLOOKUP($O$60,$Q$39:$AA$40,2))</f>
        <v>0</v>
      </c>
      <c r="G132" s="21" t="s">
        <v>611</v>
      </c>
      <c r="J132" s="21" t="s">
        <v>611</v>
      </c>
      <c r="M132" s="21" t="s">
        <v>659</v>
      </c>
      <c r="P132" s="328"/>
      <c r="Q132" s="328"/>
      <c r="R132" s="5"/>
      <c r="S132" s="8"/>
      <c r="T132" s="5"/>
      <c r="U132" s="5"/>
      <c r="V132" s="5"/>
      <c r="W132" s="27"/>
      <c r="X132" s="5"/>
      <c r="Y132" s="5"/>
      <c r="Z132" s="100"/>
      <c r="AA132" s="5"/>
      <c r="AB132" s="5"/>
      <c r="BB132" s="321"/>
      <c r="BC132" s="322"/>
      <c r="BD132" s="322"/>
      <c r="BE132" s="322"/>
      <c r="BF132" s="323"/>
      <c r="BG132" s="323"/>
      <c r="BH132" s="323"/>
      <c r="BI132" s="324"/>
      <c r="BJ132" s="325"/>
      <c r="BK132" s="326"/>
      <c r="BL132" s="327"/>
    </row>
    <row r="133" spans="1:64" ht="12.75" hidden="1" customHeight="1" x14ac:dyDescent="0.15">
      <c r="A133" s="259">
        <v>2</v>
      </c>
      <c r="B133" s="51" t="s">
        <v>550</v>
      </c>
      <c r="C133" s="21" t="s">
        <v>527</v>
      </c>
      <c r="D133" s="104">
        <f>IF(ISERROR(HLOOKUP($J$133,$Q$26:$AT$27,2)),0,HLOOKUP($J$133,$Q$26:$AT$27,2))</f>
        <v>0</v>
      </c>
      <c r="E133" s="105">
        <f>IF(ISERROR(HLOOKUP($K$133,$Q$26:$AT$27,2)),0,HLOOKUP($K$133,$Q$26:$AT$27,2))</f>
        <v>0</v>
      </c>
      <c r="F133" s="106">
        <f>IF(ISERROR(HLOOKUP($L$133,$Q$26:$AT$27,2)),0,HLOOKUP($L$133,$Q$26:$AT$27,2))</f>
        <v>0</v>
      </c>
      <c r="G133" s="67">
        <f>SUM($F$27:$F$32)</f>
        <v>0</v>
      </c>
      <c r="H133" s="67">
        <f>SUM($F$27:$F$32)+$J$51</f>
        <v>0</v>
      </c>
      <c r="I133" s="67">
        <f>SUM($F$27:$F$32)+$J$51+$J$60</f>
        <v>0</v>
      </c>
      <c r="J133" s="21">
        <f t="shared" ref="J133:J155" si="7">ROUNDDOWN(G133/365,0)</f>
        <v>0</v>
      </c>
      <c r="K133" s="21">
        <f t="shared" ref="K133:K155" si="8">ROUNDDOWN(H133/365,0)</f>
        <v>0</v>
      </c>
      <c r="L133" s="21">
        <f t="shared" ref="L133:L155" si="9">ROUNDDOWN(I133/365,0)</f>
        <v>0</v>
      </c>
      <c r="M133" s="21" t="s">
        <v>660</v>
      </c>
      <c r="P133" s="328"/>
      <c r="Q133" s="328"/>
      <c r="BB133" s="321"/>
      <c r="BC133" s="322"/>
      <c r="BD133" s="322"/>
      <c r="BE133" s="322"/>
      <c r="BF133" s="323"/>
      <c r="BG133" s="323"/>
      <c r="BH133" s="323"/>
      <c r="BI133" s="324"/>
      <c r="BJ133" s="325"/>
      <c r="BK133" s="326"/>
      <c r="BL133" s="327"/>
    </row>
    <row r="134" spans="1:64" ht="12.75" hidden="1" customHeight="1" x14ac:dyDescent="0.15">
      <c r="A134" s="259" t="s">
        <v>554</v>
      </c>
      <c r="B134" s="51" t="s">
        <v>615</v>
      </c>
      <c r="C134" s="21" t="s">
        <v>613</v>
      </c>
      <c r="D134" s="104">
        <f>IF(ISERROR(HLOOKUP($J$134,$Q$45:$AB$46,2)),0,HLOOKUP($J$134,$Q$45:$AB$46,2))</f>
        <v>0</v>
      </c>
      <c r="E134" s="105">
        <f>IF(ISERROR(HLOOKUP($K$134,$Q$45:$AB$46,2)),0,HLOOKUP($K$134,$Q$45:$AB$46,2))</f>
        <v>0</v>
      </c>
      <c r="F134" s="106">
        <f>IF(ISERROR(HLOOKUP($L$134,$Q$45:$AB$46,2)),0,HLOOKUP($L$134,$Q$45:$AB$46,2))</f>
        <v>0</v>
      </c>
      <c r="G134" s="67">
        <f>SUM($F$27:$F$32)</f>
        <v>0</v>
      </c>
      <c r="H134" s="67">
        <f>SUM($F$27:$F$32)+$J$51</f>
        <v>0</v>
      </c>
      <c r="I134" s="67">
        <f>SUM($F$27:$F$32)+$J$51+$J$60</f>
        <v>0</v>
      </c>
      <c r="J134" s="21">
        <f t="shared" si="7"/>
        <v>0</v>
      </c>
      <c r="K134" s="21">
        <f t="shared" si="8"/>
        <v>0</v>
      </c>
      <c r="L134" s="21">
        <f t="shared" si="9"/>
        <v>0</v>
      </c>
      <c r="M134" s="21" t="s">
        <v>660</v>
      </c>
      <c r="P134" s="328"/>
      <c r="Q134" s="328"/>
      <c r="BB134" s="321"/>
      <c r="BC134" s="322"/>
      <c r="BD134" s="322"/>
      <c r="BE134" s="322"/>
      <c r="BF134" s="323"/>
      <c r="BG134" s="323"/>
      <c r="BH134" s="323"/>
      <c r="BI134" s="324"/>
      <c r="BJ134" s="325"/>
      <c r="BK134" s="326"/>
      <c r="BL134" s="327"/>
    </row>
    <row r="135" spans="1:64" ht="12.75" hidden="1" customHeight="1" x14ac:dyDescent="0.15">
      <c r="A135" s="259">
        <v>3</v>
      </c>
      <c r="B135" s="51" t="s">
        <v>551</v>
      </c>
      <c r="C135" s="21" t="s">
        <v>613</v>
      </c>
      <c r="D135" s="104">
        <f>IF(ISERROR(HLOOKUP($J$135,$Q$48:$AB$49,2)),0,HLOOKUP($J$135,$Q$48:$AB$49,2))</f>
        <v>0</v>
      </c>
      <c r="E135" s="105">
        <f>IF(ISERROR(HLOOKUP($K$135,$Q$48:$AB$49,2)),0,HLOOKUP($K$135,$Q$48:$AB$49,2))</f>
        <v>0</v>
      </c>
      <c r="F135" s="106">
        <f>IF(ISERROR(HLOOKUP($L$135,$Q$48:$AB$49,2)),0,HLOOKUP($L$135,$Q$48:$AB$49,2))</f>
        <v>0</v>
      </c>
      <c r="G135" s="67">
        <f>SUM($F$30:$F$32)</f>
        <v>0</v>
      </c>
      <c r="H135" s="67">
        <f>SUM($F$30:$F$32)+$J$51</f>
        <v>0</v>
      </c>
      <c r="I135" s="67">
        <f>SUM($F$30:$F$32)+$J$51+$J$60</f>
        <v>0</v>
      </c>
      <c r="J135" s="21">
        <f t="shared" si="7"/>
        <v>0</v>
      </c>
      <c r="K135" s="21">
        <f t="shared" si="8"/>
        <v>0</v>
      </c>
      <c r="L135" s="21">
        <f t="shared" si="9"/>
        <v>0</v>
      </c>
      <c r="M135" s="21" t="s">
        <v>660</v>
      </c>
      <c r="P135" s="328"/>
      <c r="Q135" s="328"/>
      <c r="BB135" s="69"/>
      <c r="BC135" s="69"/>
      <c r="BD135" s="69"/>
      <c r="BE135" s="69"/>
      <c r="BF135" s="69"/>
      <c r="BG135" s="69"/>
      <c r="BH135" s="69"/>
      <c r="BI135" s="69"/>
      <c r="BJ135" s="69"/>
      <c r="BK135" s="326"/>
      <c r="BL135" s="327"/>
    </row>
    <row r="136" spans="1:64" ht="12.75" hidden="1" customHeight="1" x14ac:dyDescent="0.15">
      <c r="A136" s="259">
        <v>4</v>
      </c>
      <c r="B136" s="51" t="s">
        <v>552</v>
      </c>
      <c r="C136" s="21" t="s">
        <v>613</v>
      </c>
      <c r="D136" s="104">
        <f>IF(ISERROR(HLOOKUP($J$136,$Q$48:$Z$49,2)),0,HLOOKUP($J$136,$Q$48:$Z$49,2))</f>
        <v>0</v>
      </c>
      <c r="E136" s="105">
        <f>IF(ISERROR(HLOOKUP($K$136,$Q$48:$Z$49,2)),0,HLOOKUP($K$136,$Q$48:$Z$49,2))</f>
        <v>0</v>
      </c>
      <c r="F136" s="106">
        <f>IF(ISERROR(HLOOKUP($L$136,$Q$48:$Z$49,2)),0,HLOOKUP($L$136,$Q$48:$Z$49,2))</f>
        <v>0</v>
      </c>
      <c r="G136" s="67">
        <f>SUM($F$27:$F$32)</f>
        <v>0</v>
      </c>
      <c r="H136" s="67">
        <f>SUM($F$27:$F$32)+$J$51</f>
        <v>0</v>
      </c>
      <c r="I136" s="67">
        <f>SUM($F$27:$F$32)+$J$51+$J$60</f>
        <v>0</v>
      </c>
      <c r="J136" s="21">
        <f t="shared" si="7"/>
        <v>0</v>
      </c>
      <c r="K136" s="21">
        <f t="shared" si="8"/>
        <v>0</v>
      </c>
      <c r="L136" s="21">
        <f t="shared" si="9"/>
        <v>0</v>
      </c>
      <c r="M136" s="21" t="s">
        <v>660</v>
      </c>
      <c r="P136" s="328"/>
      <c r="Q136" s="328"/>
      <c r="BB136" s="69"/>
      <c r="BC136" s="69"/>
      <c r="BD136" s="69" t="s">
        <v>349</v>
      </c>
      <c r="BE136" s="70">
        <v>5</v>
      </c>
      <c r="BF136" s="70">
        <v>10</v>
      </c>
      <c r="BG136" s="70">
        <v>15</v>
      </c>
      <c r="BH136" s="70">
        <v>20</v>
      </c>
      <c r="BI136" s="70">
        <v>25</v>
      </c>
      <c r="BJ136" s="329" t="s">
        <v>365</v>
      </c>
      <c r="BK136" s="326"/>
      <c r="BL136" s="327"/>
    </row>
    <row r="137" spans="1:64" ht="12.75" hidden="1" customHeight="1" x14ac:dyDescent="0.15">
      <c r="A137" s="259">
        <v>5</v>
      </c>
      <c r="B137" s="51" t="s">
        <v>553</v>
      </c>
      <c r="C137" s="21" t="s">
        <v>613</v>
      </c>
      <c r="D137" s="104">
        <f>IF(ISERROR(HLOOKUP($J$137,$Q$48:$AB$49,2)),0,HLOOKUP($J$137,$Q$48:$AB$49,2))</f>
        <v>0</v>
      </c>
      <c r="E137" s="105">
        <f>IF(ISERROR(HLOOKUP($K$137,$Q$48:$AB$49,2)),0,HLOOKUP($K$137,$Q$48:$AB$49,2))</f>
        <v>0</v>
      </c>
      <c r="F137" s="106">
        <f>IF(ISERROR(HLOOKUP($L$137,$Q$48:$AB$49,2)),0,HLOOKUP($L$137,$Q$48:$AB$49,2))</f>
        <v>0</v>
      </c>
      <c r="G137" s="67">
        <f>SUM($F$30:$F$32)</f>
        <v>0</v>
      </c>
      <c r="H137" s="67">
        <f>SUM($F$30:$F$32)+$J$51</f>
        <v>0</v>
      </c>
      <c r="I137" s="67">
        <f>SUM($F$30:$F$32)+$J$51+$J$60</f>
        <v>0</v>
      </c>
      <c r="J137" s="21">
        <f t="shared" si="7"/>
        <v>0</v>
      </c>
      <c r="K137" s="21">
        <f t="shared" si="8"/>
        <v>0</v>
      </c>
      <c r="L137" s="21">
        <f t="shared" si="9"/>
        <v>0</v>
      </c>
      <c r="M137" s="21" t="s">
        <v>660</v>
      </c>
      <c r="P137" s="328"/>
      <c r="Q137" s="328"/>
      <c r="BB137" s="69"/>
      <c r="BC137" s="330" t="s">
        <v>419</v>
      </c>
      <c r="BD137" s="330" t="s">
        <v>420</v>
      </c>
      <c r="BE137" s="69" t="s">
        <v>421</v>
      </c>
      <c r="BF137" s="69" t="s">
        <v>422</v>
      </c>
      <c r="BG137" s="69" t="s">
        <v>423</v>
      </c>
      <c r="BH137" s="69" t="s">
        <v>424</v>
      </c>
      <c r="BI137" s="69" t="s">
        <v>425</v>
      </c>
      <c r="BJ137" s="69" t="s">
        <v>426</v>
      </c>
      <c r="BK137" s="326"/>
      <c r="BL137" s="327"/>
    </row>
    <row r="138" spans="1:64" ht="12.75" hidden="1" customHeight="1" x14ac:dyDescent="0.15">
      <c r="A138" s="259" t="s">
        <v>555</v>
      </c>
      <c r="B138" s="51" t="s">
        <v>616</v>
      </c>
      <c r="C138" s="21" t="s">
        <v>613</v>
      </c>
      <c r="D138" s="104">
        <f>IF(ISERROR(HLOOKUP($J$138,$Q$48:$V$49,2)),0,HLOOKUP($J$138,$Q$48:$V$49,2))</f>
        <v>0</v>
      </c>
      <c r="E138" s="105">
        <f>IF(ISERROR(HLOOKUP($K$138,$Q$48:$V$49,2)),0,HLOOKUP($K$138,$Q$48:$V$49,2))</f>
        <v>0</v>
      </c>
      <c r="F138" s="106">
        <f>IF(ISERROR(HLOOKUP($L$138,$Q$48:$V$49,2)),0,HLOOKUP($L$138,$Q$48:$V$49,2))</f>
        <v>0</v>
      </c>
      <c r="G138" s="67">
        <f>SUM($F$30:$F$32)</f>
        <v>0</v>
      </c>
      <c r="H138" s="67">
        <f>SUM($F$30:$F$32)+$J$51</f>
        <v>0</v>
      </c>
      <c r="I138" s="67">
        <f>SUM($F$30:$F$32)+$J$51+$J$60</f>
        <v>0</v>
      </c>
      <c r="J138" s="21">
        <f t="shared" si="7"/>
        <v>0</v>
      </c>
      <c r="K138" s="21">
        <f t="shared" si="8"/>
        <v>0</v>
      </c>
      <c r="L138" s="21">
        <f t="shared" si="9"/>
        <v>0</v>
      </c>
      <c r="M138" s="21" t="s">
        <v>660</v>
      </c>
      <c r="P138" s="328"/>
      <c r="Q138" s="328"/>
      <c r="BB138" s="69"/>
      <c r="BC138" s="330" t="s">
        <v>427</v>
      </c>
      <c r="BD138" s="330" t="s">
        <v>428</v>
      </c>
      <c r="BE138" s="69" t="s">
        <v>421</v>
      </c>
      <c r="BF138" s="69" t="s">
        <v>422</v>
      </c>
      <c r="BG138" s="69" t="s">
        <v>423</v>
      </c>
      <c r="BH138" s="69" t="s">
        <v>424</v>
      </c>
      <c r="BI138" s="69" t="s">
        <v>425</v>
      </c>
      <c r="BJ138" s="69" t="s">
        <v>426</v>
      </c>
      <c r="BK138" s="326"/>
      <c r="BL138" s="327"/>
    </row>
    <row r="139" spans="1:64" ht="12.75" hidden="1" customHeight="1" x14ac:dyDescent="0.15">
      <c r="A139" s="259">
        <v>6</v>
      </c>
      <c r="B139" s="51" t="s">
        <v>556</v>
      </c>
      <c r="C139" s="21" t="s">
        <v>613</v>
      </c>
      <c r="D139" s="104">
        <f>IF(ISERROR(HLOOKUP($J$139,$Q$48:$AA$49,2)),0,HLOOKUP($J$139,$Q$48:$AA$49,2))</f>
        <v>0</v>
      </c>
      <c r="E139" s="105">
        <f>IF(ISERROR(HLOOKUP(K139,$Q$48:$AA$49,2)),0,HLOOKUP(K139,$Q$48:$AA$49,2))</f>
        <v>0</v>
      </c>
      <c r="F139" s="106">
        <f>IF(ISERROR(HLOOKUP(L139,$Q$48:$AA$49,2)),0,HLOOKUP(L139,$Q$48:$AA$49,2))</f>
        <v>0</v>
      </c>
      <c r="G139" s="396">
        <f>SUM($F$27:$F$33)</f>
        <v>0</v>
      </c>
      <c r="H139" s="103">
        <f>SUM($F$27:$F$33)+$J$51</f>
        <v>0</v>
      </c>
      <c r="I139" s="103">
        <f>SUM($F$27:$F$33)+$J$51+$J$60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69"/>
      <c r="BC139" s="330" t="s">
        <v>429</v>
      </c>
      <c r="BD139" s="330" t="s">
        <v>430</v>
      </c>
      <c r="BE139" s="69" t="s">
        <v>421</v>
      </c>
      <c r="BF139" s="69" t="s">
        <v>422</v>
      </c>
      <c r="BG139" s="69" t="s">
        <v>423</v>
      </c>
      <c r="BH139" s="69" t="s">
        <v>424</v>
      </c>
      <c r="BI139" s="69" t="s">
        <v>425</v>
      </c>
      <c r="BJ139" s="69" t="s">
        <v>426</v>
      </c>
      <c r="BK139" s="7"/>
      <c r="BL139" s="7"/>
    </row>
    <row r="140" spans="1:64" ht="12.75" hidden="1" customHeight="1" x14ac:dyDescent="0.15">
      <c r="A140" s="259">
        <v>7</v>
      </c>
      <c r="B140" s="51" t="s">
        <v>557</v>
      </c>
      <c r="C140" s="21" t="s">
        <v>547</v>
      </c>
      <c r="D140" s="104">
        <f>IF(ISERROR(HLOOKUP($J$140,$Q$77:$W$78,2)),0,HLOOKUP($J$140,$Q$77:$W$78,2))</f>
        <v>0</v>
      </c>
      <c r="E140" s="105">
        <f>IF(ISERROR(HLOOKUP(K140,$Q$77:$W$78,2)),0,HLOOKUP(K140,$Q$77:$W$78,2))</f>
        <v>0</v>
      </c>
      <c r="F140" s="106">
        <f>IF(ISERROR(HLOOKUP(L140,$Q$77:$W$78,2)),0,HLOOKUP(L140,$Q$77:$W$78,2))</f>
        <v>0</v>
      </c>
      <c r="G140" s="396">
        <f>SUM($F$30:$F$32)</f>
        <v>0</v>
      </c>
      <c r="H140" s="103">
        <f>SUM($F$30:$F$32)+$J$51</f>
        <v>0</v>
      </c>
      <c r="I140" s="103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330" t="s">
        <v>431</v>
      </c>
      <c r="BD140" s="330" t="s">
        <v>430</v>
      </c>
      <c r="BE140" s="69" t="s">
        <v>421</v>
      </c>
      <c r="BF140" s="69" t="s">
        <v>422</v>
      </c>
      <c r="BG140" s="69" t="s">
        <v>423</v>
      </c>
      <c r="BH140" s="69" t="s">
        <v>424</v>
      </c>
      <c r="BI140" s="69" t="s">
        <v>425</v>
      </c>
      <c r="BJ140" s="69" t="s">
        <v>426</v>
      </c>
      <c r="BK140" s="5"/>
      <c r="BL140" s="5"/>
    </row>
    <row r="141" spans="1:64" ht="12.75" hidden="1" customHeight="1" x14ac:dyDescent="0.15">
      <c r="A141" s="259" t="s">
        <v>558</v>
      </c>
      <c r="B141" s="51" t="s">
        <v>614</v>
      </c>
      <c r="C141" s="21" t="s">
        <v>547</v>
      </c>
      <c r="D141" s="104">
        <f>IF(ISERROR(HLOOKUP($J$141,$Q$77:$W$78,2)),0,HLOOKUP($J$141,$Q$77:$W$78,2))</f>
        <v>0</v>
      </c>
      <c r="E141" s="105">
        <f>IF(ISERROR(HLOOKUP(K141,$Q$77:$W$78,2)),0,HLOOKUP(K141,$Q$77:$W$78,2))</f>
        <v>0</v>
      </c>
      <c r="F141" s="106">
        <f>IF(ISERROR(HLOOKUP(L141,$Q$77:$W$78,2)),0,HLOOKUP(L141,$Q$77:$W$78,2))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 t="s">
        <v>400</v>
      </c>
      <c r="BD141" s="69"/>
      <c r="BE141" s="69" t="s">
        <v>329</v>
      </c>
      <c r="BF141" s="69" t="s">
        <v>356</v>
      </c>
      <c r="BG141" s="69" t="s">
        <v>432</v>
      </c>
      <c r="BH141" s="69" t="s">
        <v>432</v>
      </c>
      <c r="BI141" s="69" t="s">
        <v>432</v>
      </c>
      <c r="BJ141" s="69" t="s">
        <v>432</v>
      </c>
      <c r="BK141" s="5"/>
      <c r="BL141" s="5"/>
    </row>
    <row r="142" spans="1:64" ht="12.75" hidden="1" customHeight="1" x14ac:dyDescent="0.15">
      <c r="A142" s="259">
        <v>8</v>
      </c>
      <c r="B142" s="51" t="s">
        <v>559</v>
      </c>
      <c r="C142" s="21" t="s">
        <v>547</v>
      </c>
      <c r="D142" s="104">
        <f>IF(ISERROR(HLOOKUP($J$142,$Q$73:$W$74,2)),0,HLOOKUP($J$142,$Q$73:$W$74,2))</f>
        <v>0</v>
      </c>
      <c r="E142" s="105">
        <f>IF(ISERROR(HLOOKUP(K142,$Q$73:$W$74,2)),0,HLOOKUP(K142,$Q$73:$W$74,2))</f>
        <v>0</v>
      </c>
      <c r="F142" s="106">
        <f>IF(ISERROR(HLOOKUP(L142,$Q$73:$W$74,2)),0,HLOOKUP(L142,$Q$73:$W$74,2))</f>
        <v>0</v>
      </c>
      <c r="G142" s="396">
        <f>SUM($F$27:$F$32)</f>
        <v>0</v>
      </c>
      <c r="H142" s="103">
        <f>SUM($F$27:$F$32)+$J$51</f>
        <v>0</v>
      </c>
      <c r="I142" s="103">
        <f>SUM($F$27:$F$32)+$J$51+$J$60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>
        <v>26</v>
      </c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9</v>
      </c>
      <c r="B143" s="51" t="s">
        <v>560</v>
      </c>
      <c r="C143" s="21" t="s">
        <v>547</v>
      </c>
      <c r="D143" s="104">
        <f>IF(ISERROR(HLOOKUP($J$143,$Q$77:$W$78,2)),0,HLOOKUP($J$143,$Q$77:$W$78,2))</f>
        <v>0</v>
      </c>
      <c r="E143" s="105">
        <f>IF(ISERROR(HLOOKUP(K143,$Q$77:$W$78,2)),0,HLOOKUP(K143,$Q$77:$W$78,2))</f>
        <v>0</v>
      </c>
      <c r="F143" s="106">
        <f>IF(ISERROR(HLOOKUP(L143,$Q$77:$W$78,2)),0,HLOOKUP(L143,$Q$77:$W$78,2))</f>
        <v>0</v>
      </c>
      <c r="G143" s="396">
        <f>SUM($F$27:$F$32)</f>
        <v>0</v>
      </c>
      <c r="H143" s="103">
        <f>SUM($F$27:$F$32)+$J$51</f>
        <v>0</v>
      </c>
      <c r="I143" s="103">
        <f>SUM($F$27:$F$32)+$J$51+$J$60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1"/>
      <c r="BD143" s="116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10</v>
      </c>
      <c r="B144" s="51" t="s">
        <v>561</v>
      </c>
      <c r="C144" s="21" t="s">
        <v>613</v>
      </c>
      <c r="D144" s="104">
        <f>IF(ISERROR(HLOOKUP($J$144,$Q$39:$Y$40,2)),0,HLOOKUP($J$144,$Q$39:$Y$40,2))</f>
        <v>0</v>
      </c>
      <c r="E144" s="105">
        <f>IF(ISERROR(HLOOKUP(K144,$Q$39:$Y$40,2)),0,HLOOKUP(K144,$Q$39:$Y$40,2))</f>
        <v>0</v>
      </c>
      <c r="F144" s="106">
        <f>IF(ISERROR(HLOOKUP(L144,$Q$39:$Y$40,2)),0,HLOOKUP(L144,$Q$39:$Y$40,2))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11</v>
      </c>
      <c r="B145" s="51" t="s">
        <v>562</v>
      </c>
      <c r="C145" s="21" t="s">
        <v>547</v>
      </c>
      <c r="D145" s="104">
        <f>IF(ISERROR(HLOOKUP($J$145,$Q$73:$AB$74,2)),0,HLOOKUP($J$145,$Q$73:$AB$74,2))</f>
        <v>0</v>
      </c>
      <c r="E145" s="105">
        <f>IF(ISERROR(HLOOKUP(K145,$Q$73:$AB$74,2)),0,HLOOKUP(K145,$Q$73:$AB$74,2))</f>
        <v>0</v>
      </c>
      <c r="F145" s="106">
        <f>IF(ISERROR(HLOOKUP(L145,$Q$73:$AB$74,2)),0,HLOOKUP(L145,$Q$73:$AB$74,2))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69"/>
      <c r="BD145" s="69"/>
      <c r="BE145" s="69"/>
      <c r="BF145" s="69"/>
      <c r="BG145" s="69"/>
      <c r="BH145" s="69"/>
      <c r="BI145" s="69"/>
      <c r="BJ145" s="69"/>
      <c r="BK145" s="5"/>
      <c r="BL145" s="5"/>
    </row>
    <row r="146" spans="1:64" ht="12.75" hidden="1" customHeight="1" x14ac:dyDescent="0.15">
      <c r="A146" s="259">
        <v>12</v>
      </c>
      <c r="B146" s="51" t="s">
        <v>563</v>
      </c>
      <c r="C146" s="21"/>
      <c r="D146" s="104"/>
      <c r="E146" s="105"/>
      <c r="F146" s="106"/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/>
      <c r="BD146" s="69"/>
      <c r="BE146" s="69"/>
      <c r="BF146" s="69"/>
      <c r="BG146" s="69"/>
      <c r="BH146" s="69"/>
      <c r="BI146" s="69"/>
      <c r="BJ146" s="69"/>
      <c r="BK146" s="5"/>
      <c r="BL146" s="5"/>
    </row>
    <row r="147" spans="1:64" ht="12.75" hidden="1" customHeight="1" x14ac:dyDescent="0.15">
      <c r="A147" s="259">
        <v>13</v>
      </c>
      <c r="B147" s="51" t="s">
        <v>686</v>
      </c>
      <c r="C147" s="21" t="s">
        <v>527</v>
      </c>
      <c r="D147" s="104">
        <f>IF(ISERROR(HLOOKUP($J$147,$Q$26:$AT$27,2)),0,HLOOKUP($J$147,$Q$26:$AT$27,2))</f>
        <v>0</v>
      </c>
      <c r="E147" s="104">
        <f>IF(ISERROR(HLOOKUP(K147,$Q$26:$AT$27,2)),0,HLOOKUP(K147,$Q$26:$AT$27,2))</f>
        <v>0</v>
      </c>
      <c r="F147" s="104">
        <f>IF(ISERROR(HLOOKUP(L147,$Q$26:$AT$27,2)),0,HLOOKUP(L147,$Q$26:$AT$27,2))</f>
        <v>0</v>
      </c>
      <c r="G147" s="396">
        <f>SUM($F$30:$F$32)</f>
        <v>0</v>
      </c>
      <c r="H147" s="103">
        <f>SUM($F$30:$F$32)+$J$51</f>
        <v>0</v>
      </c>
      <c r="I147" s="103">
        <f>SUM($F$30:$F$32)+$J$51+$J$60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/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14</v>
      </c>
      <c r="B148" s="51" t="s">
        <v>564</v>
      </c>
      <c r="C148" s="21" t="s">
        <v>613</v>
      </c>
      <c r="D148" s="104">
        <f>IF(ISERROR(HLOOKUP(J148,$Q$48:$AB$49,2)),0,HLOOKUP(J148,$Q$48:$AB$49,2))</f>
        <v>0</v>
      </c>
      <c r="E148" s="104">
        <f>IF(ISERROR(HLOOKUP(K148,$Q$48:$AB$49,2)),0,HLOOKUP(K148,$Q$48:$AB$49,2))</f>
        <v>0</v>
      </c>
      <c r="F148" s="104">
        <f>IF(ISERROR(HLOOKUP(L148,$Q$48:$AB$49,2)),0,HLOOKUP(L148,$Q$48:$AB$49,2))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15</v>
      </c>
      <c r="B149" s="51" t="s">
        <v>565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AS149" s="5"/>
      <c r="BB149" s="69" t="s">
        <v>427</v>
      </c>
      <c r="BC149" s="69"/>
      <c r="BD149" s="69"/>
      <c r="BE149" s="69"/>
      <c r="BF149" s="69"/>
      <c r="BG149" s="69"/>
      <c r="BH149" s="69"/>
      <c r="BI149" s="69"/>
      <c r="BJ149" s="69"/>
      <c r="BK149" s="116"/>
      <c r="BL149" s="332"/>
    </row>
    <row r="150" spans="1:64" ht="12.75" hidden="1" customHeight="1" x14ac:dyDescent="0.15">
      <c r="A150" s="259">
        <v>16</v>
      </c>
      <c r="B150" s="51" t="s">
        <v>566</v>
      </c>
      <c r="C150" s="21" t="s">
        <v>527</v>
      </c>
      <c r="D150" s="104">
        <f>IF(ISERROR(HLOOKUP(J150,$Q$26:$AT$27,2)),0,HLOOKUP(J150,$Q$26:$AT$27,2))</f>
        <v>0</v>
      </c>
      <c r="E150" s="104">
        <f>IF(ISERROR(HLOOKUP(K150,$Q$26:$AT$27,2)),0,HLOOKUP(K150,$Q$26:$AT$27,2))</f>
        <v>0</v>
      </c>
      <c r="F150" s="104">
        <f>IF(ISERROR(HLOOKUP(L150,$Q$26:$AT$27,2)),0,HLOOKUP(L150,$Q$26:$AT$27,2))</f>
        <v>0</v>
      </c>
      <c r="G150" s="396">
        <f t="shared" ref="G150:G155" si="10">SUM($F$30:$F$32)</f>
        <v>0</v>
      </c>
      <c r="H150" s="103">
        <f t="shared" ref="H150:H155" si="11">SUM($F$30:$F$32)+$J$51</f>
        <v>0</v>
      </c>
      <c r="I150" s="103">
        <f t="shared" ref="I150:I155" si="12"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AS150" s="5"/>
      <c r="BB150" s="69"/>
      <c r="BC150" s="69"/>
      <c r="BD150" s="69"/>
      <c r="BE150" s="333"/>
      <c r="BF150" s="69"/>
      <c r="BG150" s="69"/>
      <c r="BH150" s="69"/>
      <c r="BI150" s="69"/>
      <c r="BJ150" s="69"/>
      <c r="BK150" s="69"/>
      <c r="BL150" s="69"/>
    </row>
    <row r="151" spans="1:64" ht="12.75" hidden="1" customHeight="1" x14ac:dyDescent="0.15">
      <c r="A151" s="259">
        <v>17</v>
      </c>
      <c r="B151" s="51" t="s">
        <v>567</v>
      </c>
      <c r="C151" s="21" t="s">
        <v>547</v>
      </c>
      <c r="D151" s="104">
        <f>IF(ISERROR(HLOOKUP(J151,$Q$73:$V$74,2)),0,HLOOKUP(J151,$Q$73:$V$74,2))</f>
        <v>0</v>
      </c>
      <c r="E151" s="104">
        <f>IF(ISERROR(HLOOKUP(K151,$Q$73:$V$74,2)),0,HLOOKUP(K151,$Q$73:$V$74,2))</f>
        <v>0</v>
      </c>
      <c r="F151" s="104">
        <f>IF(ISERROR(HLOOKUP(L151,$Q$73:$V$74,2)),0,HLOOKUP(L151,$Q$73:$V$74,2))</f>
        <v>0</v>
      </c>
      <c r="G151" s="396">
        <f t="shared" si="10"/>
        <v>0</v>
      </c>
      <c r="H151" s="103">
        <f t="shared" si="11"/>
        <v>0</v>
      </c>
      <c r="I151" s="103">
        <f t="shared" si="12"/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AS151" s="5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</row>
    <row r="152" spans="1:64" ht="12.75" hidden="1" customHeight="1" x14ac:dyDescent="0.15">
      <c r="A152" s="259">
        <v>18</v>
      </c>
      <c r="B152" s="51" t="s">
        <v>568</v>
      </c>
      <c r="C152" s="21" t="s">
        <v>527</v>
      </c>
      <c r="D152" s="104">
        <f>IF(ISERROR(HLOOKUP(J152,$Q$32:$AF$33,2)),0,HLOOKUP(J152,$Q$32:$AF$33,2))</f>
        <v>0</v>
      </c>
      <c r="E152" s="104">
        <f>IF(ISERROR(HLOOKUP(K152,$Q$32:$AF$33,2)),0,HLOOKUP(K152,$Q$32:$AF$33,2))</f>
        <v>0</v>
      </c>
      <c r="F152" s="104">
        <f>IF(ISERROR(HLOOKUP(L152,$Q$32:$AF$33,2)),0,HLOOKUP(L152,$Q$32:$AF$33,2))</f>
        <v>0</v>
      </c>
      <c r="G152" s="396">
        <f t="shared" si="10"/>
        <v>0</v>
      </c>
      <c r="H152" s="103">
        <f t="shared" si="11"/>
        <v>0</v>
      </c>
      <c r="I152" s="103">
        <f t="shared" si="12"/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AS152" s="5"/>
      <c r="BB152" s="69"/>
      <c r="BC152" s="69"/>
      <c r="BD152" s="69"/>
      <c r="BE152" s="333"/>
      <c r="BF152" s="69"/>
      <c r="BG152" s="69"/>
      <c r="BH152" s="69"/>
      <c r="BI152" s="69"/>
      <c r="BJ152" s="69"/>
      <c r="BK152" s="69"/>
      <c r="BL152" s="69"/>
    </row>
    <row r="153" spans="1:64" ht="12.75" hidden="1" customHeight="1" x14ac:dyDescent="0.15">
      <c r="A153" s="259">
        <v>19</v>
      </c>
      <c r="B153" s="51" t="s">
        <v>569</v>
      </c>
      <c r="C153" s="21" t="s">
        <v>613</v>
      </c>
      <c r="D153" s="104">
        <f>IF(ISERROR(HLOOKUP(J153,$Q$42:$AG$43,2)),0,HLOOKUP(J153,$Q$42:$AG$43,2))</f>
        <v>0</v>
      </c>
      <c r="E153" s="104">
        <f>IF(ISERROR(HLOOKUP(K153,$Q$42:$AG$43,2)),0,HLOOKUP(K153,$Q$42:$AG$43,2))</f>
        <v>0</v>
      </c>
      <c r="F153" s="104">
        <f>IF(ISERROR(HLOOKUP(L153,$Q$42:$AG$43,2)),0,HLOOKUP(L153,$Q$42:$AG$43,2))</f>
        <v>0</v>
      </c>
      <c r="G153" s="396">
        <f t="shared" si="10"/>
        <v>0</v>
      </c>
      <c r="H153" s="103">
        <f t="shared" si="11"/>
        <v>0</v>
      </c>
      <c r="I153" s="103">
        <f t="shared" si="12"/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11"/>
      <c r="BC153" s="5"/>
    </row>
    <row r="154" spans="1:64" ht="12.75" hidden="1" customHeight="1" x14ac:dyDescent="0.15">
      <c r="A154" s="259">
        <v>20</v>
      </c>
      <c r="B154" s="51" t="s">
        <v>570</v>
      </c>
      <c r="C154" s="21" t="s">
        <v>613</v>
      </c>
      <c r="D154" s="104">
        <f t="shared" ref="D154:F155" si="13">IF(ISERROR(HLOOKUP(J154,$Q$39:$Y$40,2)),0,HLOOKUP(J154,$Q$39:$Y$40,2))</f>
        <v>0</v>
      </c>
      <c r="E154" s="104">
        <f t="shared" si="13"/>
        <v>0</v>
      </c>
      <c r="F154" s="104">
        <f t="shared" si="13"/>
        <v>0</v>
      </c>
      <c r="G154" s="396">
        <f t="shared" si="10"/>
        <v>0</v>
      </c>
      <c r="H154" s="103">
        <f t="shared" si="11"/>
        <v>0</v>
      </c>
      <c r="I154" s="103">
        <f t="shared" si="12"/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11"/>
      <c r="BC154" s="5"/>
    </row>
    <row r="155" spans="1:64" ht="12.75" hidden="1" customHeight="1" x14ac:dyDescent="0.15">
      <c r="A155" s="259">
        <v>21</v>
      </c>
      <c r="B155" s="51" t="s">
        <v>571</v>
      </c>
      <c r="C155" s="21" t="s">
        <v>613</v>
      </c>
      <c r="D155" s="104">
        <f t="shared" si="13"/>
        <v>0</v>
      </c>
      <c r="E155" s="104">
        <f t="shared" si="13"/>
        <v>0</v>
      </c>
      <c r="F155" s="104">
        <f t="shared" si="13"/>
        <v>0</v>
      </c>
      <c r="G155" s="396">
        <f t="shared" si="10"/>
        <v>0</v>
      </c>
      <c r="H155" s="103">
        <f t="shared" si="11"/>
        <v>0</v>
      </c>
      <c r="I155" s="103">
        <f t="shared" si="12"/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11"/>
      <c r="BC155" s="5"/>
    </row>
    <row r="156" spans="1:64" ht="12.75" hidden="1" customHeight="1" x14ac:dyDescent="0.15">
      <c r="A156" s="259">
        <v>22</v>
      </c>
      <c r="B156" s="51" t="s">
        <v>572</v>
      </c>
      <c r="C156" s="21"/>
      <c r="D156" s="334"/>
      <c r="E156" s="335"/>
      <c r="F156" s="336"/>
      <c r="G156" s="397"/>
      <c r="H156" s="51"/>
      <c r="M156" s="21" t="s">
        <v>660</v>
      </c>
      <c r="P156" s="328"/>
      <c r="Q156" s="328"/>
      <c r="AS156" s="5"/>
      <c r="BB156" s="11"/>
      <c r="BC156" s="5"/>
    </row>
    <row r="157" spans="1:64" ht="12.75" hidden="1" customHeight="1" x14ac:dyDescent="0.15">
      <c r="A157" s="259">
        <v>23</v>
      </c>
      <c r="B157" s="51" t="s">
        <v>573</v>
      </c>
      <c r="C157" s="21"/>
      <c r="D157" s="334"/>
      <c r="E157" s="335"/>
      <c r="F157" s="336"/>
      <c r="G157" s="397"/>
      <c r="H157" s="51"/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24</v>
      </c>
      <c r="B158" s="51" t="s">
        <v>574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>SUM($F$27:$F$32)</f>
        <v>0</v>
      </c>
      <c r="H158" s="103">
        <f>SUM($F$27:$F$32)+$J$51</f>
        <v>0</v>
      </c>
      <c r="I158" s="103">
        <f>SUM($F$27:$F$32)+$J$51+$J$60</f>
        <v>0</v>
      </c>
      <c r="J158" s="21">
        <f t="shared" ref="J158:J189" si="14">ROUNDDOWN(G158/365,0)</f>
        <v>0</v>
      </c>
      <c r="K158" s="21">
        <f t="shared" ref="K158:K189" si="15">ROUNDDOWN(H158/365,0)</f>
        <v>0</v>
      </c>
      <c r="L158" s="21">
        <f t="shared" ref="L158:L189" si="16">ROUNDDOWN(I158/365,0)</f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25</v>
      </c>
      <c r="B159" s="51" t="s">
        <v>580</v>
      </c>
      <c r="C159" s="21" t="s">
        <v>527</v>
      </c>
      <c r="D159" s="104">
        <f>IF(ISERROR(HLOOKUP(J159,$Q$29:$AT$30,2)),0,HLOOKUP(J159,$Q$29:$AT$30,2))</f>
        <v>0</v>
      </c>
      <c r="E159" s="104">
        <f>IF(ISERROR(HLOOKUP(K159,$Q$29:$AT$30,2)),0,HLOOKUP(K159,$Q$29:$AT$30,2))</f>
        <v>0</v>
      </c>
      <c r="F159" s="104">
        <f>IF(ISERROR(HLOOKUP(L159,$Q$29:$AT$30,2)),0,HLOOKUP(L159,$Q$29:$AT$30,2))</f>
        <v>0</v>
      </c>
      <c r="G159" s="396">
        <f>SUM($F$30:$F$32)</f>
        <v>0</v>
      </c>
      <c r="H159" s="103">
        <f>SUM($F$30:$F$32)+$J$51</f>
        <v>0</v>
      </c>
      <c r="I159" s="103">
        <f>SUM($F$30:$F$32)+$J$51+$J$60</f>
        <v>0</v>
      </c>
      <c r="J159" s="21">
        <f t="shared" si="14"/>
        <v>0</v>
      </c>
      <c r="K159" s="21">
        <f t="shared" si="15"/>
        <v>0</v>
      </c>
      <c r="L159" s="21">
        <f t="shared" si="16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26</v>
      </c>
      <c r="B160" s="51" t="s">
        <v>581</v>
      </c>
      <c r="C160" s="21" t="s">
        <v>547</v>
      </c>
      <c r="D160" s="104">
        <f>IF(ISERROR(HLOOKUP(J160,$Q$73:$W$74,2)),0,HLOOKUP(J160,$Q$73:$W$74,2))</f>
        <v>0</v>
      </c>
      <c r="E160" s="104">
        <f>IF(ISERROR(HLOOKUP(K160,$Q$73:$W$74,2)),0,HLOOKUP(K160,$Q$73:$W$74,2))</f>
        <v>0</v>
      </c>
      <c r="F160" s="104">
        <f>IF(ISERROR(HLOOKUP(L160,$Q$73:$W$74,2)),0,HLOOKUP(L160,$Q$73:$W$74,2))</f>
        <v>0</v>
      </c>
      <c r="G160" s="396">
        <f>SUM($F$27:$F$32)</f>
        <v>0</v>
      </c>
      <c r="H160" s="103">
        <f>SUM($F$27:$F$32)+$J$51</f>
        <v>0</v>
      </c>
      <c r="I160" s="103">
        <f>SUM($F$27:$F$32)+$J$51+$J$60</f>
        <v>0</v>
      </c>
      <c r="J160" s="21">
        <f t="shared" si="14"/>
        <v>0</v>
      </c>
      <c r="K160" s="21">
        <f t="shared" si="15"/>
        <v>0</v>
      </c>
      <c r="L160" s="21">
        <f t="shared" si="16"/>
        <v>0</v>
      </c>
      <c r="M160" s="21" t="s">
        <v>660</v>
      </c>
      <c r="P160" s="328"/>
      <c r="Q160" s="328"/>
      <c r="AS160" s="5"/>
    </row>
    <row r="161" spans="1:45" ht="12.75" hidden="1" customHeight="1" x14ac:dyDescent="0.15">
      <c r="A161" s="259" t="s">
        <v>582</v>
      </c>
      <c r="B161" s="51" t="s">
        <v>684</v>
      </c>
      <c r="C161" s="21" t="s">
        <v>547</v>
      </c>
      <c r="D161" s="104">
        <f>IF(ISERROR(HLOOKUP(J161,$Q$73:$V$74,2)),0,HLOOKUP(J161,$Q$73:$V$74,2))</f>
        <v>0</v>
      </c>
      <c r="E161" s="104">
        <f>IF(ISERROR(HLOOKUP(K161,$Q$73:$V$74,2)),0,HLOOKUP(K161,$Q$73:$V$74,2))</f>
        <v>0</v>
      </c>
      <c r="F161" s="104">
        <f>IF(ISERROR(HLOOKUP(L161,$Q$73:$V$74,2)),0,HLOOKUP(L161,$Q$73:$V$74,2))</f>
        <v>0</v>
      </c>
      <c r="G161" s="396">
        <f>SUM($F$27:$F$32)</f>
        <v>0</v>
      </c>
      <c r="H161" s="103">
        <f>SUM($F$27:$F$32)+$J$51</f>
        <v>0</v>
      </c>
      <c r="I161" s="103">
        <f>SUM($F$27:$F$32)+$J$51+$J$60</f>
        <v>0</v>
      </c>
      <c r="J161" s="21">
        <f t="shared" si="14"/>
        <v>0</v>
      </c>
      <c r="K161" s="21">
        <f t="shared" si="15"/>
        <v>0</v>
      </c>
      <c r="L161" s="21">
        <f t="shared" si="16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>
        <v>27</v>
      </c>
      <c r="B162" s="51" t="s">
        <v>583</v>
      </c>
      <c r="C162" s="21" t="s">
        <v>613</v>
      </c>
      <c r="D162" s="104">
        <f>IF(ISERROR(HLOOKUP(J162,$Q$48:$Z$49,2)),0,HLOOKUP(J162,$Q$48:$Z$49,2))</f>
        <v>0</v>
      </c>
      <c r="E162" s="104">
        <f>IF(ISERROR(HLOOKUP(K162,$Q$48:$Z$49,2)),0,HLOOKUP(K162,$Q$48:$Z$49,2))</f>
        <v>0</v>
      </c>
      <c r="F162" s="104">
        <f>IF(ISERROR(HLOOKUP(L162,$Q$48:$Z$49,2)),0,HLOOKUP(L162,$Q$48:$Z$49,2))</f>
        <v>0</v>
      </c>
      <c r="G162" s="396">
        <f t="shared" ref="G162:G169" si="17">SUM($F$30:$F$32)</f>
        <v>0</v>
      </c>
      <c r="H162" s="103">
        <f t="shared" ref="H162:H169" si="18">SUM($F$30:$F$32)+$J$51</f>
        <v>0</v>
      </c>
      <c r="I162" s="103">
        <f t="shared" ref="I162:I169" si="19">SUM($F$30:$F$32)+$J$51+$J$60</f>
        <v>0</v>
      </c>
      <c r="J162" s="21">
        <f t="shared" si="14"/>
        <v>0</v>
      </c>
      <c r="K162" s="21">
        <f t="shared" si="15"/>
        <v>0</v>
      </c>
      <c r="L162" s="21">
        <f t="shared" si="16"/>
        <v>0</v>
      </c>
      <c r="M162" s="21" t="s">
        <v>660</v>
      </c>
      <c r="P162" s="328"/>
      <c r="Q162" s="328"/>
      <c r="AS162" s="5"/>
    </row>
    <row r="163" spans="1:45" ht="12.75" hidden="1" customHeight="1" x14ac:dyDescent="0.15">
      <c r="A163" s="259">
        <v>28</v>
      </c>
      <c r="B163" s="51" t="s">
        <v>584</v>
      </c>
      <c r="C163" s="21" t="s">
        <v>547</v>
      </c>
      <c r="D163" s="104">
        <f>IF(ISERROR(HLOOKUP(J163,$Q$73:$W$74,2)),0,HLOOKUP(J163,$Q$73:$W$74,2))</f>
        <v>0</v>
      </c>
      <c r="E163" s="104">
        <f>IF(ISERROR(HLOOKUP(K163,$Q$73:$W$74,2)),0,HLOOKUP(K163,$Q$73:$W$74,2))</f>
        <v>0</v>
      </c>
      <c r="F163" s="104">
        <f>IF(ISERROR(HLOOKUP(L163,$Q$73:$W$74,2)),0,HLOOKUP(L163,$Q$73:$W$74,2))</f>
        <v>0</v>
      </c>
      <c r="G163" s="396">
        <f t="shared" si="17"/>
        <v>0</v>
      </c>
      <c r="H163" s="103">
        <f t="shared" si="18"/>
        <v>0</v>
      </c>
      <c r="I163" s="103">
        <f t="shared" si="19"/>
        <v>0</v>
      </c>
      <c r="J163" s="21">
        <f t="shared" si="14"/>
        <v>0</v>
      </c>
      <c r="K163" s="21">
        <f t="shared" si="15"/>
        <v>0</v>
      </c>
      <c r="L163" s="21">
        <f t="shared" si="16"/>
        <v>0</v>
      </c>
      <c r="M163" s="21" t="s">
        <v>660</v>
      </c>
      <c r="P163" s="328"/>
      <c r="Q163" s="328"/>
      <c r="AS163" s="5"/>
    </row>
    <row r="164" spans="1:45" ht="12.75" hidden="1" customHeight="1" x14ac:dyDescent="0.15">
      <c r="A164" s="259">
        <v>29</v>
      </c>
      <c r="B164" s="51" t="s">
        <v>585</v>
      </c>
      <c r="C164" s="21" t="s">
        <v>613</v>
      </c>
      <c r="D164" s="104">
        <f>IF(ISERROR(HLOOKUP(J164,$Q$48:$V$49,2)),0,HLOOKUP(J164,$Q$48:$V$49,2))</f>
        <v>0</v>
      </c>
      <c r="E164" s="104">
        <f>IF(ISERROR(HLOOKUP(K164,$Q$48:$V$49,2)),0,HLOOKUP(K164,$Q$48:$V$49,2))</f>
        <v>0</v>
      </c>
      <c r="F164" s="104">
        <f>IF(ISERROR(HLOOKUP(L164,$Q$48:$V$49,2)),0,HLOOKUP(L164,$Q$48:$V$49,2))</f>
        <v>0</v>
      </c>
      <c r="G164" s="396">
        <f t="shared" si="17"/>
        <v>0</v>
      </c>
      <c r="H164" s="103">
        <f t="shared" si="18"/>
        <v>0</v>
      </c>
      <c r="I164" s="103">
        <f t="shared" si="19"/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45" ht="13.5" hidden="1" customHeight="1" x14ac:dyDescent="0.15">
      <c r="A165" s="259">
        <v>30</v>
      </c>
      <c r="B165" s="51" t="s">
        <v>586</v>
      </c>
      <c r="C165" s="21" t="s">
        <v>613</v>
      </c>
      <c r="D165" s="104">
        <f>IF(ISERROR(HLOOKUP(J165,$Q$48:$AA$49,2)),0,HLOOKUP(J165,$Q$48:$AA$49,2))</f>
        <v>0</v>
      </c>
      <c r="E165" s="104">
        <f>IF(ISERROR(HLOOKUP(K165,$Q$48:$AA$49,2)),0,HLOOKUP(K165,$Q$48:$AA$49,2))</f>
        <v>0</v>
      </c>
      <c r="F165" s="104">
        <f>IF(ISERROR(HLOOKUP(L165,$Q$48:$AA$49,2)),0,HLOOKUP(L165,$Q$48:$AA$49,2))</f>
        <v>0</v>
      </c>
      <c r="G165" s="396">
        <f t="shared" si="17"/>
        <v>0</v>
      </c>
      <c r="H165" s="103">
        <f t="shared" si="18"/>
        <v>0</v>
      </c>
      <c r="I165" s="103">
        <f t="shared" si="19"/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45" ht="12.75" hidden="1" customHeight="1" x14ac:dyDescent="0.15">
      <c r="A166" s="259" t="s">
        <v>587</v>
      </c>
      <c r="B166" s="51" t="s">
        <v>685</v>
      </c>
      <c r="C166" s="21" t="s">
        <v>547</v>
      </c>
      <c r="D166" s="104">
        <f>IF(ISERROR(HLOOKUP(J166,$Q$73:$X$74,2)),0,HLOOKUP(J166,$Q$73:$X$74,2))</f>
        <v>0</v>
      </c>
      <c r="E166" s="104">
        <f>IF(ISERROR(HLOOKUP(K166,$Q$73:$X$74,2)),0,HLOOKUP(K166,$Q$73:$X$74,2))</f>
        <v>0</v>
      </c>
      <c r="F166" s="104">
        <f>IF(ISERROR(HLOOKUP(L166,$Q$73:$X$74,2)),0,HLOOKUP(L166,$Q$73:$X$74,2))</f>
        <v>0</v>
      </c>
      <c r="G166" s="396">
        <f t="shared" si="17"/>
        <v>0</v>
      </c>
      <c r="H166" s="103">
        <f t="shared" si="18"/>
        <v>0</v>
      </c>
      <c r="I166" s="103">
        <f t="shared" si="19"/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116"/>
    </row>
    <row r="167" spans="1:45" ht="12.75" hidden="1" customHeight="1" x14ac:dyDescent="0.15">
      <c r="A167" s="259">
        <v>31</v>
      </c>
      <c r="B167" s="51" t="s">
        <v>588</v>
      </c>
      <c r="C167" s="21" t="s">
        <v>613</v>
      </c>
      <c r="D167" s="104">
        <f>IF(ISERROR(HLOOKUP(J167,$Q$42:$AG$43,2)),0,HLOOKUP(J167,$Q$42:$AG$43,2))</f>
        <v>0</v>
      </c>
      <c r="E167" s="104">
        <f>IF(ISERROR(HLOOKUP(K167,$Q$42:$AG$43,2)),0,HLOOKUP(K167,$Q$42:$AG$43,2))</f>
        <v>0</v>
      </c>
      <c r="F167" s="104">
        <f>IF(ISERROR(HLOOKUP(L167,$Q$42:$AG$43,2)),0,HLOOKUP(L167,$Q$42:$AG$43,2))</f>
        <v>0</v>
      </c>
      <c r="G167" s="396">
        <f t="shared" si="17"/>
        <v>0</v>
      </c>
      <c r="H167" s="103">
        <f t="shared" si="18"/>
        <v>0</v>
      </c>
      <c r="I167" s="103">
        <f t="shared" si="19"/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69"/>
    </row>
    <row r="168" spans="1:45" ht="12.75" hidden="1" customHeight="1" x14ac:dyDescent="0.15">
      <c r="A168" s="259">
        <v>32</v>
      </c>
      <c r="B168" s="338" t="s">
        <v>617</v>
      </c>
      <c r="C168" s="21" t="s">
        <v>613</v>
      </c>
      <c r="D168" s="104">
        <f>IF(ISERROR(HLOOKUP(J168,$Q$42:$AA$43,2)),0,HLOOKUP(J168,$Q$42:$AA$43,2))</f>
        <v>0</v>
      </c>
      <c r="E168" s="104">
        <f>IF(ISERROR(HLOOKUP(K168,$Q$42:$AA$43,2)),0,HLOOKUP(K168,$Q$42:$AA$43,2))</f>
        <v>0</v>
      </c>
      <c r="F168" s="104">
        <f>IF(ISERROR(HLOOKUP(L168,$Q$42:$AA$43,2)),0,HLOOKUP(L168,$Q$42:$AA$43,2))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78" t="s">
        <v>661</v>
      </c>
      <c r="P168" s="44"/>
      <c r="Q168" s="44"/>
      <c r="AS168" s="69"/>
    </row>
    <row r="169" spans="1:45" ht="12.75" hidden="1" customHeight="1" x14ac:dyDescent="0.15">
      <c r="A169" s="259">
        <v>33</v>
      </c>
      <c r="B169" s="338" t="s">
        <v>618</v>
      </c>
      <c r="C169" s="21" t="s">
        <v>613</v>
      </c>
      <c r="D169" s="104">
        <f>IF(ISERROR(HLOOKUP(J169,$Q$39:$AA$40,2)),0,HLOOKUP(J169,$Q$39:$AA$40,2))</f>
        <v>0</v>
      </c>
      <c r="E169" s="104">
        <f>IF(ISERROR(HLOOKUP(K169,$Q$39:$AA$40,2)),0,HLOOKUP(K169,$Q$39:$AA$40,2))</f>
        <v>0</v>
      </c>
      <c r="F169" s="104">
        <f>IF(ISERROR(HLOOKUP(L169,$Q$39:$AA$40,2)),0,HLOOKUP(L169,$Q$39:$AA$40,2))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78" t="s">
        <v>661</v>
      </c>
      <c r="P169" s="44"/>
      <c r="Q169" s="44"/>
      <c r="AS169" s="69"/>
    </row>
    <row r="170" spans="1:45" ht="12.75" hidden="1" customHeight="1" x14ac:dyDescent="0.15">
      <c r="A170" s="259">
        <v>34</v>
      </c>
      <c r="B170" s="338" t="s">
        <v>619</v>
      </c>
      <c r="C170" s="21" t="s">
        <v>527</v>
      </c>
      <c r="D170" s="104">
        <f>IF(ISERROR(HLOOKUP(J170,$Q$26:$AY$27,2)),0,HLOOKUP(J170,$Q$26:$AY$27,2))</f>
        <v>0</v>
      </c>
      <c r="E170" s="104">
        <f>IF(ISERROR(HLOOKUP(K170,$Q$26:$AY$27,2)),0,HLOOKUP(K170,$Q$26:$AY$27,2))</f>
        <v>0</v>
      </c>
      <c r="F170" s="104">
        <f>IF(ISERROR(HLOOKUP(L170,$Q$26:$AY$27,2)),0,HLOOKUP(L170,$Q$26:$AY$27,2))</f>
        <v>0</v>
      </c>
      <c r="G170" s="396">
        <f>SUM($F$27:$F$33)</f>
        <v>0</v>
      </c>
      <c r="H170" s="103">
        <f>SUM($F$27:$F$33)+$J$51</f>
        <v>0</v>
      </c>
      <c r="I170" s="103">
        <f>SUM($F$27:$F$33)+$J$51+$J$60</f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x14ac:dyDescent="0.15">
      <c r="A171" s="259">
        <v>35</v>
      </c>
      <c r="B171" s="338" t="s">
        <v>620</v>
      </c>
      <c r="C171" s="21" t="s">
        <v>613</v>
      </c>
      <c r="D171" s="104">
        <f>IF(ISERROR(HLOOKUP(J171,$Q$39:$AB$40,2)),0,HLOOKUP(J171,$Q$39:$AB$40,2))</f>
        <v>0</v>
      </c>
      <c r="E171" s="104">
        <f>IF(ISERROR(HLOOKUP(K171,$Q$39:$AB$40,2)),0,HLOOKUP(K171,$Q$39:$AB$40,2))</f>
        <v>0</v>
      </c>
      <c r="F171" s="104">
        <f>IF(ISERROR(HLOOKUP(L171,$Q$39:$AB$40,2)),0,HLOOKUP(L171,$Q$39:$AB$40,2))</f>
        <v>0</v>
      </c>
      <c r="G171" s="396">
        <f>SUM($F$27:$F$32)</f>
        <v>0</v>
      </c>
      <c r="H171" s="103">
        <f>SUM($F$27:$F$32)+$J$51</f>
        <v>0</v>
      </c>
      <c r="I171" s="103">
        <f>SUM($F$27:$F$32)+$J$51+$J$60</f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78" t="s">
        <v>661</v>
      </c>
      <c r="P171" s="44"/>
      <c r="Q171" s="44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</row>
    <row r="172" spans="1:45" ht="12.75" hidden="1" customHeight="1" x14ac:dyDescent="0.15">
      <c r="A172" s="259">
        <v>36</v>
      </c>
      <c r="B172" s="339" t="s">
        <v>621</v>
      </c>
      <c r="C172" s="21" t="s">
        <v>613</v>
      </c>
      <c r="D172" s="104">
        <f>IF(ISERROR(HLOOKUP(J172,$Q$39:$AA$40,2)),0,HLOOKUP(J172,$Q$39:$AA$40,2))</f>
        <v>0</v>
      </c>
      <c r="E172" s="104">
        <f>IF(ISERROR(HLOOKUP(K172,$Q$39:$AA$40,2)),0,HLOOKUP(K172,$Q$39:$AA$40,2))</f>
        <v>0</v>
      </c>
      <c r="F172" s="104">
        <f>IF(ISERROR(HLOOKUP(L172,$Q$39:$AA$40,2)),0,HLOOKUP(L172,$Q$39:$AA$40,2))</f>
        <v>0</v>
      </c>
      <c r="G172" s="396">
        <f>SUM($F$30:$F$32)</f>
        <v>0</v>
      </c>
      <c r="H172" s="103">
        <f>SUM($F$30:$F$32)+$J$51</f>
        <v>0</v>
      </c>
      <c r="I172" s="103">
        <f>SUM($F$30:$F$32)+$J$51+$J$60</f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78" t="s">
        <v>661</v>
      </c>
      <c r="P172" s="44"/>
      <c r="Q172" s="44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</row>
    <row r="173" spans="1:45" ht="12.75" hidden="1" customHeight="1" x14ac:dyDescent="0.15">
      <c r="A173" s="259">
        <v>37</v>
      </c>
      <c r="B173" s="340" t="s">
        <v>622</v>
      </c>
      <c r="C173" s="21" t="s">
        <v>547</v>
      </c>
      <c r="D173" s="104">
        <f t="shared" ref="D173:F174" si="20">IF(ISERROR(HLOOKUP(J173,$Q$73:$AB$74,2)),0,HLOOKUP(J173,$Q$73:$AB$74,2))</f>
        <v>0</v>
      </c>
      <c r="E173" s="104">
        <f t="shared" si="20"/>
        <v>0</v>
      </c>
      <c r="F173" s="104">
        <f t="shared" si="20"/>
        <v>0</v>
      </c>
      <c r="G173" s="396">
        <f>SUM($F$27:$F$32)</f>
        <v>0</v>
      </c>
      <c r="H173" s="103">
        <f>SUM($F$27:$F$32)+$J$51</f>
        <v>0</v>
      </c>
      <c r="I173" s="103">
        <f>SUM($F$27:$F$32)+$J$51+$J$60</f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H173" s="69"/>
      <c r="AI173" s="116"/>
      <c r="AJ173" s="116"/>
      <c r="AK173" s="116"/>
      <c r="AL173" s="69"/>
      <c r="AM173" s="69"/>
      <c r="AN173" s="69"/>
      <c r="AO173" s="69"/>
      <c r="AP173" s="69"/>
      <c r="AQ173" s="69"/>
      <c r="AR173" s="69"/>
      <c r="AS173" s="69"/>
    </row>
    <row r="174" spans="1:45" ht="12.75" hidden="1" customHeight="1" x14ac:dyDescent="0.15">
      <c r="A174" s="259">
        <v>38</v>
      </c>
      <c r="B174" s="340" t="s">
        <v>623</v>
      </c>
      <c r="C174" s="21" t="s">
        <v>547</v>
      </c>
      <c r="D174" s="104">
        <f t="shared" si="20"/>
        <v>0</v>
      </c>
      <c r="E174" s="104">
        <f t="shared" si="20"/>
        <v>0</v>
      </c>
      <c r="F174" s="104">
        <f t="shared" si="20"/>
        <v>0</v>
      </c>
      <c r="G174" s="396">
        <f>SUM($F$30:$F$32)</f>
        <v>0</v>
      </c>
      <c r="H174" s="103">
        <f>SUM($F$30:$F$32)+$J$51</f>
        <v>0</v>
      </c>
      <c r="I174" s="103">
        <f>SUM($F$30:$F$32)+$J$51+$J$60</f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</row>
    <row r="175" spans="1:45" ht="12.75" hidden="1" customHeight="1" thickBot="1" x14ac:dyDescent="0.2">
      <c r="A175" s="259">
        <v>39</v>
      </c>
      <c r="B175" s="340" t="s">
        <v>624</v>
      </c>
      <c r="C175" s="21" t="s">
        <v>613</v>
      </c>
      <c r="D175" s="104">
        <f>IF(ISERROR(HLOOKUP(J175,$Q$48:$Y$49,2)),0,HLOOKUP(J175,$Q$48:$Y$49,2))</f>
        <v>0</v>
      </c>
      <c r="E175" s="104">
        <f>IF(ISERROR(HLOOKUP(K175,$Q$48:$Y$49,2)),0,HLOOKUP(K175,$Q$48:$Y$49,2))</f>
        <v>0</v>
      </c>
      <c r="F175" s="104">
        <f>IF(ISERROR(HLOOKUP(L175,$Q$48:$Y$49,2)),0,HLOOKUP(L175,$Q$48:$Y$49,2))</f>
        <v>0</v>
      </c>
      <c r="G175" s="396">
        <f>SUM($F$30:$F$32)</f>
        <v>0</v>
      </c>
      <c r="H175" s="103">
        <f>SUM($F$30:$F$32)+$J$51</f>
        <v>0</v>
      </c>
      <c r="I175" s="103">
        <f>SUM($F$30:$F$32)+$J$51+$J$60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40</v>
      </c>
      <c r="B176" s="340" t="s">
        <v>625</v>
      </c>
      <c r="C176" s="21" t="s">
        <v>613</v>
      </c>
      <c r="D176" s="104">
        <f>IF(ISERROR(HLOOKUP(J176,$Q$48:$AA$49,2)),0,HLOOKUP(J176,$Q$48:$AA$49,2))</f>
        <v>0</v>
      </c>
      <c r="E176" s="104">
        <f>IF(ISERROR(HLOOKUP(K176,$Q$48:$AA$49,2)),0,HLOOKUP(K176,$Q$48:$AA$49,2))</f>
        <v>0</v>
      </c>
      <c r="F176" s="104">
        <f>IF(ISERROR(HLOOKUP(L176,$Q$48:$AA$49,2)),0,HLOOKUP(L176,$Q$48:$AA$49,2))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N176" s="341" t="s">
        <v>613</v>
      </c>
      <c r="O176" s="256">
        <f>IF(ISERROR(HLOOKUP(J177,$Q$63:$AA$64,2)),0,HLOOKUP(J177,$Q$63:$AA$64,2))</f>
        <v>0</v>
      </c>
      <c r="P176" s="144">
        <f>IF(ISERROR(HLOOKUP(K177,$Q$63:$AA$64,2)),0,HLOOKUP(K177,$Q$63:$AA$64,2))</f>
        <v>0</v>
      </c>
      <c r="Q176" s="144">
        <f>IF(ISERROR(HLOOKUP(L177,$Q$63:$AA$64,2)),0,HLOOKUP(L177,$Q$63:$AA$64,2))</f>
        <v>0</v>
      </c>
      <c r="R176" s="342" t="s">
        <v>695</v>
      </c>
    </row>
    <row r="177" spans="1:20" ht="12.75" hidden="1" customHeight="1" thickBot="1" x14ac:dyDescent="0.2">
      <c r="A177" s="259">
        <v>41</v>
      </c>
      <c r="B177" s="340" t="s">
        <v>626</v>
      </c>
      <c r="C177" s="21" t="str">
        <f>IF($N$8&gt;=$R$177,$P$20,$P$19)</f>
        <v>TRIÊNIO</v>
      </c>
      <c r="D177" s="343">
        <f>IF($C$177=$N$176,$O$176,$O$177)</f>
        <v>0</v>
      </c>
      <c r="E177" s="343">
        <f>IF($C$177=$N$176,$P$176,$P$177)</f>
        <v>0</v>
      </c>
      <c r="F177" s="343">
        <f>IF($C$177=$N$176,$Q$176,$Q$177)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N177" s="344" t="s">
        <v>547</v>
      </c>
      <c r="O177" s="257">
        <f>IF(ISERROR(HLOOKUP(J177,$Q$73:$W$74,2)),0,HLOOKUP(J177,$Q$73:$W$74,2))</f>
        <v>0</v>
      </c>
      <c r="P177" s="145">
        <f>IF(ISERROR(HLOOKUP(K177,$Q$73:$W$74,2)),0,HLOOKUP(K177,$Q$73:$W$74,2))</f>
        <v>0</v>
      </c>
      <c r="Q177" s="145">
        <f>IF(ISERROR(HLOOKUP(L177,$Q$73:$W$74,2)),0,HLOOKUP(L177,$Q$73:$W$74,2))</f>
        <v>0</v>
      </c>
      <c r="R177" s="398">
        <v>36539</v>
      </c>
      <c r="S177" s="103"/>
      <c r="T177" s="103"/>
    </row>
    <row r="178" spans="1:20" ht="12.75" hidden="1" customHeight="1" x14ac:dyDescent="0.15">
      <c r="A178" s="259">
        <v>42</v>
      </c>
      <c r="B178" s="340" t="s">
        <v>627</v>
      </c>
      <c r="C178" s="21"/>
      <c r="D178" s="54"/>
      <c r="E178" s="54"/>
      <c r="F178" s="54"/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</row>
    <row r="179" spans="1:20" ht="12.75" hidden="1" customHeight="1" x14ac:dyDescent="0.15">
      <c r="A179" s="259">
        <v>43</v>
      </c>
      <c r="B179" s="340" t="s">
        <v>628</v>
      </c>
      <c r="C179" s="21" t="s">
        <v>527</v>
      </c>
      <c r="D179" s="104">
        <f>IF(ISERROR(HLOOKUP(J179,$Q$26:$AY$27,2)),0,HLOOKUP(J179,$Q$26:$AY$27,2))</f>
        <v>0</v>
      </c>
      <c r="E179" s="104">
        <f>IF(ISERROR(HLOOKUP(K179,$Q$26:$AY$27,2)),0,HLOOKUP(K179,$Q$26:$AY$27,2))</f>
        <v>0</v>
      </c>
      <c r="F179" s="104">
        <f>IF(ISERROR(HLOOKUP(L179,$Q$26:$AY$27,2)),0,HLOOKUP(L179,$Q$26:$AY$27,2))</f>
        <v>0</v>
      </c>
      <c r="G179" s="396">
        <f>SUM($F$27:$F$33)</f>
        <v>0</v>
      </c>
      <c r="H179" s="103">
        <f>SUM($F$27:$F$33)+$J$51</f>
        <v>0</v>
      </c>
      <c r="I179" s="103">
        <f>SUM($F$27:$F$33)+$J$51+$J$60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</row>
    <row r="180" spans="1:20" ht="12.75" hidden="1" customHeight="1" x14ac:dyDescent="0.15">
      <c r="A180" s="259">
        <v>44</v>
      </c>
      <c r="B180" s="340" t="s">
        <v>629</v>
      </c>
      <c r="C180" s="21" t="s">
        <v>547</v>
      </c>
      <c r="D180" s="104">
        <f t="shared" ref="D180:F181" si="21">IF(ISERROR(HLOOKUP(J180,$Q$73:$W$74,2)),0,HLOOKUP(J180,$Q$73:$W$74,2))</f>
        <v>0</v>
      </c>
      <c r="E180" s="104">
        <f t="shared" si="21"/>
        <v>0</v>
      </c>
      <c r="F180" s="104">
        <f t="shared" si="21"/>
        <v>0</v>
      </c>
      <c r="G180" s="396">
        <f>SUM($F$27:$F$32)</f>
        <v>0</v>
      </c>
      <c r="H180" s="103">
        <f>SUM($F$27:$F$32)+$J$51</f>
        <v>0</v>
      </c>
      <c r="I180" s="103">
        <f>SUM($F$27:$F$32)+$J$51+$J$60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20" ht="12.75" hidden="1" customHeight="1" x14ac:dyDescent="0.15">
      <c r="A181" s="259">
        <v>45</v>
      </c>
      <c r="B181" s="340" t="s">
        <v>630</v>
      </c>
      <c r="C181" s="21" t="s">
        <v>547</v>
      </c>
      <c r="D181" s="104">
        <f t="shared" si="21"/>
        <v>0</v>
      </c>
      <c r="E181" s="104">
        <f t="shared" si="21"/>
        <v>0</v>
      </c>
      <c r="F181" s="104">
        <f t="shared" si="21"/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P181" s="44"/>
      <c r="Q181" s="44"/>
    </row>
    <row r="182" spans="1:20" ht="12.75" hidden="1" customHeight="1" x14ac:dyDescent="0.15">
      <c r="A182" s="259">
        <v>46</v>
      </c>
      <c r="B182" s="340" t="s">
        <v>631</v>
      </c>
      <c r="C182" s="21" t="s">
        <v>527</v>
      </c>
      <c r="D182" s="104">
        <f>IF(ISERROR(HLOOKUP(J182,$Q$26:$AY$27,2)),0,HLOOKUP(J182,$Q$26:$AY$27,2))</f>
        <v>0</v>
      </c>
      <c r="E182" s="104">
        <f>IF(ISERROR(HLOOKUP(K182,$Q$26:$AY$27,2)),0,HLOOKUP(K182,$Q$26:$AY$27,2))</f>
        <v>0</v>
      </c>
      <c r="F182" s="104">
        <f>IF(ISERROR(HLOOKUP(L182,$Q$26:$AY$27,2)),0,HLOOKUP(L182,$Q$26:$AY$27,2))</f>
        <v>0</v>
      </c>
      <c r="G182" s="396">
        <f>SUM($F$27:$F$32)</f>
        <v>0</v>
      </c>
      <c r="H182" s="103">
        <f>SUM($F$27:$F$32)+$J$51</f>
        <v>0</v>
      </c>
      <c r="I182" s="103">
        <f>SUM($F$27:$F$32)+$J$51+$J$60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P182" s="44"/>
      <c r="Q182" s="44"/>
    </row>
    <row r="183" spans="1:20" ht="12.75" hidden="1" customHeight="1" x14ac:dyDescent="0.15">
      <c r="A183" s="259">
        <v>47</v>
      </c>
      <c r="B183" s="340" t="s">
        <v>632</v>
      </c>
      <c r="C183" s="21" t="s">
        <v>613</v>
      </c>
      <c r="D183" s="104">
        <f>IF(ISERROR(HLOOKUP(J183,$Q$48:$Z$49,2)),0,HLOOKUP(J183,$Q$48:$Z$49,2))</f>
        <v>0</v>
      </c>
      <c r="E183" s="104">
        <f>IF(ISERROR(HLOOKUP(K183,$Q$48:$Z$49,2)),0,HLOOKUP(K183,$Q$48:$Z$49,2))</f>
        <v>0</v>
      </c>
      <c r="F183" s="104">
        <f>IF(ISERROR(HLOOKUP(L183,$Q$48:$Z$49,2)),0,HLOOKUP(L183,$Q$48:$Z$49,2))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20" ht="12.75" hidden="1" customHeight="1" x14ac:dyDescent="0.15">
      <c r="A184" s="259">
        <v>48</v>
      </c>
      <c r="B184" s="340" t="s">
        <v>633</v>
      </c>
      <c r="C184" s="21" t="s">
        <v>613</v>
      </c>
      <c r="D184" s="104">
        <f>IF(ISERROR(HLOOKUP(J184,$Q$48:$AJ$49,2)),0,HLOOKUP(J184,$Q$48:$AJ$49,2))</f>
        <v>0</v>
      </c>
      <c r="E184" s="104">
        <f>IF(ISERROR(HLOOKUP(K184,$Q$48:$AJ$49,2)),0,HLOOKUP(K184,$Q$48:$AJ$49,2))</f>
        <v>0</v>
      </c>
      <c r="F184" s="104">
        <f>IF(ISERROR(HLOOKUP(L184,$Q$48:$AJ$49,2)),0,HLOOKUP(L184,$Q$48:$AJ$49,2))</f>
        <v>0</v>
      </c>
      <c r="G184" s="396">
        <f>SUM($F$30:$F$33)</f>
        <v>0</v>
      </c>
      <c r="H184" s="103">
        <f>SUM($F$30:$F$33)+$J$51</f>
        <v>0</v>
      </c>
      <c r="I184" s="103">
        <f>SUM($F$30:$F$33)+$J$51+$J$60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20" ht="12.75" hidden="1" customHeight="1" x14ac:dyDescent="0.15">
      <c r="A185" s="259">
        <v>49</v>
      </c>
      <c r="B185" s="340" t="s">
        <v>634</v>
      </c>
      <c r="C185" s="21" t="s">
        <v>613</v>
      </c>
      <c r="D185" s="104">
        <f>IF(ISERROR(HLOOKUP(J185,$Q$48:$Z$49,2)),0,HLOOKUP(J185,$Q$48:$Z$49,2))</f>
        <v>0</v>
      </c>
      <c r="E185" s="104">
        <f>IF(ISERROR(HLOOKUP(K185,$Q$48:$Z$49,2)),0,HLOOKUP(K185,$Q$48:$Z$49,2))</f>
        <v>0</v>
      </c>
      <c r="F185" s="104">
        <f>IF(ISERROR(HLOOKUP(L185,$Q$48:$Z$49,2)),0,HLOOKUP(L185,$Q$48:$Z$49,2))</f>
        <v>0</v>
      </c>
      <c r="G185" s="396">
        <f>SUM($F$30:$F$33)</f>
        <v>0</v>
      </c>
      <c r="H185" s="103">
        <f>SUM($F$30:$F$33)+$J$51</f>
        <v>0</v>
      </c>
      <c r="I185" s="103">
        <f>SUM($F$30:$F$33)+$J$51+$J$60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20" ht="12.75" hidden="1" customHeight="1" x14ac:dyDescent="0.15">
      <c r="A186" s="259">
        <v>50</v>
      </c>
      <c r="B186" s="340" t="s">
        <v>635</v>
      </c>
      <c r="C186" s="21" t="s">
        <v>613</v>
      </c>
      <c r="D186" s="104">
        <f>IF(ISERROR(HLOOKUP(J186,$Q$39:$AB$40,2)),0,HLOOKUP(J186,$Q$39:$AB$40,2))</f>
        <v>0</v>
      </c>
      <c r="E186" s="104">
        <f>IF(ISERROR(HLOOKUP(K186,$Q$39:$AB$40,2)),0,HLOOKUP(K186,$Q$39:$AB$40,2))</f>
        <v>0</v>
      </c>
      <c r="F186" s="104">
        <f>IF(ISERROR(HLOOKUP(L186,$Q$39:$AB$40,2)),0,HLOOKUP(L186,$Q$39:$AB$40,2))</f>
        <v>0</v>
      </c>
      <c r="G186" s="396">
        <f>SUM($F$30:$F$32)</f>
        <v>0</v>
      </c>
      <c r="H186" s="103">
        <f>SUM($F$30:$F$32)+$J$51</f>
        <v>0</v>
      </c>
      <c r="I186" s="103">
        <f>SUM($F$30:$F$32)+$J$51+$J$60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20" ht="12.75" hidden="1" customHeight="1" x14ac:dyDescent="0.15">
      <c r="A187" s="259">
        <v>51</v>
      </c>
      <c r="B187" s="340" t="s">
        <v>636</v>
      </c>
      <c r="C187" s="21" t="s">
        <v>613</v>
      </c>
      <c r="D187" s="104">
        <f>IF(ISERROR(HLOOKUP(J187,$Q$39:$AA$40,2)),0,HLOOKUP(J187,$Q$39:$AA$40,2))</f>
        <v>0</v>
      </c>
      <c r="E187" s="104">
        <f>IF(ISERROR(HLOOKUP(K187,$Q$39:$AA$40,2)),0,HLOOKUP(K187,$Q$39:$AA$40,2))</f>
        <v>0</v>
      </c>
      <c r="F187" s="104">
        <f>IF(ISERROR(HLOOKUP(L187,$Q$39:$AA$40,2)),0,HLOOKUP(L187,$Q$39:$AA$40,2))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20" ht="12.75" hidden="1" customHeight="1" x14ac:dyDescent="0.15">
      <c r="A188" s="259">
        <v>52</v>
      </c>
      <c r="B188" s="340" t="s">
        <v>637</v>
      </c>
      <c r="C188" s="21" t="s">
        <v>613</v>
      </c>
      <c r="D188" s="104">
        <f>IF(ISERROR(HLOOKUP(J188,$Q$66:$X$67,2)),0,HLOOKUP(J188,$Q$66:$X$67,2))</f>
        <v>0</v>
      </c>
      <c r="E188" s="104">
        <f>IF(ISERROR(HLOOKUP(K188,$Q$66:$X$67,2)),0,HLOOKUP(K188,$Q$66:$X$67,2))</f>
        <v>0</v>
      </c>
      <c r="F188" s="104">
        <f>IF(ISERROR(HLOOKUP(L188,$Q$66:$X$67,2)),0,HLOOKUP(L188,$Q$66:$X$67,2))</f>
        <v>0</v>
      </c>
      <c r="G188" s="396">
        <f>SUM($F$27:$F$32)</f>
        <v>0</v>
      </c>
      <c r="H188" s="103">
        <f>SUM($F$27:$F$32)+$J$51</f>
        <v>0</v>
      </c>
      <c r="I188" s="103">
        <f>SUM($F$27:$F$32)+$J$51+$J$60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20" ht="12.75" hidden="1" customHeight="1" x14ac:dyDescent="0.15">
      <c r="A189" s="259">
        <v>53</v>
      </c>
      <c r="B189" s="340" t="s">
        <v>638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20" ht="12.75" hidden="1" customHeight="1" x14ac:dyDescent="0.15">
      <c r="A190" s="259">
        <v>54</v>
      </c>
      <c r="B190" s="340" t="s">
        <v>639</v>
      </c>
      <c r="C190" s="21" t="s">
        <v>613</v>
      </c>
      <c r="D190" s="104">
        <f>IF(ISERROR(HLOOKUP(J190,$Q$39:$AA$40,2)),0,HLOOKUP(J190,$Q$39:$AA$40,2))</f>
        <v>0</v>
      </c>
      <c r="E190" s="104">
        <f>IF(ISERROR(HLOOKUP(K190,$Q$39:$AA$40,2)),0,HLOOKUP(K190,$Q$39:$AA$40,2))</f>
        <v>0</v>
      </c>
      <c r="F190" s="104">
        <f>IF(ISERROR(HLOOKUP(L190,$Q$39:$AA$40,2)),0,HLOOKUP(L190,$Q$39:$AA$40,2))</f>
        <v>0</v>
      </c>
      <c r="G190" s="396">
        <f>SUM($F$27:$F$32)</f>
        <v>0</v>
      </c>
      <c r="H190" s="103">
        <f>SUM($F$27:$F$32)+$J$51</f>
        <v>0</v>
      </c>
      <c r="I190" s="103">
        <f>SUM($F$27:$F$32)+$J$51+$J$60</f>
        <v>0</v>
      </c>
      <c r="J190" s="21">
        <f t="shared" ref="J190:J221" si="22">ROUNDDOWN(G190/365,0)</f>
        <v>0</v>
      </c>
      <c r="K190" s="21">
        <f t="shared" ref="K190:K221" si="23">ROUNDDOWN(H190/365,0)</f>
        <v>0</v>
      </c>
      <c r="L190" s="21">
        <f t="shared" ref="L190:L221" si="24">ROUNDDOWN(I190/365,0)</f>
        <v>0</v>
      </c>
      <c r="M190" s="78" t="s">
        <v>661</v>
      </c>
      <c r="P190" s="44"/>
      <c r="Q190" s="44"/>
    </row>
    <row r="191" spans="1:20" ht="12.75" hidden="1" customHeight="1" x14ac:dyDescent="0.15">
      <c r="A191" s="259">
        <v>55</v>
      </c>
      <c r="B191" s="340" t="s">
        <v>640</v>
      </c>
      <c r="C191" s="21" t="s">
        <v>613</v>
      </c>
      <c r="D191" s="104">
        <f>IF(ISERROR(HLOOKUP(J191,$Q$60:$AA$61,2)),0,HLOOKUP(J191,$Q$60:$AA$61,2))</f>
        <v>0</v>
      </c>
      <c r="E191" s="104">
        <f>IF(ISERROR(HLOOKUP(K191,$Q$60:$AA$61,2)),0,HLOOKUP(K191,$Q$60:$AA$61,2))</f>
        <v>0</v>
      </c>
      <c r="F191" s="104">
        <f>IF(ISERROR(HLOOKUP(L191,$Q$60:$AA$61,2)),0,HLOOKUP(L191,$Q$60:$AA$61,2))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22"/>
        <v>0</v>
      </c>
      <c r="K191" s="21">
        <f t="shared" si="23"/>
        <v>0</v>
      </c>
      <c r="L191" s="21">
        <f t="shared" si="24"/>
        <v>0</v>
      </c>
      <c r="M191" s="78" t="s">
        <v>661</v>
      </c>
      <c r="P191" s="44"/>
      <c r="Q191" s="44"/>
    </row>
    <row r="192" spans="1:20" ht="12.75" hidden="1" customHeight="1" x14ac:dyDescent="0.15">
      <c r="A192" s="259">
        <v>56</v>
      </c>
      <c r="B192" s="340" t="s">
        <v>683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22"/>
        <v>0</v>
      </c>
      <c r="K192" s="21">
        <f t="shared" si="23"/>
        <v>0</v>
      </c>
      <c r="L192" s="21">
        <f t="shared" si="24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57</v>
      </c>
      <c r="B193" s="340" t="s">
        <v>699</v>
      </c>
      <c r="C193" s="21" t="s">
        <v>613</v>
      </c>
      <c r="D193" s="104">
        <f>IF(ISERROR(HLOOKUP(J193,$Q$48:$AA$49,2)),0,HLOOKUP(J193,$Q$48:$AA$49,2))</f>
        <v>0</v>
      </c>
      <c r="E193" s="104">
        <f>IF(ISERROR(HLOOKUP(K193,$Q$48:$AA$49,2)),0,HLOOKUP(K193,$Q$48:$AA$49,2))</f>
        <v>0</v>
      </c>
      <c r="F193" s="104">
        <f>IF(ISERROR(HLOOKUP(L193,$Q$48:$AA$49,2)),0,HLOOKUP(L193,$Q$48:$AA$49,2))</f>
        <v>0</v>
      </c>
      <c r="G193" s="396">
        <f>SUM($F$30:$F$32)</f>
        <v>0</v>
      </c>
      <c r="H193" s="103">
        <f>SUM($F$30:$F$32)+$J$51</f>
        <v>0</v>
      </c>
      <c r="I193" s="103">
        <f>SUM($F$30:$F$32)+$J$51+$J$60</f>
        <v>0</v>
      </c>
      <c r="J193" s="21">
        <f t="shared" si="22"/>
        <v>0</v>
      </c>
      <c r="K193" s="21">
        <f t="shared" si="23"/>
        <v>0</v>
      </c>
      <c r="L193" s="21">
        <f t="shared" si="24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58</v>
      </c>
      <c r="B194" s="340" t="s">
        <v>641</v>
      </c>
      <c r="C194" s="21" t="s">
        <v>613</v>
      </c>
      <c r="D194" s="104">
        <f>IF(ISERROR(HLOOKUP(J194,$Q$69:$AC$70,2)),0,HLOOKUP(J194,$Q$69:$AC$70,2))</f>
        <v>0</v>
      </c>
      <c r="E194" s="104">
        <f>IF(ISERROR(HLOOKUP(K194,$Q$69:$AC$70,2)),0,HLOOKUP(K194,$Q$69:$AC$70,2))</f>
        <v>0</v>
      </c>
      <c r="F194" s="104">
        <f>IF(ISERROR(HLOOKUP(L194,$Q$69:$AC$70,2)),0,HLOOKUP(L194,$Q$69:$AC$70,2))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22"/>
        <v>0</v>
      </c>
      <c r="K194" s="21">
        <f t="shared" si="23"/>
        <v>0</v>
      </c>
      <c r="L194" s="21">
        <f t="shared" si="24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59</v>
      </c>
      <c r="B195" s="340" t="s">
        <v>642</v>
      </c>
      <c r="C195" s="21" t="s">
        <v>613</v>
      </c>
      <c r="D195" s="104">
        <f>IF(ISERROR(HLOOKUP(J195,$Q$39:$AB$40,2)),0,HLOOKUP(J195,$Q$39:$AB$40,2))</f>
        <v>0</v>
      </c>
      <c r="E195" s="104">
        <f>IF(ISERROR(HLOOKUP(K195,$Q$39:$AB$40,2)),0,HLOOKUP(K195,$Q$39:$AB$40,2))</f>
        <v>0</v>
      </c>
      <c r="F195" s="104">
        <f>IF(ISERROR(HLOOKUP(L195,$Q$39:$AB$40,2)),0,HLOOKUP(L195,$Q$39:$AB$40,2))</f>
        <v>0</v>
      </c>
      <c r="G195" s="396">
        <f>SUM($F$27:$F$33)</f>
        <v>0</v>
      </c>
      <c r="H195" s="103">
        <f>SUM($F$27:$F$33)+$J$51</f>
        <v>0</v>
      </c>
      <c r="I195" s="103">
        <f>SUM($F$27:$F$33)+$J$51+$J$60</f>
        <v>0</v>
      </c>
      <c r="J195" s="21">
        <f t="shared" si="22"/>
        <v>0</v>
      </c>
      <c r="K195" s="21">
        <f t="shared" si="23"/>
        <v>0</v>
      </c>
      <c r="L195" s="21">
        <f t="shared" si="24"/>
        <v>0</v>
      </c>
      <c r="M195" s="78" t="s">
        <v>661</v>
      </c>
      <c r="P195" s="44"/>
      <c r="Q195" s="44"/>
      <c r="AC195" s="69"/>
      <c r="AD195" s="69"/>
      <c r="AE195" s="69"/>
      <c r="AF195" s="69"/>
      <c r="AG195" s="69"/>
    </row>
    <row r="196" spans="1:33" ht="12.75" hidden="1" customHeight="1" x14ac:dyDescent="0.15">
      <c r="A196" s="259">
        <v>60</v>
      </c>
      <c r="B196" s="340" t="s">
        <v>643</v>
      </c>
      <c r="C196" s="21" t="s">
        <v>547</v>
      </c>
      <c r="D196" s="104">
        <f>IF(ISERROR(HLOOKUP(J196,$Q$80:$W$81,2)),0,HLOOKUP(J196,$Q$80:$W$81,2))</f>
        <v>0</v>
      </c>
      <c r="E196" s="104">
        <f>IF(ISERROR(HLOOKUP(K196,$Q$80:$W$81,2)),0,HLOOKUP(K196,$Q$80:$W$81,2))</f>
        <v>0</v>
      </c>
      <c r="F196" s="104">
        <f>IF(ISERROR(HLOOKUP(L196,$Q$80:$W$81,2)),0,HLOOKUP(L196,$Q$80:$W$81,2))</f>
        <v>0</v>
      </c>
      <c r="G196" s="396">
        <f>SUM($F$30:$F$33)</f>
        <v>0</v>
      </c>
      <c r="H196" s="103">
        <f>SUM($F$30:$F$33)+$J$51</f>
        <v>0</v>
      </c>
      <c r="I196" s="103">
        <f>SUM($F$30:$F$33)+$J$51+$J$60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  <c r="AC196" s="69"/>
      <c r="AD196" s="69"/>
      <c r="AE196" s="69"/>
      <c r="AF196" s="69"/>
      <c r="AG196" s="69"/>
    </row>
    <row r="197" spans="1:33" ht="12.75" hidden="1" customHeight="1" x14ac:dyDescent="0.15">
      <c r="A197" s="259">
        <v>61</v>
      </c>
      <c r="B197" s="340" t="s">
        <v>644</v>
      </c>
      <c r="C197" s="21" t="s">
        <v>613</v>
      </c>
      <c r="D197" s="104">
        <f>IF(ISERROR(HLOOKUP(J197,$Q$39:$AA$40,2)),0,HLOOKUP(J197,$Q$39:$AA$40,2))</f>
        <v>0</v>
      </c>
      <c r="E197" s="104">
        <f>IF(ISERROR(HLOOKUP(K197,$Q$39:$AA$40,2)),0,HLOOKUP(K197,$Q$39:$AA$40,2))</f>
        <v>0</v>
      </c>
      <c r="F197" s="104">
        <f>IF(ISERROR(HLOOKUP(L197,$Q$39:$AA$40,2)),0,HLOOKUP(L197,$Q$39:$AA$40,2))</f>
        <v>0</v>
      </c>
      <c r="G197" s="396">
        <f>SUM($F$27:$F$33)</f>
        <v>0</v>
      </c>
      <c r="H197" s="103">
        <f>SUM($F$27:$F$33)+$J$51</f>
        <v>0</v>
      </c>
      <c r="I197" s="103">
        <f>SUM($F$27:$F$33)+$J$51+$J$60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  <c r="AC197" s="69"/>
      <c r="AD197" s="69"/>
      <c r="AE197" s="69"/>
      <c r="AF197" s="69"/>
      <c r="AG197" s="69"/>
    </row>
    <row r="198" spans="1:33" ht="12.75" hidden="1" customHeight="1" x14ac:dyDescent="0.15">
      <c r="A198" s="259">
        <v>62</v>
      </c>
      <c r="B198" s="345" t="s">
        <v>645</v>
      </c>
      <c r="C198" s="21" t="s">
        <v>527</v>
      </c>
      <c r="D198" s="104">
        <f>IF(ISERROR(HLOOKUP(J198,$Q$26:$AY$27,2)),0,HLOOKUP(J198,$Q$26:$AY$27,2))</f>
        <v>0</v>
      </c>
      <c r="E198" s="104">
        <f>IF(ISERROR(HLOOKUP(K198,$Q$26:$AY$27,2)),0,HLOOKUP(K198,$Q$26:$AY$27,2))</f>
        <v>0</v>
      </c>
      <c r="F198" s="104">
        <f>IF(ISERROR(HLOOKUP(L198,$Q$26:$AY$27,2)),0,HLOOKUP(L198,$Q$26:$AY$27,2))</f>
        <v>0</v>
      </c>
      <c r="G198" s="396">
        <f>SUM($F$30:$F$32)</f>
        <v>0</v>
      </c>
      <c r="H198" s="103">
        <f>SUM($F$27:$F$32)+$J$51</f>
        <v>0</v>
      </c>
      <c r="I198" s="103">
        <f>SUM($F$27:$F$32)+$J$51+$J$60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69"/>
    </row>
    <row r="199" spans="1:33" ht="12.75" hidden="1" customHeight="1" x14ac:dyDescent="0.15">
      <c r="A199" s="259">
        <v>63</v>
      </c>
      <c r="B199" s="345" t="s">
        <v>646</v>
      </c>
      <c r="C199" s="21"/>
      <c r="D199" s="54"/>
      <c r="E199" s="54"/>
      <c r="F199" s="54"/>
      <c r="G199" s="54"/>
      <c r="H199" s="54"/>
      <c r="I199" s="347"/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64</v>
      </c>
      <c r="B200" s="349" t="s">
        <v>647</v>
      </c>
      <c r="C200" s="308" t="s">
        <v>613</v>
      </c>
      <c r="D200" s="305">
        <f>IF(ISERROR(HLOOKUP(J200,$Q$48:$AB$49,2)),0,HLOOKUP(J200,$Q$48:$AB$49,2))</f>
        <v>0</v>
      </c>
      <c r="E200" s="305">
        <f>IF(ISERROR(HLOOKUP(K200,$Q$48:$AB$49,2)),0,HLOOKUP(K200,$Q$48:$AB$49,2))</f>
        <v>0</v>
      </c>
      <c r="F200" s="305">
        <f>IF(ISERROR(HLOOKUP(L200,$Q$48:$AB$49,2)),0,HLOOKUP(L200,$Q$48:$AB$49,2))</f>
        <v>0</v>
      </c>
      <c r="G200" s="350">
        <f>SUM($F$30:$F$33)+$O$200</f>
        <v>0</v>
      </c>
      <c r="H200" s="350">
        <f>$G$200+$J$51</f>
        <v>0</v>
      </c>
      <c r="I200" s="350">
        <f>$G$200+$J$51+$J$60</f>
        <v>0</v>
      </c>
      <c r="J200" s="351">
        <f t="shared" si="22"/>
        <v>0</v>
      </c>
      <c r="K200" s="351">
        <f t="shared" si="23"/>
        <v>0</v>
      </c>
      <c r="L200" s="351">
        <f t="shared" si="24"/>
        <v>0</v>
      </c>
      <c r="M200" s="352" t="s">
        <v>662</v>
      </c>
      <c r="N200" s="310">
        <f>SUM($F$27:$F$29)</f>
        <v>0</v>
      </c>
      <c r="O200" s="309">
        <f>IF($N$200&gt;365,365,$N$200)</f>
        <v>0</v>
      </c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65</v>
      </c>
      <c r="B201" s="345" t="s">
        <v>648</v>
      </c>
      <c r="C201" s="21" t="s">
        <v>547</v>
      </c>
      <c r="D201" s="104">
        <f>IF(ISERROR(HLOOKUP(J201,$Q$73:$AB$74,2)),0,HLOOKUP(J201,$Q$73:$AB$74,2))</f>
        <v>0</v>
      </c>
      <c r="E201" s="105">
        <f>IF(ISERROR(HLOOKUP(K201,$Q$73:$AB$74,2)),0,HLOOKUP(K201,$Q$73:$AB$74,2))</f>
        <v>0</v>
      </c>
      <c r="F201" s="106">
        <f>IF(ISERROR(HLOOKUP(L201,$Q$73:$AB$74,2)),0,HLOOKUP(L201,$Q$73:$AB$74,2))</f>
        <v>0</v>
      </c>
      <c r="G201" s="355">
        <f>SUM($F$27:$F$32)</f>
        <v>0</v>
      </c>
      <c r="H201" s="355">
        <f>SUM($F$27:$F$32)+$J$51</f>
        <v>0</v>
      </c>
      <c r="I201" s="355">
        <f>SUM($F$27:$F$32)+$J$51+$J$60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348"/>
    </row>
    <row r="202" spans="1:33" ht="12.75" hidden="1" customHeight="1" x14ac:dyDescent="0.15">
      <c r="A202" s="259">
        <v>66</v>
      </c>
      <c r="B202" s="345" t="s">
        <v>649</v>
      </c>
      <c r="C202" s="21" t="s">
        <v>613</v>
      </c>
      <c r="D202" s="104">
        <f>IF(ISERROR(HLOOKUP(J202,$Q$39:$Z$40,2)),0,HLOOKUP(J202,$Q$39:$Z$40,2))</f>
        <v>0</v>
      </c>
      <c r="E202" s="104">
        <f>IF(ISERROR(HLOOKUP(K202,$Q$39:$Z$40,2)),0,HLOOKUP(K202,$Q$39:$Z$40,2))</f>
        <v>0</v>
      </c>
      <c r="F202" s="104">
        <f>IF(ISERROR(HLOOKUP(L202,$Q$39:$Z$40,2)),0,HLOOKUP(L202,$Q$39:$Z$40,2))</f>
        <v>0</v>
      </c>
      <c r="G202" s="355">
        <f>SUM($F$30:$F$32)</f>
        <v>0</v>
      </c>
      <c r="H202" s="355">
        <f>SUM($F$30:$F$32)+$J$51</f>
        <v>0</v>
      </c>
      <c r="I202" s="355">
        <f>SUM($F$30:$F$32)+$J$51+$J$60</f>
        <v>0</v>
      </c>
      <c r="J202" s="356">
        <f t="shared" si="22"/>
        <v>0</v>
      </c>
      <c r="K202" s="356">
        <f t="shared" si="23"/>
        <v>0</v>
      </c>
      <c r="L202" s="356">
        <f t="shared" si="24"/>
        <v>0</v>
      </c>
      <c r="M202" s="346" t="s">
        <v>662</v>
      </c>
      <c r="P202" s="44"/>
      <c r="Q202" s="44"/>
      <c r="AC202" s="69"/>
      <c r="AD202" s="69"/>
      <c r="AE202" s="69"/>
      <c r="AF202" s="69"/>
      <c r="AG202" s="348"/>
    </row>
    <row r="203" spans="1:33" ht="12.75" hidden="1" customHeight="1" x14ac:dyDescent="0.15">
      <c r="A203" s="259">
        <v>67</v>
      </c>
      <c r="B203" s="345" t="s">
        <v>650</v>
      </c>
      <c r="C203" s="21" t="s">
        <v>613</v>
      </c>
      <c r="D203" s="104">
        <f>IF(ISERROR(HLOOKUP(J203,$Q$51:$Y$52,2)),0,HLOOKUP(J203,$Q$51:$Y$52,2))</f>
        <v>0</v>
      </c>
      <c r="E203" s="104">
        <f>IF(ISERROR(HLOOKUP(K203,$Q$51:$Y$52,2)),0,HLOOKUP(K203,$Q$51:$Y$52,2))</f>
        <v>0</v>
      </c>
      <c r="F203" s="104">
        <f>IF(ISERROR(HLOOKUP(L203,$Q$51:$Y$52,2)),0,HLOOKUP(L203,$Q$51:$Y$52,2))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348"/>
    </row>
    <row r="204" spans="1:33" s="308" customFormat="1" ht="12.75" hidden="1" customHeight="1" x14ac:dyDescent="0.15">
      <c r="A204" s="304">
        <v>68</v>
      </c>
      <c r="B204" s="349" t="s">
        <v>651</v>
      </c>
      <c r="C204" s="308" t="s">
        <v>547</v>
      </c>
      <c r="D204" s="305">
        <f>IF(ISERROR(HLOOKUP(J204,$Q$73:$W$74,2)),0,HLOOKUP(J204,$Q$73:$W$74,2))</f>
        <v>0</v>
      </c>
      <c r="E204" s="305">
        <f>IF(ISERROR(HLOOKUP(K204,$Q$73:$W$74,2)),0,HLOOKUP(K204,$Q$73:$W$74,2))</f>
        <v>0</v>
      </c>
      <c r="F204" s="305">
        <f>IF(ISERROR(HLOOKUP(L204,$Q$73:$W$74,2)),0,HLOOKUP(L204,$Q$73:$W$74,2))</f>
        <v>0</v>
      </c>
      <c r="G204" s="350">
        <f>$N$204</f>
        <v>0</v>
      </c>
      <c r="H204" s="350">
        <f>$G$204+$J$51</f>
        <v>0</v>
      </c>
      <c r="I204" s="350">
        <f>$G$204+$J$51+$J$60</f>
        <v>0</v>
      </c>
      <c r="J204" s="308">
        <f t="shared" si="22"/>
        <v>0</v>
      </c>
      <c r="K204" s="308">
        <f t="shared" si="23"/>
        <v>0</v>
      </c>
      <c r="L204" s="308">
        <f t="shared" si="24"/>
        <v>0</v>
      </c>
      <c r="M204" s="352" t="s">
        <v>662</v>
      </c>
      <c r="N204" s="310">
        <f>SUM(F30:F32)</f>
        <v>0</v>
      </c>
      <c r="O204" s="309"/>
      <c r="P204" s="353"/>
      <c r="Q204" s="353"/>
      <c r="AC204" s="354"/>
      <c r="AD204" s="354"/>
      <c r="AE204" s="354"/>
      <c r="AF204" s="354"/>
      <c r="AG204" s="354"/>
    </row>
    <row r="205" spans="1:33" ht="12.75" hidden="1" customHeight="1" x14ac:dyDescent="0.15">
      <c r="A205" s="259">
        <v>69</v>
      </c>
      <c r="B205" s="345" t="s">
        <v>652</v>
      </c>
      <c r="C205" s="21" t="s">
        <v>613</v>
      </c>
      <c r="D205" s="104">
        <f>IF(ISERROR(HLOOKUP(J205,$Q$39:$Z$40,2)),0,HLOOKUP(J205,$Q$39:$Z$40,2))</f>
        <v>0</v>
      </c>
      <c r="E205" s="104">
        <f>IF(ISERROR(HLOOKUP(K205,$Q$39:$Z$40,2)),0,HLOOKUP(K205,$Q$39:$Z$40,2))</f>
        <v>0</v>
      </c>
      <c r="F205" s="104">
        <f>IF(ISERROR(HLOOKUP(L205,$Q$39:$Z$40,2)),0,HLOOKUP(L205,$Q$39:$Z$40,2))</f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22"/>
        <v>0</v>
      </c>
      <c r="K205" s="21">
        <f t="shared" si="23"/>
        <v>0</v>
      </c>
      <c r="L205" s="21">
        <f t="shared" si="24"/>
        <v>0</v>
      </c>
      <c r="M205" s="346" t="s">
        <v>662</v>
      </c>
      <c r="P205" s="44"/>
      <c r="Q205" s="44"/>
      <c r="AC205" s="69"/>
      <c r="AD205" s="69"/>
      <c r="AE205" s="69"/>
      <c r="AF205" s="69"/>
      <c r="AG205" s="69"/>
    </row>
    <row r="206" spans="1:33" ht="13.5" hidden="1" x14ac:dyDescent="0.15">
      <c r="A206" s="259">
        <v>70</v>
      </c>
      <c r="B206" s="345" t="s">
        <v>653</v>
      </c>
      <c r="C206" s="21" t="s">
        <v>613</v>
      </c>
      <c r="D206" s="104">
        <f>IF(ISERROR(HLOOKUP(J206,$Q$48:$AB$49,2)),0,HLOOKUP(J206,$Q$48:$AB$49,2))</f>
        <v>0</v>
      </c>
      <c r="E206" s="104">
        <f>IF(ISERROR(HLOOKUP(K206,$Q$48:$AB$49,2)),0,HLOOKUP(K206,$Q$48:$AB$49,2))</f>
        <v>0</v>
      </c>
      <c r="F206" s="104">
        <f>IF(ISERROR(HLOOKUP(L206,$Q$48:$AB$49,2)),0,HLOOKUP(L206,$Q$48:$AB$49,2))</f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</row>
    <row r="207" spans="1:33" ht="13.5" hidden="1" x14ac:dyDescent="0.15">
      <c r="A207" s="259">
        <v>71</v>
      </c>
      <c r="B207" s="345" t="s">
        <v>654</v>
      </c>
      <c r="C207" s="21" t="s">
        <v>613</v>
      </c>
      <c r="D207" s="104">
        <f>IF(ISERROR(HLOOKUP(J207,$Q$48:$AA$49,2)),0,HLOOKUP(J207,$Q$48:$AA$49,2))</f>
        <v>0</v>
      </c>
      <c r="E207" s="104">
        <f>IF(ISERROR(HLOOKUP(K207,$Q$48:$AA$49,2)),0,HLOOKUP(K207,$Q$48:$AA$49,2))</f>
        <v>0</v>
      </c>
      <c r="F207" s="104">
        <f>IF(ISERROR(HLOOKUP(L207,$Q$48:$AA$49,2)),0,HLOOKUP(L207,$Q$48:$AA$49,2))</f>
        <v>0</v>
      </c>
      <c r="G207" s="396">
        <f>SUM($F$30:$F$32)</f>
        <v>0</v>
      </c>
      <c r="H207" s="103">
        <f>SUM($F$30:$F$32)+$J$51</f>
        <v>0</v>
      </c>
      <c r="I207" s="103">
        <f>SUM($F$30:$F$32)+$J$51+$J$60</f>
        <v>0</v>
      </c>
      <c r="J207" s="21">
        <f t="shared" si="22"/>
        <v>0</v>
      </c>
      <c r="K207" s="21">
        <f t="shared" si="23"/>
        <v>0</v>
      </c>
      <c r="L207" s="21">
        <f t="shared" si="24"/>
        <v>0</v>
      </c>
      <c r="M207" s="346" t="s">
        <v>662</v>
      </c>
      <c r="P207" s="44"/>
      <c r="Q207" s="44"/>
    </row>
    <row r="208" spans="1:33" ht="13.5" hidden="1" x14ac:dyDescent="0.15">
      <c r="A208" s="259">
        <v>72</v>
      </c>
      <c r="B208" s="345" t="s">
        <v>655</v>
      </c>
      <c r="C208" s="21" t="s">
        <v>527</v>
      </c>
      <c r="D208" s="104">
        <f>IF(ISERROR(HLOOKUP(J208,$Q$54:$AR$55,2)),0,HLOOKUP(J208,$Q$54:$AR$55,2))</f>
        <v>0</v>
      </c>
      <c r="E208" s="104">
        <f>IF(ISERROR(HLOOKUP(K208,$Q$54:$AR$55,2)),0,HLOOKUP(K208,$Q$54:$AR$55,2))</f>
        <v>0</v>
      </c>
      <c r="F208" s="104">
        <f>IF(ISERROR(HLOOKUP(L208,$Q$54:$AR$55,2)),0,HLOOKUP(L208,$Q$54:$AR$55,2))</f>
        <v>0</v>
      </c>
      <c r="G208" s="396">
        <f>SUM($F$27:$F$32)</f>
        <v>0</v>
      </c>
      <c r="H208" s="103">
        <f>SUM($F$27:$F$32)+$J$51</f>
        <v>0</v>
      </c>
      <c r="I208" s="103">
        <f>SUM($F$27:$F$32)+$J$51+$J$60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</row>
    <row r="209" spans="1:32" ht="13.5" hidden="1" x14ac:dyDescent="0.15">
      <c r="A209" s="259">
        <v>73</v>
      </c>
      <c r="B209" s="345" t="s">
        <v>663</v>
      </c>
      <c r="C209" s="21" t="s">
        <v>527</v>
      </c>
      <c r="D209" s="104">
        <f t="shared" ref="D209:F210" si="25">IF(ISERROR(HLOOKUP(J209,$Q$26:$AY$27,2)),0,HLOOKUP(J209,$Q$26:$AY$27,2))</f>
        <v>0</v>
      </c>
      <c r="E209" s="104">
        <f t="shared" si="25"/>
        <v>0</v>
      </c>
      <c r="F209" s="104">
        <f t="shared" si="25"/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22"/>
        <v>0</v>
      </c>
      <c r="K209" s="21">
        <f t="shared" si="23"/>
        <v>0</v>
      </c>
      <c r="L209" s="21">
        <f t="shared" si="24"/>
        <v>0</v>
      </c>
      <c r="M209" s="346" t="s">
        <v>662</v>
      </c>
      <c r="P209" s="44"/>
      <c r="Q209" s="44"/>
    </row>
    <row r="210" spans="1:32" ht="13.5" hidden="1" x14ac:dyDescent="0.15">
      <c r="A210" s="259">
        <v>74</v>
      </c>
      <c r="B210" s="345" t="s">
        <v>664</v>
      </c>
      <c r="C210" s="21" t="s">
        <v>527</v>
      </c>
      <c r="D210" s="104">
        <f t="shared" si="25"/>
        <v>0</v>
      </c>
      <c r="E210" s="104">
        <f t="shared" si="25"/>
        <v>0</v>
      </c>
      <c r="F210" s="104">
        <f t="shared" si="25"/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</row>
    <row r="211" spans="1:32" ht="13.5" hidden="1" x14ac:dyDescent="0.15">
      <c r="A211" s="259">
        <v>75</v>
      </c>
      <c r="B211" s="345" t="s">
        <v>665</v>
      </c>
      <c r="C211" s="21" t="s">
        <v>547</v>
      </c>
      <c r="D211" s="104">
        <f>IF(ISERROR(HLOOKUP(J211,$Q$73:$W$74,2)),0,HLOOKUP(J211,$Q$73:$W$74,2))</f>
        <v>0</v>
      </c>
      <c r="E211" s="104">
        <f>IF(ISERROR(HLOOKUP(K211,$Q$73:$W$74,2)),0,HLOOKUP(K211,$Q$73:$W$74,2))</f>
        <v>0</v>
      </c>
      <c r="F211" s="104">
        <f>IF(ISERROR(HLOOKUP(L211,$Q$73:$W$74,2)),0,HLOOKUP(L211,$Q$73:$W$74,2))</f>
        <v>0</v>
      </c>
      <c r="G211" s="396">
        <f>SUM($F$27:$F$32)</f>
        <v>0</v>
      </c>
      <c r="H211" s="103">
        <f>SUM($F$27:$F$32)+$J$51</f>
        <v>0</v>
      </c>
      <c r="I211" s="103">
        <f>SUM($F$27:$F$32)+$J$51+$J$60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2" ht="13.5" hidden="1" x14ac:dyDescent="0.15">
      <c r="A212" s="259">
        <v>76</v>
      </c>
      <c r="B212" s="345" t="s">
        <v>689</v>
      </c>
      <c r="C212" s="21" t="s">
        <v>613</v>
      </c>
      <c r="D212" s="104">
        <f>IF(ISERROR(HLOOKUP(J212,$Q$48:$AB$49,2)),0,HLOOKUP(J212,$Q$48:$AB$49,2))</f>
        <v>0</v>
      </c>
      <c r="E212" s="104">
        <f>IF(ISERROR(HLOOKUP(K212,$Q$48:$AB$49,2)),0,HLOOKUP(K212,$Q$48:$AB$49,2))</f>
        <v>0</v>
      </c>
      <c r="F212" s="104">
        <f>IF(ISERROR(HLOOKUP(L212,$Q$48:$AB$49,2)),0,HLOOKUP(L212,$Q$48:$AB$49,2))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2" ht="13.5" hidden="1" x14ac:dyDescent="0.15">
      <c r="A213" s="259">
        <v>77</v>
      </c>
      <c r="B213" s="345" t="s">
        <v>666</v>
      </c>
      <c r="C213" s="21" t="s">
        <v>613</v>
      </c>
      <c r="D213" s="104">
        <f>IF(ISERROR(HLOOKUP(J213,$Q$48:$AA$49,2)),0,HLOOKUP(J213,$Q$48:$AA$49,2))</f>
        <v>0</v>
      </c>
      <c r="E213" s="104">
        <f>IF(ISERROR(HLOOKUP(K213,$Q$48:$AA$49,2)),0,HLOOKUP(K213,$Q$48:$AA$49,2))</f>
        <v>0</v>
      </c>
      <c r="F213" s="104">
        <f>IF(ISERROR(HLOOKUP(L213,$Q$48:$AA$49,2)),0,HLOOKUP(L213,$Q$48:$AA$49,2))</f>
        <v>0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2" ht="13.5" hidden="1" x14ac:dyDescent="0.15">
      <c r="A214" s="259">
        <v>78</v>
      </c>
      <c r="B214" s="345" t="s">
        <v>667</v>
      </c>
      <c r="C214" s="21" t="s">
        <v>613</v>
      </c>
      <c r="D214" s="104">
        <f>IF(ISERROR(HLOOKUP(J214,$Q$57:$AA$58,2)),0,HLOOKUP(J214,$Q$57:$AA$58,2))</f>
        <v>0</v>
      </c>
      <c r="E214" s="104">
        <f>IF(ISERROR(HLOOKUP(K214,$Q$57:$AA$58,2)),0,HLOOKUP(K214,$Q$57:$AA$58,2))</f>
        <v>0</v>
      </c>
      <c r="F214" s="104">
        <f>IF(ISERROR(HLOOKUP(L214,$Q$57:$AA$58,2)),0,HLOOKUP(L214,$Q$57:$AA$58,2))</f>
        <v>0</v>
      </c>
      <c r="G214" s="396">
        <f>SUM($F$29:$F$32)</f>
        <v>0</v>
      </c>
      <c r="H214" s="103">
        <f>SUM($F$29:$F$32)+$J$51</f>
        <v>0</v>
      </c>
      <c r="I214" s="103">
        <f>SUM($F$29:$F$32)+$J$51+$J$60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2" s="308" customFormat="1" ht="13.5" hidden="1" x14ac:dyDescent="0.15">
      <c r="A215" s="304">
        <v>79</v>
      </c>
      <c r="B215" s="349" t="s">
        <v>668</v>
      </c>
      <c r="C215" s="308" t="s">
        <v>613</v>
      </c>
      <c r="D215" s="305">
        <f>IF(ISERROR(HLOOKUP(J215,$Q$39:$AA$40,2)),0,HLOOKUP(J215,$Q$39:$AA$40,2))</f>
        <v>0</v>
      </c>
      <c r="E215" s="305">
        <f>IF(ISERROR(HLOOKUP(K215,$Q$39:$AA$40,2)),0,HLOOKUP(K215,$Q$39:$AA$40,2))</f>
        <v>0</v>
      </c>
      <c r="F215" s="305">
        <f>IF(ISERROR(HLOOKUP(L215,$Q$39:$AA$40,2)),0,HLOOKUP(L215,$Q$39:$AA$40,2))</f>
        <v>0</v>
      </c>
      <c r="G215" s="399">
        <f>$N$215+$F$33</f>
        <v>0</v>
      </c>
      <c r="H215" s="307">
        <f>$G$215+$J$51</f>
        <v>0</v>
      </c>
      <c r="I215" s="307">
        <f>$N$215+$J$51+$J$60</f>
        <v>0</v>
      </c>
      <c r="J215" s="308">
        <f t="shared" si="22"/>
        <v>0</v>
      </c>
      <c r="K215" s="308">
        <f t="shared" si="23"/>
        <v>0</v>
      </c>
      <c r="L215" s="308">
        <f t="shared" si="24"/>
        <v>0</v>
      </c>
      <c r="M215" s="352" t="s">
        <v>662</v>
      </c>
      <c r="N215" s="308">
        <f>IF($C$30&gt;=$A$36,$E$30-$C$30+1,IF($C$31&gt;=$A$36,$E$31-$C$31+1,IF($C$32&gt;=$A$36,$E$32-$C$32+1,IF($E$30&lt;&gt;0,$E$30-$A$36+1,IF($E$31&lt;&gt;0,$E$31-$A$36+1,IF($E$32&lt;&gt;0,$E$32-$A$36+1,0))))))</f>
        <v>0</v>
      </c>
      <c r="O215" s="309"/>
      <c r="P215" s="353"/>
      <c r="Q215" s="353"/>
      <c r="AD215" s="310"/>
      <c r="AE215" s="310"/>
      <c r="AF215" s="310"/>
    </row>
    <row r="216" spans="1:32" ht="13.5" hidden="1" x14ac:dyDescent="0.15">
      <c r="A216" s="259">
        <v>80</v>
      </c>
      <c r="B216" s="345" t="s">
        <v>669</v>
      </c>
      <c r="C216" s="21" t="s">
        <v>547</v>
      </c>
      <c r="D216" s="104">
        <f>IF(ISERROR(HLOOKUP(J216,$Q$73:$V$74,2)),0,HLOOKUP(J216,$Q$73:$V$74,2))</f>
        <v>0</v>
      </c>
      <c r="E216" s="104">
        <f>IF(ISERROR(HLOOKUP(K216,$Q$73:$V$74,2)),0,HLOOKUP(K216,$Q$73:$V$74,2))</f>
        <v>0</v>
      </c>
      <c r="F216" s="104">
        <f>IF(ISERROR(HLOOKUP(L216,$Q$73:$V$74,2)),0,HLOOKUP(L216,$Q$73:$V$74,2))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2" ht="13.5" hidden="1" x14ac:dyDescent="0.15">
      <c r="A217" s="259" t="s">
        <v>703</v>
      </c>
      <c r="B217" s="345" t="s">
        <v>701</v>
      </c>
      <c r="C217" s="21" t="s">
        <v>702</v>
      </c>
      <c r="D217" s="148">
        <f>IF(J217&lt;=10,0.1,IF(J217&lt;=20,0.2,0.3))</f>
        <v>0.1</v>
      </c>
      <c r="E217" s="148">
        <f>IF(K217&lt;=10,0.1,IF(K217&lt;=20,0.2,0.3))</f>
        <v>0.1</v>
      </c>
      <c r="F217" s="148">
        <f>IF(L217&lt;=10,0.1,IF(L217&lt;=20,0.2,0.3))</f>
        <v>0.1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2" ht="13.5" hidden="1" x14ac:dyDescent="0.15">
      <c r="A218" s="259">
        <v>81</v>
      </c>
      <c r="B218" s="345" t="s">
        <v>670</v>
      </c>
      <c r="C218" s="21" t="s">
        <v>547</v>
      </c>
      <c r="D218" s="104">
        <f>IF(ISERROR(HLOOKUP(J218,$Q$73:$W$74,2)),0,HLOOKUP(J218,$Q$73:$W$74,2))</f>
        <v>0</v>
      </c>
      <c r="E218" s="104">
        <f>IF(ISERROR(HLOOKUP(K218,$Q$73:$W$74,2)),0,HLOOKUP(K218,$Q$73:$W$74,2))</f>
        <v>0</v>
      </c>
      <c r="F218" s="104">
        <f>IF(ISERROR(HLOOKUP(L218,$Q$73:$W$74,2)),0,HLOOKUP(L218,$Q$73:$W$74,2))</f>
        <v>0</v>
      </c>
      <c r="G218" s="396">
        <f>SUM($F$27:$F$33)</f>
        <v>0</v>
      </c>
      <c r="H218" s="103">
        <f>SUM($F$27:$F$33)+$J$51</f>
        <v>0</v>
      </c>
      <c r="I218" s="103">
        <f>SUM($F$27:$F$33)+$J$51+$J$60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2" ht="13.5" hidden="1" x14ac:dyDescent="0.15">
      <c r="A219" s="259">
        <v>82</v>
      </c>
      <c r="B219" s="345" t="s">
        <v>671</v>
      </c>
      <c r="C219" s="21" t="s">
        <v>613</v>
      </c>
      <c r="D219" s="104">
        <f>IF(ISERROR(HLOOKUP(J219,$Q$42:$AA$43,2)),0,HLOOKUP(J219,$Q$42:$AA$43,2))</f>
        <v>0</v>
      </c>
      <c r="E219" s="104">
        <f>IF(ISERROR(HLOOKUP(K219,$Q$42:$AA$43,2)),0,HLOOKUP(K219,$Q$42:$AA$43,2))</f>
        <v>0</v>
      </c>
      <c r="F219" s="104">
        <f>IF(ISERROR(HLOOKUP(L219,$Q$42:$AA$43,2)),0,HLOOKUP(L219,$Q$42:$AA$43,2))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2" ht="13.5" hidden="1" x14ac:dyDescent="0.15">
      <c r="A220" s="259">
        <v>83</v>
      </c>
      <c r="B220" s="345" t="s">
        <v>672</v>
      </c>
      <c r="C220" s="21"/>
      <c r="E220" s="40"/>
      <c r="J220" s="21">
        <f t="shared" si="22"/>
        <v>0</v>
      </c>
      <c r="K220" s="21">
        <f t="shared" si="23"/>
        <v>0</v>
      </c>
      <c r="L220" s="21">
        <f t="shared" si="24"/>
        <v>0</v>
      </c>
      <c r="M220" s="346" t="s">
        <v>662</v>
      </c>
      <c r="P220" s="44"/>
      <c r="Q220" s="44"/>
    </row>
    <row r="221" spans="1:32" ht="13.5" hidden="1" x14ac:dyDescent="0.15">
      <c r="A221" s="259">
        <v>84</v>
      </c>
      <c r="B221" s="108" t="s">
        <v>673</v>
      </c>
      <c r="C221" s="21" t="s">
        <v>613</v>
      </c>
      <c r="D221" s="104">
        <f>IF(ISERROR(HLOOKUP(J221,$Q$48:$AB$49,2)),0,HLOOKUP(J221,$Q$48:$AB$49,2))</f>
        <v>0</v>
      </c>
      <c r="E221" s="104">
        <f>IF(ISERROR(HLOOKUP(K221,$Q$48:$AB$49,2)),0,HLOOKUP(K221,$Q$48:$AB$49,2))</f>
        <v>0</v>
      </c>
      <c r="F221" s="104">
        <f>IF(ISERROR(HLOOKUP(L221,$Q$48:$AB$49,2)),0,HLOOKUP(L221,$Q$48:$AB$49,2))</f>
        <v>0</v>
      </c>
      <c r="G221" s="396">
        <f>SUM($F$30:$F$32)</f>
        <v>0</v>
      </c>
      <c r="H221" s="103">
        <f>SUM($F$30:$F$32)+$J$51</f>
        <v>0</v>
      </c>
      <c r="I221" s="103">
        <f>SUM($F$30:$F$32)+$J$51+$J$60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N221" s="104">
        <f>IF(ISERROR(HLOOKUP(L221,$Q$48:$AB$49,2)),0,HLOOKUP(L221,$Q$48:$AB$49,2))</f>
        <v>0</v>
      </c>
      <c r="P221" s="44"/>
      <c r="Q221" s="44"/>
    </row>
    <row r="222" spans="1:32" ht="13.5" hidden="1" x14ac:dyDescent="0.15">
      <c r="A222" s="259">
        <v>85</v>
      </c>
      <c r="B222" s="108" t="s">
        <v>674</v>
      </c>
      <c r="C222" s="21" t="s">
        <v>527</v>
      </c>
      <c r="D222" s="104">
        <f>IF(ISERROR(HLOOKUP(J222,$Q$35:$AY$36,2)),0,HLOOKUP(J222,$Q$35:$AY$36,2))</f>
        <v>0</v>
      </c>
      <c r="E222" s="104">
        <f>IF(ISERROR(HLOOKUP(K222,$Q$35:$AY$36,2)),0,HLOOKUP(K222,$Q$35:$AY$36,2))</f>
        <v>0</v>
      </c>
      <c r="F222" s="104">
        <f>IF(ISERROR(HLOOKUP(L222,$Q$35:$AY$36,2)),0,HLOOKUP(L222,$Q$35:$AY$36,2))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ref="J222:J229" si="26">ROUNDDOWN(G222/365,0)</f>
        <v>0</v>
      </c>
      <c r="K222" s="21">
        <f t="shared" ref="K222:K229" si="27">ROUNDDOWN(H222/365,0)</f>
        <v>0</v>
      </c>
      <c r="L222" s="21">
        <f t="shared" ref="L222:L229" si="28">ROUNDDOWN(I222/365,0)</f>
        <v>0</v>
      </c>
      <c r="M222" s="346" t="s">
        <v>662</v>
      </c>
      <c r="P222" s="44"/>
      <c r="Q222" s="44"/>
    </row>
    <row r="223" spans="1:32" ht="13.5" hidden="1" x14ac:dyDescent="0.15">
      <c r="A223" s="259">
        <v>86</v>
      </c>
      <c r="B223" s="108" t="s">
        <v>675</v>
      </c>
      <c r="C223" s="21" t="s">
        <v>613</v>
      </c>
      <c r="D223" s="104">
        <f>IF(ISERROR(HLOOKUP(J223,$Q$60:$AC$61,2)),0,HLOOKUP(J223,$Q$60:$AC$61,2))</f>
        <v>0</v>
      </c>
      <c r="E223" s="104">
        <f>IF(ISERROR(HLOOKUP(K223,$Q$60:$AC$61,2)),0,HLOOKUP(K223,$Q$60:$AC$61,2))</f>
        <v>0</v>
      </c>
      <c r="F223" s="104">
        <f>IF(ISERROR(HLOOKUP(L223,$Q$60:$AC$61,2)),0,HLOOKUP(L223,$Q$60:$AC$61,2))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26"/>
        <v>0</v>
      </c>
      <c r="K223" s="21">
        <f t="shared" si="27"/>
        <v>0</v>
      </c>
      <c r="L223" s="21">
        <f t="shared" si="28"/>
        <v>0</v>
      </c>
      <c r="M223" s="346" t="s">
        <v>662</v>
      </c>
      <c r="P223" s="44"/>
      <c r="Q223" s="44"/>
    </row>
    <row r="224" spans="1:32" ht="13.5" hidden="1" x14ac:dyDescent="0.15">
      <c r="A224" s="259">
        <v>87</v>
      </c>
      <c r="B224" s="108" t="s">
        <v>677</v>
      </c>
      <c r="C224" s="21"/>
      <c r="D224" s="21"/>
      <c r="J224" s="21">
        <f t="shared" si="26"/>
        <v>0</v>
      </c>
      <c r="K224" s="21">
        <f t="shared" si="27"/>
        <v>0</v>
      </c>
      <c r="L224" s="21">
        <f t="shared" si="28"/>
        <v>0</v>
      </c>
      <c r="M224" s="346" t="s">
        <v>662</v>
      </c>
      <c r="P224" s="44"/>
      <c r="Q224" s="44"/>
    </row>
    <row r="225" spans="1:17" ht="13.5" hidden="1" x14ac:dyDescent="0.15">
      <c r="A225" s="259">
        <v>88</v>
      </c>
      <c r="B225" s="108" t="s">
        <v>678</v>
      </c>
      <c r="C225" s="21" t="s">
        <v>613</v>
      </c>
      <c r="D225" s="104">
        <f>IF(ISERROR(HLOOKUP(J225,$Q$39:$AA$40,2)),0,HLOOKUP(J225,$Q$39:$AA$40,2))</f>
        <v>0</v>
      </c>
      <c r="E225" s="104">
        <f>IF(ISERROR(HLOOKUP(K225,$Q$39:$AA$40,2)),0,HLOOKUP(K225,$Q$39:$AA$40,2))</f>
        <v>0</v>
      </c>
      <c r="F225" s="104">
        <f>IF(ISERROR(HLOOKUP(L225,$Q$39:$AA$40,2)),0,HLOOKUP(L225,$Q$39:$AA$40,2))</f>
        <v>0</v>
      </c>
      <c r="G225" s="396">
        <f>SUM($F$27:$F$32)</f>
        <v>0</v>
      </c>
      <c r="H225" s="103">
        <f>SUM($F$27:$F$32)+$J$51</f>
        <v>0</v>
      </c>
      <c r="I225" s="103">
        <f>SUM($F$27:$F$32)+$J$51+$J$60</f>
        <v>0</v>
      </c>
      <c r="J225" s="21">
        <f t="shared" si="26"/>
        <v>0</v>
      </c>
      <c r="K225" s="21">
        <f t="shared" si="27"/>
        <v>0</v>
      </c>
      <c r="L225" s="21">
        <f t="shared" si="28"/>
        <v>0</v>
      </c>
      <c r="M225" s="346" t="s">
        <v>662</v>
      </c>
      <c r="P225" s="44"/>
      <c r="Q225" s="44"/>
    </row>
    <row r="226" spans="1:17" ht="13.5" hidden="1" x14ac:dyDescent="0.15">
      <c r="A226" s="259">
        <v>89</v>
      </c>
      <c r="B226" s="108" t="s">
        <v>679</v>
      </c>
      <c r="C226" s="21" t="s">
        <v>613</v>
      </c>
      <c r="D226" s="104">
        <f>IF(ISERROR(HLOOKUP(J226,$Q$48:$V$49,2)),0,HLOOKUP(J226,$Q$48:$V$49,2))</f>
        <v>0</v>
      </c>
      <c r="E226" s="104">
        <f>IF(ISERROR(HLOOKUP(K226,$Q$48:$V$49,2)),0,HLOOKUP(K226,$Q$48:$V$49,2))</f>
        <v>0</v>
      </c>
      <c r="F226" s="104">
        <f>IF(ISERROR(HLOOKUP(L226,$Q$48:$V$49,2)),0,HLOOKUP(L226,$Q$48:$V$49,2))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6"/>
        <v>0</v>
      </c>
      <c r="K226" s="21">
        <f t="shared" si="27"/>
        <v>0</v>
      </c>
      <c r="L226" s="21">
        <f t="shared" si="28"/>
        <v>0</v>
      </c>
      <c r="M226" s="346" t="s">
        <v>662</v>
      </c>
      <c r="P226" s="44"/>
      <c r="Q226" s="44"/>
    </row>
    <row r="227" spans="1:17" ht="13.5" hidden="1" x14ac:dyDescent="0.15">
      <c r="A227" s="259">
        <v>90</v>
      </c>
      <c r="B227" s="108" t="s">
        <v>680</v>
      </c>
      <c r="C227" s="21" t="s">
        <v>527</v>
      </c>
      <c r="D227" s="104">
        <f>IF(ISERROR(HLOOKUP(J227,$Q$26:$AY$27,2)),0,HLOOKUP(J227,$Q$26:$AY$27,2))</f>
        <v>0</v>
      </c>
      <c r="E227" s="104">
        <f>IF(ISERROR(HLOOKUP(K227,$Q$26:$AY$27,2)),0,HLOOKUP(K227,$Q$26:$AY$27,2))</f>
        <v>0</v>
      </c>
      <c r="F227" s="104">
        <f>IF(ISERROR(HLOOKUP(L227,$Q$26:$AY$27,2)),0,HLOOKUP(L227,$Q$26:$AY$27,2))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si="26"/>
        <v>0</v>
      </c>
      <c r="K227" s="21">
        <f t="shared" si="27"/>
        <v>0</v>
      </c>
      <c r="L227" s="21">
        <f t="shared" si="28"/>
        <v>0</v>
      </c>
      <c r="M227" s="346" t="s">
        <v>662</v>
      </c>
      <c r="P227" s="44"/>
      <c r="Q227" s="44"/>
    </row>
    <row r="228" spans="1:17" ht="13.5" hidden="1" x14ac:dyDescent="0.15">
      <c r="A228" s="259">
        <v>91</v>
      </c>
      <c r="B228" s="108" t="s">
        <v>681</v>
      </c>
      <c r="C228" s="21" t="s">
        <v>613</v>
      </c>
      <c r="D228" s="104">
        <f>IF(ISERROR(HLOOKUP(J228,$Q$42:$AA$43,2)),0,HLOOKUP(J228,$Q$42:$AA$43,2))</f>
        <v>0</v>
      </c>
      <c r="E228" s="104">
        <f>IF(ISERROR(HLOOKUP(K228,$Q$42:$AA$43,2)),0,HLOOKUP(K228,$Q$42:$AA$43,2))</f>
        <v>0</v>
      </c>
      <c r="F228" s="104">
        <f>IF(ISERROR(HLOOKUP(L228,$Q$42:$AA$43,2)),0,HLOOKUP(L228,$Q$42:$AA$43,2))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92</v>
      </c>
      <c r="B229" s="108" t="s">
        <v>682</v>
      </c>
      <c r="C229" s="21" t="s">
        <v>613</v>
      </c>
      <c r="D229" s="104">
        <f>IF(ISERROR(HLOOKUP(J229,$Q$42:$Z$43,2)),0,HLOOKUP(J229,$Q$42:$Z$43,2))</f>
        <v>0</v>
      </c>
      <c r="E229" s="104">
        <f>IF(ISERROR(HLOOKUP(K229,$Q$42:$Z$43,2)),0,HLOOKUP(K229,$Q$42:$Z$43,2))</f>
        <v>0</v>
      </c>
      <c r="F229" s="104">
        <f>IF(ISERROR(HLOOKUP(L229,$Q$42:$Z$43,2)),0,HLOOKUP(L229,$Q$42:$Z$43,2))</f>
        <v>0</v>
      </c>
      <c r="G229" s="396">
        <f>SUM($F$30:$F$32)</f>
        <v>0</v>
      </c>
      <c r="H229" s="103">
        <f>SUM($F$30:$F$32)+$J$51</f>
        <v>0</v>
      </c>
      <c r="I229" s="103">
        <f>SUM($F$30:$F$32)+$J$51+$J$60</f>
        <v>0</v>
      </c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B230" s="10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357"/>
      <c r="N230" s="54"/>
      <c r="O230" s="258"/>
      <c r="P230" s="44"/>
      <c r="Q230" s="44"/>
    </row>
    <row r="231" spans="1:17" ht="13.5" hidden="1" x14ac:dyDescent="0.15">
      <c r="B231" s="248" t="s">
        <v>720</v>
      </c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258"/>
    </row>
    <row r="232" spans="1:17" ht="13.5" hidden="1" x14ac:dyDescent="0.15">
      <c r="A232" s="259">
        <v>1</v>
      </c>
      <c r="B232" s="51" t="s">
        <v>550</v>
      </c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258"/>
    </row>
    <row r="233" spans="1:17" ht="13.5" hidden="1" x14ac:dyDescent="0.15">
      <c r="A233" s="259" t="s">
        <v>721</v>
      </c>
      <c r="B233" s="51" t="s">
        <v>615</v>
      </c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58"/>
    </row>
    <row r="234" spans="1:17" ht="13.5" hidden="1" x14ac:dyDescent="0.15">
      <c r="A234" s="259">
        <v>2</v>
      </c>
      <c r="B234" s="338" t="s">
        <v>617</v>
      </c>
      <c r="C234" s="109"/>
      <c r="D234" s="109"/>
      <c r="E234" s="110"/>
      <c r="F234" s="358"/>
      <c r="G234" s="111"/>
      <c r="H234" s="111"/>
      <c r="I234" s="111"/>
      <c r="J234" s="46"/>
      <c r="K234" s="46"/>
      <c r="L234" s="46"/>
      <c r="M234" s="46"/>
      <c r="N234" s="9"/>
      <c r="O234" s="258"/>
    </row>
    <row r="235" spans="1:17" ht="13.5" hidden="1" x14ac:dyDescent="0.15">
      <c r="A235" s="259">
        <v>3</v>
      </c>
      <c r="B235" s="345" t="s">
        <v>645</v>
      </c>
      <c r="C235" s="104"/>
      <c r="D235" s="105"/>
      <c r="E235" s="106"/>
      <c r="F235" s="47"/>
      <c r="G235" s="47"/>
      <c r="H235" s="47"/>
      <c r="I235" s="47"/>
      <c r="J235" s="46"/>
      <c r="K235" s="46"/>
      <c r="L235" s="46"/>
      <c r="M235" s="46"/>
      <c r="N235" s="46"/>
      <c r="O235" s="258"/>
    </row>
    <row r="236" spans="1:17" ht="13.5" hidden="1" x14ac:dyDescent="0.15">
      <c r="A236" s="259">
        <v>4</v>
      </c>
      <c r="B236" s="338" t="s">
        <v>618</v>
      </c>
      <c r="C236" s="104"/>
      <c r="D236" s="104"/>
      <c r="E236" s="104"/>
      <c r="F236" s="112"/>
      <c r="G236" s="112"/>
      <c r="H236" s="112"/>
      <c r="I236" s="112"/>
      <c r="J236" s="46"/>
      <c r="K236" s="46"/>
      <c r="L236" s="46"/>
      <c r="M236" s="46"/>
      <c r="N236" s="46"/>
      <c r="O236" s="258"/>
    </row>
    <row r="237" spans="1:17" ht="13.5" hidden="1" x14ac:dyDescent="0.15">
      <c r="A237" s="259">
        <v>5</v>
      </c>
      <c r="B237" s="345" t="s">
        <v>646</v>
      </c>
      <c r="C237" s="104"/>
      <c r="D237" s="104"/>
      <c r="E237" s="104"/>
      <c r="F237" s="112"/>
      <c r="G237" s="112"/>
      <c r="H237" s="112"/>
      <c r="I237" s="112"/>
      <c r="J237" s="46"/>
      <c r="K237" s="46"/>
      <c r="L237" s="46"/>
      <c r="M237" s="46"/>
      <c r="N237" s="46"/>
      <c r="O237" s="258"/>
    </row>
    <row r="238" spans="1:17" ht="13.5" hidden="1" x14ac:dyDescent="0.15">
      <c r="A238" s="259">
        <v>6</v>
      </c>
      <c r="B238" s="345" t="s">
        <v>647</v>
      </c>
      <c r="C238" s="104"/>
      <c r="D238" s="104"/>
      <c r="E238" s="104"/>
      <c r="F238" s="112"/>
      <c r="G238" s="112"/>
      <c r="H238" s="112"/>
      <c r="I238" s="112"/>
      <c r="J238" s="46"/>
      <c r="K238" s="46"/>
      <c r="L238" s="46"/>
      <c r="M238" s="46"/>
      <c r="N238" s="46"/>
      <c r="O238" s="258"/>
    </row>
    <row r="239" spans="1:17" ht="13.5" hidden="1" x14ac:dyDescent="0.15">
      <c r="A239" s="259">
        <v>7</v>
      </c>
      <c r="B239" s="51" t="s">
        <v>551</v>
      </c>
      <c r="C239" s="104"/>
      <c r="D239" s="104"/>
      <c r="E239" s="104"/>
      <c r="F239" s="112"/>
      <c r="G239" s="112"/>
      <c r="H239" s="112"/>
      <c r="I239" s="112"/>
      <c r="J239" s="46"/>
      <c r="K239" s="46"/>
      <c r="L239" s="46"/>
      <c r="M239" s="46"/>
      <c r="N239" s="46"/>
      <c r="O239" s="258"/>
    </row>
    <row r="240" spans="1:17" ht="13.5" hidden="1" x14ac:dyDescent="0.15">
      <c r="A240" s="259">
        <v>8</v>
      </c>
      <c r="B240" s="51" t="s">
        <v>552</v>
      </c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9</v>
      </c>
      <c r="B241" s="51" t="s">
        <v>553</v>
      </c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 t="s">
        <v>722</v>
      </c>
      <c r="B242" s="51" t="s">
        <v>616</v>
      </c>
      <c r="C242" s="109"/>
      <c r="D242" s="109"/>
      <c r="E242" s="110"/>
      <c r="F242" s="358"/>
      <c r="G242" s="111"/>
      <c r="H242" s="111"/>
      <c r="I242" s="111"/>
      <c r="J242" s="46"/>
      <c r="K242" s="46"/>
      <c r="L242" s="46"/>
      <c r="M242" s="46"/>
      <c r="N242" s="9"/>
      <c r="O242" s="258"/>
      <c r="AH242" s="69"/>
      <c r="AI242" s="69"/>
      <c r="AJ242" s="69"/>
      <c r="AK242" s="69"/>
      <c r="AL242" s="69"/>
      <c r="AM242" s="69"/>
      <c r="AN242" s="69"/>
    </row>
    <row r="243" spans="1:40" ht="13.5" hidden="1" x14ac:dyDescent="0.15">
      <c r="A243" s="259">
        <v>10</v>
      </c>
      <c r="B243" s="338" t="s">
        <v>619</v>
      </c>
      <c r="C243" s="104"/>
      <c r="D243" s="105"/>
      <c r="E243" s="106"/>
      <c r="F243" s="46"/>
      <c r="G243" s="46"/>
      <c r="H243" s="46"/>
      <c r="I243" s="46"/>
      <c r="J243" s="46"/>
      <c r="K243" s="46"/>
      <c r="L243" s="46"/>
      <c r="M243" s="46"/>
      <c r="N243" s="46"/>
      <c r="O243" s="258"/>
      <c r="AH243" s="69"/>
      <c r="AI243" s="69"/>
      <c r="AJ243" s="69"/>
      <c r="AK243" s="69"/>
      <c r="AL243" s="69"/>
      <c r="AM243" s="69"/>
      <c r="AN243" s="69"/>
    </row>
    <row r="244" spans="1:40" ht="13.5" hidden="1" x14ac:dyDescent="0.15">
      <c r="A244" s="259">
        <v>11</v>
      </c>
      <c r="B244" s="345" t="s">
        <v>648</v>
      </c>
      <c r="C244" s="104"/>
      <c r="D244" s="105"/>
      <c r="E244" s="106"/>
      <c r="F244" s="47"/>
      <c r="G244" s="47"/>
      <c r="H244" s="47"/>
      <c r="I244" s="47"/>
      <c r="J244" s="46"/>
      <c r="K244" s="46"/>
      <c r="L244" s="46"/>
      <c r="M244" s="46"/>
      <c r="N244" s="46"/>
      <c r="O244" s="258"/>
      <c r="AH244" s="69"/>
      <c r="AI244" s="69"/>
      <c r="AJ244" s="69"/>
      <c r="AK244" s="69"/>
      <c r="AL244" s="69"/>
      <c r="AM244" s="69"/>
      <c r="AN244" s="69"/>
    </row>
    <row r="245" spans="1:40" ht="13.5" hidden="1" x14ac:dyDescent="0.15">
      <c r="A245" s="259">
        <v>12</v>
      </c>
      <c r="B245" s="345" t="s">
        <v>649</v>
      </c>
      <c r="C245" s="104"/>
      <c r="D245" s="105"/>
      <c r="E245" s="106"/>
      <c r="F245" s="47"/>
      <c r="G245" s="111"/>
      <c r="H245" s="47"/>
      <c r="I245" s="47"/>
      <c r="J245" s="46"/>
      <c r="K245" s="46"/>
      <c r="L245" s="46"/>
      <c r="M245" s="46"/>
      <c r="N245" s="46"/>
      <c r="O245" s="258"/>
      <c r="AH245" s="69"/>
      <c r="AI245" s="69"/>
      <c r="AJ245" s="69"/>
      <c r="AK245" s="69"/>
      <c r="AL245" s="69"/>
      <c r="AM245" s="69"/>
      <c r="AN245" s="69"/>
    </row>
    <row r="246" spans="1:40" ht="13.5" hidden="1" x14ac:dyDescent="0.15">
      <c r="A246" s="259">
        <v>13</v>
      </c>
      <c r="B246" s="338" t="s">
        <v>620</v>
      </c>
      <c r="C246" s="104"/>
      <c r="D246" s="105"/>
      <c r="E246" s="106"/>
      <c r="F246" s="47"/>
      <c r="G246" s="111"/>
      <c r="H246" s="47"/>
      <c r="I246" s="47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14</v>
      </c>
      <c r="B247" s="345" t="s">
        <v>650</v>
      </c>
      <c r="C247" s="104"/>
      <c r="D247" s="105"/>
      <c r="E247" s="106"/>
      <c r="F247" s="47"/>
      <c r="G247" s="111"/>
      <c r="H247" s="47"/>
      <c r="I247" s="47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15</v>
      </c>
      <c r="B248" s="345" t="s">
        <v>651</v>
      </c>
      <c r="C248" s="104"/>
      <c r="D248" s="105"/>
      <c r="E248" s="106"/>
      <c r="F248" s="47"/>
      <c r="G248" s="111"/>
      <c r="H248" s="47"/>
      <c r="I248" s="47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16</v>
      </c>
      <c r="B249" s="339" t="s">
        <v>621</v>
      </c>
      <c r="C249" s="104"/>
      <c r="D249" s="105"/>
      <c r="E249" s="106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17</v>
      </c>
      <c r="B250" s="345" t="s">
        <v>652</v>
      </c>
      <c r="C250" s="104"/>
      <c r="D250" s="105"/>
      <c r="E250" s="106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18</v>
      </c>
      <c r="B251" s="345" t="s">
        <v>653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19</v>
      </c>
      <c r="B252" s="340" t="s">
        <v>622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20</v>
      </c>
      <c r="B253" s="345" t="s">
        <v>654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21</v>
      </c>
      <c r="B254" s="340" t="s">
        <v>623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22</v>
      </c>
      <c r="B255" s="345" t="s">
        <v>655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23</v>
      </c>
      <c r="B256" s="340" t="s">
        <v>624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24</v>
      </c>
      <c r="B257" s="340" t="s">
        <v>625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25</v>
      </c>
      <c r="B258" s="340" t="s">
        <v>626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26</v>
      </c>
      <c r="B259" s="51" t="s">
        <v>556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27</v>
      </c>
      <c r="B260" s="107" t="s">
        <v>549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28</v>
      </c>
      <c r="B261" s="340" t="s">
        <v>627</v>
      </c>
      <c r="C261" s="359"/>
      <c r="D261" s="111"/>
      <c r="E261" s="360"/>
      <c r="F261" s="112"/>
      <c r="G261" s="112"/>
      <c r="H261" s="112"/>
      <c r="I261" s="112"/>
      <c r="J261" s="46"/>
      <c r="K261" s="46"/>
      <c r="L261" s="46"/>
      <c r="M261" s="46"/>
      <c r="N261" s="361"/>
      <c r="O261" s="258"/>
    </row>
    <row r="262" spans="1:15" ht="13.5" hidden="1" x14ac:dyDescent="0.15">
      <c r="A262" s="259">
        <v>29</v>
      </c>
      <c r="B262" s="345" t="s">
        <v>663</v>
      </c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58"/>
    </row>
    <row r="263" spans="1:15" ht="13.5" hidden="1" x14ac:dyDescent="0.15">
      <c r="A263" s="259">
        <v>30</v>
      </c>
      <c r="B263" s="340" t="s">
        <v>628</v>
      </c>
      <c r="C263" s="109"/>
      <c r="D263" s="109"/>
      <c r="E263" s="110"/>
      <c r="F263" s="358"/>
      <c r="G263" s="111"/>
      <c r="H263" s="111"/>
      <c r="I263" s="111"/>
      <c r="J263" s="46"/>
      <c r="K263" s="46"/>
      <c r="L263" s="46"/>
      <c r="M263" s="46"/>
      <c r="N263" s="9"/>
      <c r="O263" s="258"/>
    </row>
    <row r="264" spans="1:15" ht="13.5" hidden="1" x14ac:dyDescent="0.15">
      <c r="A264" s="259">
        <v>31</v>
      </c>
      <c r="B264" s="51" t="s">
        <v>557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 t="s">
        <v>723</v>
      </c>
      <c r="B265" s="51" t="s">
        <v>614</v>
      </c>
      <c r="C265" s="104"/>
      <c r="D265" s="105"/>
      <c r="E265" s="106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32</v>
      </c>
      <c r="B266" s="345" t="s">
        <v>664</v>
      </c>
      <c r="C266" s="104"/>
      <c r="D266" s="105"/>
      <c r="E266" s="106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33</v>
      </c>
      <c r="B267" s="340" t="s">
        <v>629</v>
      </c>
      <c r="C267" s="104"/>
      <c r="D267" s="105"/>
      <c r="E267" s="106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34</v>
      </c>
      <c r="B268" s="345" t="s">
        <v>665</v>
      </c>
      <c r="C268" s="104"/>
      <c r="D268" s="105"/>
      <c r="E268" s="106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35</v>
      </c>
      <c r="B269" s="51" t="s">
        <v>559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36</v>
      </c>
      <c r="B270" s="51" t="s">
        <v>560</v>
      </c>
      <c r="C270" s="104"/>
      <c r="D270" s="104"/>
      <c r="E270" s="104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37</v>
      </c>
      <c r="B271" s="345" t="s">
        <v>689</v>
      </c>
      <c r="C271" s="104"/>
      <c r="D271" s="104"/>
      <c r="E271" s="104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38</v>
      </c>
      <c r="B272" s="345" t="s">
        <v>666</v>
      </c>
      <c r="C272" s="104"/>
      <c r="D272" s="104"/>
      <c r="E272" s="104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39</v>
      </c>
      <c r="B273" s="340" t="s">
        <v>630</v>
      </c>
      <c r="C273" s="104"/>
      <c r="D273" s="104"/>
      <c r="E273" s="104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40</v>
      </c>
      <c r="B274" s="340" t="s">
        <v>631</v>
      </c>
      <c r="C274" s="9"/>
      <c r="D274" s="9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41</v>
      </c>
      <c r="B275" s="51" t="s">
        <v>561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42</v>
      </c>
      <c r="B276" s="345" t="s">
        <v>667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43</v>
      </c>
      <c r="B277" s="51" t="s">
        <v>562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44</v>
      </c>
      <c r="B278" s="51" t="s">
        <v>563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45</v>
      </c>
      <c r="B279" s="51" t="s">
        <v>686</v>
      </c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46</v>
      </c>
      <c r="B280" s="345" t="s">
        <v>668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47</v>
      </c>
      <c r="B281" s="345" t="s">
        <v>669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 t="s">
        <v>724</v>
      </c>
      <c r="B282" s="345" t="s">
        <v>701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48</v>
      </c>
      <c r="B283" s="51" t="s">
        <v>564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49</v>
      </c>
      <c r="B284" s="345" t="s">
        <v>670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50</v>
      </c>
      <c r="B285" s="340" t="s">
        <v>632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51</v>
      </c>
      <c r="B286" s="51" t="s">
        <v>565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52</v>
      </c>
      <c r="B287" s="51" t="s">
        <v>566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53</v>
      </c>
      <c r="B288" s="51" t="s">
        <v>567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54</v>
      </c>
      <c r="B289" s="51" t="s">
        <v>568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55</v>
      </c>
      <c r="B290" s="51" t="s">
        <v>569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56</v>
      </c>
      <c r="B291" s="340" t="s">
        <v>633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57</v>
      </c>
      <c r="B292" s="51" t="s">
        <v>570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58</v>
      </c>
      <c r="B293" s="51" t="s">
        <v>571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59</v>
      </c>
      <c r="B294" s="345" t="s">
        <v>671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60</v>
      </c>
      <c r="B295" s="51" t="s">
        <v>572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61</v>
      </c>
      <c r="B296" s="51" t="s">
        <v>573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62</v>
      </c>
      <c r="B297" s="51" t="s">
        <v>574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63</v>
      </c>
      <c r="B298" s="345" t="s">
        <v>672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64</v>
      </c>
      <c r="B299" s="51" t="s">
        <v>580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65</v>
      </c>
      <c r="B300" s="51" t="s">
        <v>583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66</v>
      </c>
      <c r="B301" s="340" t="s">
        <v>634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67</v>
      </c>
      <c r="B302" s="51" t="s">
        <v>581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 t="s">
        <v>725</v>
      </c>
      <c r="B303" s="51" t="s">
        <v>684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68</v>
      </c>
      <c r="B304" s="108" t="s">
        <v>673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69</v>
      </c>
      <c r="B305" s="340" t="s">
        <v>635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70</v>
      </c>
      <c r="B306" s="108" t="s">
        <v>674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71</v>
      </c>
      <c r="B307" s="108" t="s">
        <v>675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72</v>
      </c>
      <c r="B308" s="108" t="s">
        <v>677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73</v>
      </c>
      <c r="B309" s="340" t="s">
        <v>636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74</v>
      </c>
      <c r="B310" s="108" t="s">
        <v>678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75</v>
      </c>
      <c r="B311" s="340" t="s">
        <v>637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76</v>
      </c>
      <c r="B312" s="108" t="s">
        <v>679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77</v>
      </c>
      <c r="B313" s="340" t="s">
        <v>638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78</v>
      </c>
      <c r="B314" s="108" t="s">
        <v>680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79</v>
      </c>
      <c r="B315" s="340" t="s">
        <v>639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80</v>
      </c>
      <c r="B316" s="340" t="s">
        <v>640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81</v>
      </c>
      <c r="B317" s="108" t="s">
        <v>681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82</v>
      </c>
      <c r="B318" s="51" t="s">
        <v>584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83</v>
      </c>
      <c r="B319" s="340" t="s">
        <v>683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84</v>
      </c>
      <c r="B320" s="340" t="s">
        <v>699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85</v>
      </c>
      <c r="B321" s="340" t="s">
        <v>641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86</v>
      </c>
      <c r="B322" s="340" t="s">
        <v>642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87</v>
      </c>
      <c r="B323" s="340" t="s">
        <v>643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88</v>
      </c>
      <c r="B324" s="340" t="s">
        <v>644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89</v>
      </c>
      <c r="B325" s="51" t="s">
        <v>585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90</v>
      </c>
      <c r="B326" s="108" t="s">
        <v>682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91</v>
      </c>
      <c r="B327" s="51" t="s">
        <v>586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 t="s">
        <v>726</v>
      </c>
      <c r="B328" s="51" t="s">
        <v>685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92</v>
      </c>
      <c r="B329" s="51" t="s">
        <v>588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</sheetData>
  <sheetProtection password="F44E" sheet="1" objects="1" scenarios="1"/>
  <mergeCells count="30">
    <mergeCell ref="B101:E101"/>
    <mergeCell ref="B130:N130"/>
    <mergeCell ref="C123:E123"/>
    <mergeCell ref="F123:H123"/>
    <mergeCell ref="K110:S110"/>
    <mergeCell ref="B110:J110"/>
    <mergeCell ref="I123:J123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J100">
    <cfRule type="cellIs" dxfId="259" priority="1" stopIfTrue="1" operator="equal">
      <formula>"ATENDE TEMPO NO CARGO"</formula>
    </cfRule>
    <cfRule type="cellIs" dxfId="258" priority="2" stopIfTrue="1" operator="equal">
      <formula>"NÃO CUMPRE TEMPO NO CARGO"</formula>
    </cfRule>
  </conditionalFormatting>
  <conditionalFormatting sqref="M243:M261 M233:M239 M264:M287 C221:C223 C132:C177 N176:N177 C179:C198 C218:C219 C225:C229 C200:C216">
    <cfRule type="cellIs" dxfId="257" priority="3" stopIfTrue="1" operator="equal">
      <formula>"ANUÊNIO"</formula>
    </cfRule>
    <cfRule type="cellIs" dxfId="256" priority="4" stopIfTrue="1" operator="equal">
      <formula>"TRIÊNIO"</formula>
    </cfRule>
    <cfRule type="cellIs" dxfId="255" priority="5" stopIfTrue="1" operator="equal">
      <formula>"QUINQUÊNIO"</formula>
    </cfRule>
  </conditionalFormatting>
  <conditionalFormatting sqref="F72:F74">
    <cfRule type="cellIs" dxfId="254" priority="6" stopIfTrue="1" operator="equal">
      <formula>"NADA A CUMPRIR"</formula>
    </cfRule>
    <cfRule type="cellIs" dxfId="253" priority="7" stopIfTrue="1" operator="equal">
      <formula>"NÃO CABE"</formula>
    </cfRule>
    <cfRule type="cellIs" dxfId="252" priority="8" stopIfTrue="1" operator="greaterThanOrEqual">
      <formula>0</formula>
    </cfRule>
  </conditionalFormatting>
  <conditionalFormatting sqref="E71">
    <cfRule type="cellIs" dxfId="251" priority="9" stopIfTrue="1" operator="equal">
      <formula>"NÃO ATENDE LIMITE MÍNIMO DE IDADE"</formula>
    </cfRule>
    <cfRule type="cellIs" dxfId="250" priority="10" stopIfTrue="1" operator="equal">
      <formula>"REANALISAR FUNDAMENTAÇÃO E/OU MODALIDADE"</formula>
    </cfRule>
    <cfRule type="cellIs" dxfId="249" priority="11" stopIfTrue="1" operator="equal">
      <formula>"ATENDE LIMITE MÍNIMO DE IDADE"</formula>
    </cfRule>
  </conditionalFormatting>
  <conditionalFormatting sqref="N69 N71">
    <cfRule type="cellIs" dxfId="248" priority="12" stopIfTrue="1" operator="equal">
      <formula>0</formula>
    </cfRule>
  </conditionalFormatting>
  <conditionalFormatting sqref="K8">
    <cfRule type="expression" dxfId="247" priority="13" stopIfTrue="1">
      <formula>"SE($N$8=0)"</formula>
    </cfRule>
  </conditionalFormatting>
  <conditionalFormatting sqref="C73">
    <cfRule type="cellIs" dxfId="246" priority="14" stopIfTrue="1" operator="equal">
      <formula>"FALTA DATA"</formula>
    </cfRule>
  </conditionalFormatting>
  <conditionalFormatting sqref="M74">
    <cfRule type="cellIs" dxfId="245" priority="15" stopIfTrue="1" operator="equal">
      <formula>"ATENDE"</formula>
    </cfRule>
    <cfRule type="cellIs" dxfId="244" priority="16" stopIfTrue="1" operator="equal">
      <formula>"NÃO ATENDE"</formula>
    </cfRule>
    <cfRule type="cellIs" dxfId="243" priority="17" stopIfTrue="1" operator="equal">
      <formula>"NÃO CABE"</formula>
    </cfRule>
  </conditionalFormatting>
  <conditionalFormatting sqref="M73">
    <cfRule type="cellIs" dxfId="242" priority="18" stopIfTrue="1" operator="equal">
      <formula>"ATENDE"</formula>
    </cfRule>
    <cfRule type="cellIs" dxfId="241" priority="19" stopIfTrue="1" operator="equal">
      <formula>"NÃO ATENDE"</formula>
    </cfRule>
    <cfRule type="cellIs" dxfId="240" priority="20" stopIfTrue="1" operator="equal">
      <formula>"NÃO CABE"</formula>
    </cfRule>
  </conditionalFormatting>
  <conditionalFormatting sqref="M75:M76 L77:M77 L78:L86">
    <cfRule type="cellIs" dxfId="239" priority="21" stopIfTrue="1" operator="equal">
      <formula>"ATENDE"</formula>
    </cfRule>
    <cfRule type="cellIs" dxfId="238" priority="22" stopIfTrue="1" operator="equal">
      <formula>"NÃO ATENDE"</formula>
    </cfRule>
    <cfRule type="cellIs" dxfId="237" priority="23" stopIfTrue="1" operator="equal">
      <formula>"OK"</formula>
    </cfRule>
  </conditionalFormatting>
  <conditionalFormatting sqref="K42">
    <cfRule type="expression" dxfId="236" priority="24" stopIfTrue="1">
      <formula>$E$42&lt;=0</formula>
    </cfRule>
  </conditionalFormatting>
  <conditionalFormatting sqref="M42">
    <cfRule type="expression" dxfId="235" priority="25" stopIfTrue="1">
      <formula>$E$42&lt;=0</formula>
    </cfRule>
  </conditionalFormatting>
  <conditionalFormatting sqref="O70 I67">
    <cfRule type="cellIs" dxfId="234" priority="26" stopIfTrue="1" operator="equal">
      <formula>"REVER TIPO DE ADICIONAL"</formula>
    </cfRule>
  </conditionalFormatting>
  <dataValidations count="2">
    <dataValidation type="list" allowBlank="1" showInputMessage="1" showErrorMessage="1" sqref="K2:N2" xr:uid="{00000000-0002-0000-0C00-000000000000}">
      <formula1>$O$2:$O$7</formula1>
    </dataValidation>
    <dataValidation type="list" allowBlank="1" showInputMessage="1" showErrorMessage="1" sqref="E2:I2" xr:uid="{00000000-0002-0000-0C00-000001000000}">
      <formula1>$B$90:$B$98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824"/>
  <sheetViews>
    <sheetView showGridLines="0" zoomScale="75" zoomScaleNormal="75" workbookViewId="0" xr3:uid="{274F5AE0-5452-572F-8038-C13FFDA59D49}"/>
  </sheetViews>
  <sheetFormatPr defaultColWidth="0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9.16796875" style="21" hidden="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487</v>
      </c>
      <c r="F2" s="1850"/>
      <c r="G2" s="1850"/>
      <c r="H2" s="1850"/>
      <c r="I2" s="1850"/>
      <c r="J2" s="652" t="s">
        <v>462</v>
      </c>
      <c r="K2" s="1939" t="s">
        <v>476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IF(OR($E$2=$B$90,$E$2=$B$91,E2=B92),IF($M$13&gt;=5,"ATENDE","NÃO CUMPRE"),"NÃO CABE")</f>
        <v>NÃO CABE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IF(OR($E$2=$B$90,$E$2=$B$91,E2=B92),IF($M$15&gt;=10,"ATENDE","NÃO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54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54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055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055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">
        <v>613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055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065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062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062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062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062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060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254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745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IF(E2=B98,IF(D12="X",IF(G10="X",ROUNDDOWN(SUM(F26:F34)*0.2,0),ROUNDDOWN(SUM(F26:F34)*0.17,0)),0),0)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 t="str">
        <f>IF(E38&lt;36145,E38,"REVER")</f>
        <v>REVER</v>
      </c>
      <c r="F37" s="157">
        <f>IF(N8&gt;=36145,0,IF(AND(N8&lt;36145,F38&lt;&gt;0),SUM(F26:F35),0))</f>
        <v>0</v>
      </c>
      <c r="G37" s="150"/>
      <c r="H37" s="662" t="str">
        <f>E38</f>
        <v>REVER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 t="str">
        <f>IF(E32&gt;0,E32,IF(E31&gt;0,E31,IF(E30&gt;0,E30,IF(E29&gt;0,E29,IF(E28&gt;0,E28,IF(E27&gt;0,E27,IF(E26&gt;0,E26,"REVER")))))))</f>
        <v>REVER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IF(E41&gt;0,IF(E2=B90,E41,IF(E2=B91,E41,IF(E2=B97,E41,))),0)</f>
        <v>10950</v>
      </c>
      <c r="D41" s="178" t="b">
        <f>IF(E41&gt;0,IF(K2=O5,IF(E2=B98,E41,0)),0)</f>
        <v>0</v>
      </c>
      <c r="E41" s="179">
        <f>IF($E$2=B97,IF($G$10="X",(25*365)-$F$37,(30*365)-$F$37),IF($G$10="X",(30*365)-$F$37,(35*365)-$F$37))</f>
        <v>10950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10950</v>
      </c>
      <c r="F42" s="45" t="s">
        <v>333</v>
      </c>
      <c r="G42" s="150"/>
      <c r="H42" s="184" t="str">
        <f>IF(E42&gt;0,IF(K2=O4,"HÁ PEDÁGIO A CUMPRIR",IF(K2=O5,IF(E2=B98,"HÁ PEDÁGIO A CUMPRIR",E71))),"NÃO HÁ PEDÁGIO A CUMPRIR")</f>
        <v>HÁ PEDÁGIO A CUMPRIR</v>
      </c>
      <c r="I42" s="185"/>
      <c r="J42" s="186"/>
      <c r="K42" s="186">
        <f>IF(E41&gt;0,ROUNDDOWN(E41/365,0),0)</f>
        <v>30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IF(E42&gt;0,IF(E2=B97,ROUNDUP(E42*0.4,0),ROUNDUP(E42*0.2,0)),0)</f>
        <v>4380</v>
      </c>
      <c r="F43" s="45"/>
      <c r="G43" s="150"/>
      <c r="H43" s="186">
        <f>ROUNDDOWN(E43/365,0)</f>
        <v>12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15330</v>
      </c>
      <c r="F44" s="159"/>
      <c r="G44" s="150"/>
      <c r="H44" s="186">
        <f>ROUNDDOWN(E44/365,0)</f>
        <v>42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IF(N8&gt;=36145,0,IF(F46&lt;&gt;0,F46,IF(K2=O2,0,IF(K2=O3,A42,IF(K2=O4,A43,A44)))))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234"/>
      <c r="C46" s="1066"/>
      <c r="D46" s="1262"/>
      <c r="E46" s="275"/>
      <c r="F46" s="1257">
        <f>IF(AND(C45&lt;&gt;"REVER",E45&lt;&gt;"REVER"),SUM(F47:F50),0)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IF(CRÍTICA_IGP1!$N$10&lt;CRÍTICA_IGP1!$R$22,$N$10-1,CRÍTICA_IGP1!$R$22-1)</f>
        <v>25567</v>
      </c>
      <c r="F50" s="600">
        <f>IF(C50=0,0,IF(E50=0,0,E50-C50+1))-N50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SUM($F$49:$F$50)</f>
        <v>0</v>
      </c>
      <c r="K51" s="254"/>
      <c r="L51" s="254"/>
      <c r="M51" s="254"/>
      <c r="N51" s="254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685"/>
      <c r="C58" s="1066" t="str">
        <f>IF(C54&gt;0,C54,IF(C55&gt;0,C55,IF(C56&gt;0,C56,IF(C57&gt;0,C57,"REVER"))))</f>
        <v>REVER</v>
      </c>
      <c r="D58" s="387"/>
      <c r="E58" s="1210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SUM($F$56:$F$57)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>
        <f>IF(E2=B92,"NÃO CABE",IF(E2=B94,"NÃO CABE",IF(E2=B95,"NÃO CABE",IF(E2=B96,"NÃO CABE",IF(C65&gt;0,C65,"NADA A CUMPRIR")))))</f>
        <v>15330</v>
      </c>
      <c r="D64" s="198"/>
      <c r="E64" s="199"/>
      <c r="F64" s="200"/>
      <c r="G64" s="198"/>
      <c r="H64" s="201">
        <f>IF($C$64="NÃO CABE",0,IF($C$65&gt;0,ROUNDDOWN($C$65/365,0),0))</f>
        <v>42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>
        <f>IF(K2=O2,IF(E2=B97,R123,R122),IF(K2=O3,Q121,IF(K2=O6,Q121,IF(K2=O4,Q120,IF(K2=O5,Q120,IF($K$2=O7,Q124,0))))))</f>
        <v>15330</v>
      </c>
      <c r="D65" s="205"/>
      <c r="E65" s="206"/>
      <c r="F65" s="207"/>
      <c r="G65" s="205"/>
      <c r="H65" s="207">
        <f>IF($C$64="NÃO CABE",0,IF($C$65&gt;0,ROUNDDOWN($C$65/365,0),0))</f>
        <v>42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IF($O$10&lt;$D$131,VLOOKUP($E$6,$B$132:$Q$229,3,FALSE),IF($O$10&lt;$E$131,VLOOKUP($E$6,$B$132:$Q$229,4,FALSE),VLOOKUP($E$6,$B$132:$Q$229,5,FALSE)))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$90&lt;=$BC$88,VLOOKUP($C$8,$BB$91:$BH$130,2,FALSE),IF($BC$90&lt;=$BD$88,VLOOKUP($C$8,$BB$91:$BH$130,3,FALSE),IF($BC$90&lt;=$BE$88,VLOOKUP($C$8,$BB$91:$BH$130,4,FALSE),IF($BC$90&lt;=$BF$88,VLOOKUP($C$8,$BB$91:$BH$130,5,FALSE),IF($BC$90&lt;=$BG$88,VLOOKUP($C$8,$BB$91:$BH$130,6,FALSE),VLOOKUP($C$8,$BB$91:$BH$130,7,FALSE))))))</f>
        <v>#N/A</v>
      </c>
      <c r="F68" s="150"/>
      <c r="G68" s="150"/>
      <c r="H68" s="150"/>
      <c r="I68" s="221"/>
      <c r="J68" s="222" t="e">
        <f>IF($BC$87&lt;=$BC$88,VLOOKUP($C$8,$BB$91:$BH$130,2,FALSE),IF($BC$87&lt;=$BD$88,VLOOKUP($C$8,$BB$91:$BH$130,3,FALSE),IF($BC$87&lt;=$BE$88,VLOOKUP($C$8,$BB$91:$BH$130,4,FALSE),IF($BC$87&lt;=$BF$88,VLOOKUP($C$8,$BB$91:$BH$130,5,FALSE),IF($BC$87&lt;=$BG$88,VLOOKUP($C$8,$BB$91:$BH$130,6,FALSE),VLOOKUP($C$8,$BB$91:$BH$130,7,FALSE))))))</f>
        <v>#N/A</v>
      </c>
      <c r="K68" s="150" t="s">
        <v>448</v>
      </c>
      <c r="L68" s="153"/>
      <c r="M68" s="150"/>
      <c r="N68" s="223" t="str">
        <f>IF($K$2=$O$2,J102,IF($K$2=$O$3,J103,IF($K$2=$O$4,J104,IF($K$2=$O$5,J105,"NÃO CABE"))))</f>
        <v>TEMPO A CUMPRIR</v>
      </c>
      <c r="O68" s="254" t="str">
        <f>VLOOKUP($E$6,$B$132:$C$229,2,FALSE)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TRANSIÇÃO EMENDA 20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 t="str">
        <f>IF(N68="NÃO CABE",0,N68)</f>
        <v>TEMPO A CUMPRIR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VOL. PROPORCIONAL T. CONTRIBUIÇÃO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IF(K2=O3,IF(M104&gt;=N104,N103,"NÃO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IF($E$2=$L$111,$O$111,IF($E$2=$L$112,$O$112,IF($E$2=$L$113,$O$113,IF($E$2=$L$114,$O$114,IF($E$2=$L$115,$O$115,$O$116)))))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>
        <f>C64</f>
        <v>15330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IF(OR(E6=B200,E6=B212,E6=B223),IF(L212&gt;=25,"FAZ JUS A 1/6 DA REMUNERAÇÃO",IF(L223&gt;=25,"FAZ JUS A 1/6 DA REMUNERAÇÃO",IF(L200&gt;=25,"FAZ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IF(ISERROR(HLOOKUP($J$177,$Q$73:$W$74,2)),0,HLOOKUP($J$177,$Q$73:$W$74,2))</f>
        <v>0</v>
      </c>
      <c r="T75" s="133" t="s">
        <v>451</v>
      </c>
      <c r="U75" s="132"/>
      <c r="V75" s="133"/>
      <c r="W75" s="132">
        <f>IF(ISERROR(HLOOKUP($K$177,$Q$73:$W$74,2)),0,HLOOKUP($K$177,$Q$73:$W$74,2))</f>
        <v>0</v>
      </c>
      <c r="X75" s="134" t="s">
        <v>507</v>
      </c>
      <c r="Y75" s="135"/>
      <c r="Z75" s="136"/>
      <c r="AA75" s="134"/>
      <c r="AB75" s="137">
        <f>IF(ISERROR(HLOOKUP($L$177,$Q$73:$W$74,2)),0,HLOOKUP($L$177,$Q$73:$W$74,2))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391" t="str">
        <f>IF($F$72="NADA A CUMPRIR","OK",IF($F$72="NÃO CABE","NÃO CABE","NÃO CUMPRE"))</f>
        <v>NÃO CUMPRE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6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6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6" si="2">IF(OR($M$73="NÃO CABE",$M$73="ATENDE"),"SIM","NÃO")</f>
        <v>NÃO</v>
      </c>
      <c r="K78" s="414" t="str">
        <f t="shared" ref="K78:K86" si="3">IF(OR($M$74="NÃO CABE",$M$74="ATENDE"),"SIM","NÃO")</f>
        <v>SIM</v>
      </c>
      <c r="L78" s="412"/>
      <c r="M78" s="414" t="str">
        <f t="shared" ref="M78:M86" si="4">IF(OR($M$75="ATENDE",$M$75="OK"),"SIM","NÃO")</f>
        <v>NÃO</v>
      </c>
      <c r="N78" s="414" t="str">
        <f t="shared" ref="N78:N86" si="5">IF(AND(C78="SIM",H78="SIM",J78="SIM",K78="SIM",M78="SIM"),"SIM","NÃO")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NÃO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NÃO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69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NÃO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NÃO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"/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NÃO</v>
      </c>
      <c r="I83" s="413" t="str">
        <f t="shared" si="6"/>
        <v>NÃO</v>
      </c>
      <c r="J83" s="414" t="str">
        <f t="shared" si="2"/>
        <v>NÃO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"/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8" t="s">
        <v>487</v>
      </c>
      <c r="C84" s="619" t="str">
        <f t="shared" si="0"/>
        <v>NÃO</v>
      </c>
      <c r="D84" s="620"/>
      <c r="E84" s="621" t="s">
        <v>754</v>
      </c>
      <c r="F84" s="630">
        <f>I67</f>
        <v>0</v>
      </c>
      <c r="G84" s="621"/>
      <c r="H84" s="619" t="str">
        <f t="shared" si="1"/>
        <v>NÃO</v>
      </c>
      <c r="I84" s="623" t="str">
        <f t="shared" si="6"/>
        <v>NÃO</v>
      </c>
      <c r="J84" s="619" t="str">
        <f t="shared" si="2"/>
        <v>NÃO</v>
      </c>
      <c r="K84" s="619" t="str">
        <f t="shared" si="3"/>
        <v>SIM</v>
      </c>
      <c r="L84" s="624"/>
      <c r="M84" s="619" t="str">
        <f t="shared" si="4"/>
        <v>NÃO</v>
      </c>
      <c r="N84" s="619" t="str">
        <f>IF($N$8&gt;=36145,"NÃO",IF(AND(C84="SIM",H84="SIM",J84="SIM",K84="SIM",M84="SIM"),"SIM","NÃO"))</f>
        <v>NÃO</v>
      </c>
      <c r="O84" s="2"/>
      <c r="AC84" s="69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412" t="s">
        <v>467</v>
      </c>
      <c r="C85" s="414" t="str">
        <f t="shared" si="0"/>
        <v>NÃO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NÃO</v>
      </c>
      <c r="K85" s="414" t="str">
        <f t="shared" si="3"/>
        <v>SIM</v>
      </c>
      <c r="L85" s="412"/>
      <c r="M85" s="414" t="str">
        <f t="shared" si="4"/>
        <v>NÃO</v>
      </c>
      <c r="N85" s="414" t="str">
        <f t="shared" si="5"/>
        <v>NÃO</v>
      </c>
      <c r="O85" s="2"/>
      <c r="AC85" s="69"/>
      <c r="AD85" s="70"/>
      <c r="AE85" s="70"/>
      <c r="AF85" s="70"/>
      <c r="AG85" s="69"/>
      <c r="AX85" s="11"/>
      <c r="AY85" s="11"/>
      <c r="AZ85" s="11"/>
      <c r="BA85" s="85"/>
    </row>
    <row r="86" spans="1:64" hidden="1" thickBot="1" x14ac:dyDescent="0.2">
      <c r="A86" s="295"/>
      <c r="B86" s="412" t="s">
        <v>467</v>
      </c>
      <c r="C86" s="414" t="str">
        <f t="shared" si="0"/>
        <v>NÃO</v>
      </c>
      <c r="D86" s="415"/>
      <c r="E86" s="18" t="s">
        <v>485</v>
      </c>
      <c r="F86" s="18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NÃO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"/>
      <c r="AC86" s="69"/>
      <c r="AD86" s="70"/>
      <c r="AE86" s="70"/>
      <c r="AF86" s="70"/>
      <c r="AG86" s="69"/>
      <c r="AX86" s="11"/>
      <c r="AY86" s="11"/>
      <c r="AZ86" s="11"/>
      <c r="BA86" s="85"/>
    </row>
    <row r="87" spans="1:64" ht="15.95" hidden="1" customHeight="1" thickTop="1" x14ac:dyDescent="0.15">
      <c r="C87" s="21"/>
      <c r="D87" s="21"/>
      <c r="F87" s="5"/>
      <c r="G87" s="5"/>
      <c r="H87" s="5"/>
      <c r="I87" s="5"/>
      <c r="J87" s="5"/>
      <c r="K87" s="5"/>
      <c r="L87" s="5"/>
      <c r="M87" s="2"/>
      <c r="N87" s="5"/>
      <c r="O87" s="255"/>
      <c r="AC87" s="69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Z87" s="11"/>
      <c r="BA87" s="85"/>
      <c r="BB87" s="686"/>
      <c r="BC87" s="687">
        <f>SUM(F30:F32)</f>
        <v>0</v>
      </c>
      <c r="BD87" s="687"/>
      <c r="BE87" s="687"/>
      <c r="BF87" s="688"/>
      <c r="BG87" s="688"/>
      <c r="BH87" s="688"/>
      <c r="BI87" s="688" t="s">
        <v>361</v>
      </c>
      <c r="BJ87" s="689" t="s">
        <v>362</v>
      </c>
      <c r="BK87" s="690" t="s">
        <v>362</v>
      </c>
      <c r="BL87" s="691" t="s">
        <v>363</v>
      </c>
    </row>
    <row r="88" spans="1:64" ht="15.95" hidden="1" customHeight="1" thickBot="1" x14ac:dyDescent="0.2">
      <c r="C88" s="21"/>
      <c r="D88" s="21"/>
      <c r="G88" s="5"/>
      <c r="H88" s="5"/>
      <c r="I88" s="5"/>
      <c r="J88" s="5"/>
      <c r="K88" s="5"/>
      <c r="L88" s="5"/>
      <c r="M88" s="2"/>
      <c r="N88" s="5"/>
      <c r="O88" s="255"/>
      <c r="AC88" s="69"/>
      <c r="AD88" s="70"/>
      <c r="AE88" s="70"/>
      <c r="AF88" s="70"/>
      <c r="AG88" s="69"/>
      <c r="AZ88" s="11"/>
      <c r="BA88" s="85"/>
      <c r="BB88" s="692" t="s">
        <v>364</v>
      </c>
      <c r="BC88" s="693">
        <v>5</v>
      </c>
      <c r="BD88" s="693">
        <v>10</v>
      </c>
      <c r="BE88" s="693">
        <v>15</v>
      </c>
      <c r="BF88" s="693">
        <v>20</v>
      </c>
      <c r="BG88" s="694">
        <v>25</v>
      </c>
      <c r="BH88" s="694" t="s">
        <v>365</v>
      </c>
      <c r="BI88" s="695" t="s">
        <v>366</v>
      </c>
      <c r="BJ88" s="696" t="s">
        <v>367</v>
      </c>
      <c r="BK88" s="697">
        <v>34820</v>
      </c>
      <c r="BL88" s="698">
        <v>34851</v>
      </c>
    </row>
    <row r="89" spans="1:64" ht="15.95" hidden="1" customHeight="1" thickBot="1" x14ac:dyDescent="0.2">
      <c r="B89" s="88" t="s">
        <v>449</v>
      </c>
      <c r="C89" s="89"/>
      <c r="D89" s="97" t="s">
        <v>546</v>
      </c>
      <c r="E89" s="98"/>
      <c r="F89" s="99"/>
      <c r="G89" s="5"/>
      <c r="H89" s="5"/>
      <c r="I89" s="5"/>
      <c r="J89" s="5"/>
      <c r="K89" s="5"/>
      <c r="L89" s="5"/>
      <c r="M89" s="2"/>
      <c r="N89" s="5"/>
      <c r="O89" s="255"/>
      <c r="AC89" s="69"/>
      <c r="AD89" s="70"/>
      <c r="AE89" s="70"/>
      <c r="AF89" s="70"/>
      <c r="AG89" s="69"/>
      <c r="AZ89" s="11"/>
      <c r="BA89" s="85"/>
      <c r="BB89" s="692"/>
      <c r="BC89" s="693"/>
      <c r="BD89" s="693"/>
      <c r="BE89" s="693"/>
      <c r="BF89" s="693"/>
      <c r="BG89" s="694"/>
      <c r="BH89" s="694"/>
      <c r="BI89" s="695"/>
      <c r="BJ89" s="696"/>
      <c r="BK89" s="697"/>
      <c r="BL89" s="698"/>
    </row>
    <row r="90" spans="1:64" ht="15.95" hidden="1" customHeight="1" thickBot="1" x14ac:dyDescent="0.2">
      <c r="B90" s="91" t="s">
        <v>450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C90" s="69"/>
      <c r="AD90" s="21"/>
      <c r="AE90" s="21"/>
      <c r="AF90" s="21"/>
      <c r="AZ90" s="11"/>
      <c r="BA90" s="85"/>
      <c r="BB90" s="699"/>
      <c r="BC90" s="700">
        <f>(BC87+F45+F59)/365</f>
        <v>0</v>
      </c>
      <c r="BD90" s="701"/>
      <c r="BE90" s="701"/>
      <c r="BF90" s="701"/>
      <c r="BG90" s="701"/>
      <c r="BH90" s="701"/>
      <c r="BI90" s="702">
        <v>0.45</v>
      </c>
      <c r="BJ90" s="703"/>
      <c r="BK90" s="704"/>
      <c r="BL90" s="705" t="s">
        <v>368</v>
      </c>
    </row>
    <row r="91" spans="1:64" ht="15.95" hidden="1" customHeight="1" x14ac:dyDescent="0.15">
      <c r="B91" s="91" t="s">
        <v>455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06" t="s">
        <v>369</v>
      </c>
      <c r="BC91" s="707" t="s">
        <v>370</v>
      </c>
      <c r="BD91" s="708" t="s">
        <v>371</v>
      </c>
      <c r="BE91" s="708" t="s">
        <v>372</v>
      </c>
      <c r="BF91" s="708" t="s">
        <v>373</v>
      </c>
      <c r="BG91" s="708" t="s">
        <v>374</v>
      </c>
      <c r="BH91" s="709" t="s">
        <v>375</v>
      </c>
      <c r="BI91" s="710" t="e">
        <f>#REF!*1.45</f>
        <v>#REF!</v>
      </c>
      <c r="BJ91" s="711">
        <v>80.64</v>
      </c>
      <c r="BK91" s="712">
        <v>100</v>
      </c>
      <c r="BL91" s="713">
        <v>112</v>
      </c>
    </row>
    <row r="92" spans="1:64" ht="15.95" hidden="1" customHeight="1" x14ac:dyDescent="0.15">
      <c r="B92" s="91" t="s">
        <v>467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376</v>
      </c>
      <c r="BC92" s="715" t="s">
        <v>370</v>
      </c>
      <c r="BD92" s="716" t="s">
        <v>371</v>
      </c>
      <c r="BE92" s="716" t="s">
        <v>372</v>
      </c>
      <c r="BF92" s="716" t="s">
        <v>373</v>
      </c>
      <c r="BG92" s="716" t="s">
        <v>374</v>
      </c>
      <c r="BH92" s="717" t="s">
        <v>375</v>
      </c>
      <c r="BI92" s="718" t="e">
        <f>#REF!*1.45</f>
        <v>#REF!</v>
      </c>
      <c r="BJ92" s="719">
        <v>90.32</v>
      </c>
      <c r="BK92" s="720">
        <v>100</v>
      </c>
      <c r="BL92" s="721">
        <v>125.44</v>
      </c>
    </row>
    <row r="93" spans="1:64" ht="15.95" hidden="1" customHeight="1" x14ac:dyDescent="0.15">
      <c r="B93" s="91" t="s">
        <v>468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377</v>
      </c>
      <c r="BC93" s="715" t="s">
        <v>371</v>
      </c>
      <c r="BD93" s="716" t="s">
        <v>372</v>
      </c>
      <c r="BE93" s="716" t="s">
        <v>373</v>
      </c>
      <c r="BF93" s="716" t="s">
        <v>374</v>
      </c>
      <c r="BG93" s="716" t="s">
        <v>375</v>
      </c>
      <c r="BH93" s="717" t="s">
        <v>378</v>
      </c>
      <c r="BI93" s="718" t="e">
        <f>#REF!*1.45</f>
        <v>#REF!</v>
      </c>
      <c r="BJ93" s="719">
        <v>101.15</v>
      </c>
      <c r="BK93" s="720">
        <v>101.15</v>
      </c>
      <c r="BL93" s="721">
        <v>140.4</v>
      </c>
    </row>
    <row r="94" spans="1:64" ht="15.95" hidden="1" customHeight="1" x14ac:dyDescent="0.15">
      <c r="B94" s="91" t="s">
        <v>470</v>
      </c>
      <c r="C94" s="90"/>
      <c r="D94" s="90"/>
      <c r="E94" s="90"/>
      <c r="F94" s="92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379</v>
      </c>
      <c r="BC94" s="715" t="s">
        <v>371</v>
      </c>
      <c r="BD94" s="716" t="s">
        <v>372</v>
      </c>
      <c r="BE94" s="716" t="s">
        <v>373</v>
      </c>
      <c r="BF94" s="716" t="s">
        <v>374</v>
      </c>
      <c r="BG94" s="716" t="s">
        <v>375</v>
      </c>
      <c r="BH94" s="717" t="s">
        <v>378</v>
      </c>
      <c r="BI94" s="718" t="e">
        <f>#REF!*1.45</f>
        <v>#REF!</v>
      </c>
      <c r="BJ94" s="719">
        <v>113.29</v>
      </c>
      <c r="BK94" s="720">
        <v>113.29</v>
      </c>
      <c r="BL94" s="721">
        <v>157.35</v>
      </c>
    </row>
    <row r="95" spans="1:64" ht="15.95" hidden="1" customHeight="1" x14ac:dyDescent="0.15">
      <c r="B95" s="91" t="s">
        <v>471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380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 t="e">
        <f>#REF!*1.45</f>
        <v>#REF!</v>
      </c>
      <c r="BJ95" s="719">
        <v>126.89</v>
      </c>
      <c r="BK95" s="720">
        <v>129.88999999999999</v>
      </c>
      <c r="BL95" s="721">
        <v>176.23</v>
      </c>
    </row>
    <row r="96" spans="1:64" ht="15.95" hidden="1" customHeight="1" x14ac:dyDescent="0.15">
      <c r="B96" s="93" t="s">
        <v>472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328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A129*1.45</f>
        <v>0</v>
      </c>
      <c r="BJ96" s="719">
        <v>80.64</v>
      </c>
      <c r="BK96" s="720">
        <v>100</v>
      </c>
      <c r="BL96" s="721">
        <v>112</v>
      </c>
    </row>
    <row r="97" spans="2:64" ht="15.95" hidden="1" customHeight="1" x14ac:dyDescent="0.15">
      <c r="B97" s="93" t="s">
        <v>487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382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A130*1.45</f>
        <v>0</v>
      </c>
      <c r="BJ97" s="719">
        <v>90.32</v>
      </c>
      <c r="BK97" s="720">
        <v>100</v>
      </c>
      <c r="BL97" s="721">
        <v>125.44</v>
      </c>
    </row>
    <row r="98" spans="2:64" ht="15.95" hidden="1" customHeight="1" thickBot="1" x14ac:dyDescent="0.2">
      <c r="B98" s="94" t="s">
        <v>484</v>
      </c>
      <c r="C98" s="95"/>
      <c r="D98" s="95"/>
      <c r="E98" s="95"/>
      <c r="F98" s="96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383</v>
      </c>
      <c r="BC98" s="715" t="s">
        <v>372</v>
      </c>
      <c r="BD98" s="716" t="s">
        <v>373</v>
      </c>
      <c r="BE98" s="716" t="s">
        <v>374</v>
      </c>
      <c r="BF98" s="716" t="s">
        <v>375</v>
      </c>
      <c r="BG98" s="716" t="s">
        <v>378</v>
      </c>
      <c r="BH98" s="717" t="s">
        <v>381</v>
      </c>
      <c r="BI98" s="718">
        <f>A131*1.45</f>
        <v>0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30"/>
      <c r="C99" s="5"/>
      <c r="D99" s="5"/>
      <c r="E99" s="5"/>
      <c r="F99" s="5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384</v>
      </c>
      <c r="BC99" s="715" t="s">
        <v>372</v>
      </c>
      <c r="BD99" s="716" t="s">
        <v>373</v>
      </c>
      <c r="BE99" s="716" t="s">
        <v>374</v>
      </c>
      <c r="BF99" s="716" t="s">
        <v>375</v>
      </c>
      <c r="BG99" s="716" t="s">
        <v>378</v>
      </c>
      <c r="BH99" s="717" t="s">
        <v>381</v>
      </c>
      <c r="BI99" s="718">
        <f>A132*1.45</f>
        <v>1.45</v>
      </c>
      <c r="BJ99" s="719">
        <v>113.29</v>
      </c>
      <c r="BK99" s="720">
        <v>113.29</v>
      </c>
      <c r="BL99" s="721">
        <v>157.35</v>
      </c>
    </row>
    <row r="100" spans="2:64" ht="13.5" hidden="1" x14ac:dyDescent="0.15">
      <c r="B100" s="30"/>
      <c r="C100" s="5"/>
      <c r="D100" s="5"/>
      <c r="E100" s="5"/>
      <c r="F100" s="5"/>
      <c r="G100" s="5"/>
      <c r="H100" s="5"/>
      <c r="I100" s="5"/>
      <c r="J100" s="74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385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>
        <f>A132*1.45</f>
        <v>1.45</v>
      </c>
      <c r="BJ100" s="719">
        <v>126.89</v>
      </c>
      <c r="BK100" s="720">
        <v>126.89</v>
      </c>
      <c r="BL100" s="721">
        <v>176.23</v>
      </c>
    </row>
    <row r="101" spans="2:64" ht="13.5" hidden="1" x14ac:dyDescent="0.15">
      <c r="B101" s="1849" t="s">
        <v>508</v>
      </c>
      <c r="C101" s="1849"/>
      <c r="D101" s="1849"/>
      <c r="E101" s="1849"/>
      <c r="H101" s="5"/>
      <c r="I101" s="37"/>
      <c r="J101" s="5"/>
      <c r="K101" s="27"/>
      <c r="L101" s="6"/>
      <c r="M101" s="27"/>
      <c r="N101" s="60"/>
      <c r="O101" s="255"/>
      <c r="AD101" s="70"/>
      <c r="AE101" s="70"/>
      <c r="AF101" s="70"/>
      <c r="AG101" s="69"/>
      <c r="AZ101" s="11"/>
      <c r="BA101" s="85"/>
      <c r="BB101" s="714" t="s">
        <v>386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A133*1.45</f>
        <v>2.9</v>
      </c>
      <c r="BJ101" s="719">
        <v>126.89</v>
      </c>
      <c r="BK101" s="720">
        <v>126.89</v>
      </c>
      <c r="BL101" s="721">
        <v>176.23</v>
      </c>
    </row>
    <row r="102" spans="2:64" hidden="1" thickBot="1" x14ac:dyDescent="0.2">
      <c r="B102" s="34" t="s">
        <v>463</v>
      </c>
      <c r="C102" s="17"/>
      <c r="D102" s="21"/>
      <c r="E102" s="36"/>
      <c r="F102" s="5"/>
      <c r="G102" s="28"/>
      <c r="H102" s="5"/>
      <c r="I102" s="17" t="s">
        <v>463</v>
      </c>
      <c r="J102" s="5">
        <f>IF(E2=B92,H103,IF(E2=B94,H103,IF(E2=B96,H103,IF(E2=B97,H103,"NÃO CABE"))))</f>
        <v>0</v>
      </c>
      <c r="K102" s="27"/>
      <c r="L102" s="6" t="s">
        <v>510</v>
      </c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Z102" s="11"/>
      <c r="BA102" s="85"/>
      <c r="BB102" s="714" t="s">
        <v>387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 t="e">
        <f>A134*1.45</f>
        <v>#VALUE!</v>
      </c>
      <c r="BJ102" s="719">
        <v>142.12</v>
      </c>
      <c r="BK102" s="720">
        <v>142.12</v>
      </c>
      <c r="BL102" s="721">
        <v>197.38</v>
      </c>
    </row>
    <row r="103" spans="2:64" hidden="1" thickBot="1" x14ac:dyDescent="0.2">
      <c r="B103" s="34" t="s">
        <v>485</v>
      </c>
      <c r="C103" s="17"/>
      <c r="D103" s="16"/>
      <c r="E103" s="57">
        <f>IF($F$103="NÃO CABE","NÃO CABE",IF($G$10="X",$F$103/30,$F$103/35))</f>
        <v>0</v>
      </c>
      <c r="F103" s="10">
        <f>IF(E2="VOLUNTÁRIA ESPECIAL","NÃO CABE",IF(E2="VOLUNTÁRIA INTEGRAL","NÃO CABE",IF(E2="COMPULSÓRIA INTEGRAL","NÃO CABE",IF(E2="INVALIDEZ INTEGRAL","NÃO CABE",ROUNDDOWN(F61/365,0)))))</f>
        <v>0</v>
      </c>
      <c r="G103" s="28"/>
      <c r="H103" s="14">
        <f>IF(E103&gt;1,1,E103)</f>
        <v>0</v>
      </c>
      <c r="I103" s="17" t="s">
        <v>485</v>
      </c>
      <c r="J103" s="5" t="str">
        <f>IF($E$2=$B$92,H103,IF($E$2=$B$94,H103,IF($E$2=$B$96,H103,"NÃO CABE")))</f>
        <v>NÃO CABE</v>
      </c>
      <c r="K103" s="27"/>
      <c r="L103" s="57">
        <f>IF($F$103="NÃO CABE","NÃO CABE",IF($G$10="X",$F$61/10950,$F$61/12775))</f>
        <v>0</v>
      </c>
      <c r="M103" s="14">
        <f>IF(L103&gt;1,1,L103)</f>
        <v>0</v>
      </c>
      <c r="N103" s="5" t="str">
        <f>IF($E$2=$B$92,M103,IF($E$2=$B$94,M103,IF($E$2=$B$96,M103,"NÃO CABE")))</f>
        <v>NÃO CABE</v>
      </c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Z103" s="11"/>
      <c r="BA103" s="85"/>
      <c r="BB103" s="714" t="s">
        <v>389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A136*1.45</f>
        <v>5.8</v>
      </c>
      <c r="BJ103" s="719">
        <v>90.32</v>
      </c>
      <c r="BK103" s="720">
        <v>100</v>
      </c>
      <c r="BL103" s="721">
        <v>125.44</v>
      </c>
    </row>
    <row r="104" spans="2:64" hidden="1" thickBot="1" x14ac:dyDescent="0.2">
      <c r="B104" s="34" t="s">
        <v>476</v>
      </c>
      <c r="C104" s="17"/>
      <c r="D104" s="16"/>
      <c r="E104" s="58" t="str">
        <f>IF(E2=B97,IF(C65&gt;0,"TEMPO A CUMPRIR",IF(F104=1,75%,IF(F104=2,80%,IF(F104=3,85%,IF(F104=4,90%,IF(F104=5,95%,IF(F104&gt;=6,100%,70%))))))),"NÃO CABE")</f>
        <v>TEMPO A CUMPRIR</v>
      </c>
      <c r="F104" s="10">
        <f>IF(G10="X",ROUNDDOWN((F61-(25*365+E43))/365,0),ROUNDDOWN((F61-(30*365+E43))/365,0))</f>
        <v>-42</v>
      </c>
      <c r="G104" s="28"/>
      <c r="I104" s="17" t="s">
        <v>476</v>
      </c>
      <c r="J104" s="5" t="str">
        <f>IF(E2=B97,E104,"NÃO CABE")</f>
        <v>TEMPO A CUMPRIR</v>
      </c>
      <c r="K104" s="27"/>
      <c r="L104" s="65"/>
      <c r="M104" s="66">
        <f>O10</f>
        <v>0</v>
      </c>
      <c r="N104" s="60">
        <v>38037</v>
      </c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Z104" s="11"/>
      <c r="BA104" s="85"/>
      <c r="BB104" s="714" t="s">
        <v>390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/>
      <c r="BJ104" s="719"/>
      <c r="BK104" s="720"/>
      <c r="BL104" s="721"/>
    </row>
    <row r="105" spans="2:64" hidden="1" thickBot="1" x14ac:dyDescent="0.2">
      <c r="B105" s="35" t="s">
        <v>464</v>
      </c>
      <c r="C105" s="33"/>
      <c r="D105" s="16"/>
      <c r="E105" s="36" t="s">
        <v>457</v>
      </c>
      <c r="F105" s="5">
        <f>IF($D$12="X",50-$N$11,55-$N$11)</f>
        <v>55</v>
      </c>
      <c r="G105" s="28"/>
      <c r="H105" s="59" t="str">
        <f>IF($G$10="X",IF($O$9&gt;=17532,IF($O$10&gt;=38718,1-($F$105*0.05),1-($F$105*0.035)),"NÃO CABE"),IF($O$9&gt;=19359,IF($O$10&gt;=38718,1-($F$106*0.05),1-($F$106*0.035)),"NÃO CABE"))</f>
        <v>NÃO CABE</v>
      </c>
      <c r="I105" s="33" t="s">
        <v>464</v>
      </c>
      <c r="J105" s="61" t="str">
        <f>IF(E2=B98,H106,"NÃO CABE")</f>
        <v>NÃO CABE</v>
      </c>
      <c r="K105" s="27"/>
      <c r="L105" s="6"/>
      <c r="M105" s="27"/>
      <c r="N105" s="60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391</v>
      </c>
      <c r="BC105" s="715" t="s">
        <v>373</v>
      </c>
      <c r="BD105" s="716" t="s">
        <v>374</v>
      </c>
      <c r="BE105" s="716" t="s">
        <v>375</v>
      </c>
      <c r="BF105" s="716" t="s">
        <v>378</v>
      </c>
      <c r="BG105" s="716" t="s">
        <v>381</v>
      </c>
      <c r="BH105" s="717" t="s">
        <v>388</v>
      </c>
      <c r="BI105" s="718" t="e">
        <f>A138*1.45</f>
        <v>#VALUE!</v>
      </c>
      <c r="BJ105" s="719">
        <v>101.15</v>
      </c>
      <c r="BK105" s="720">
        <v>101.15</v>
      </c>
      <c r="BL105" s="721">
        <v>140.4</v>
      </c>
    </row>
    <row r="106" spans="2:64" ht="13.5" hidden="1" x14ac:dyDescent="0.15">
      <c r="B106" s="39">
        <v>38717</v>
      </c>
      <c r="C106" s="11">
        <v>38717</v>
      </c>
      <c r="D106" s="16"/>
      <c r="E106" s="36" t="s">
        <v>456</v>
      </c>
      <c r="F106" s="5">
        <f>IF($D$12="X",55-$N$11,60-$N$11)</f>
        <v>60</v>
      </c>
      <c r="G106" s="28"/>
      <c r="H106" s="14">
        <f>IF(H105="NÃO CABE",0,IF(H105&gt;1,1,H105))</f>
        <v>0</v>
      </c>
      <c r="I106" s="18"/>
      <c r="J106" s="5"/>
      <c r="K106" s="27"/>
      <c r="L106" s="6"/>
      <c r="M106" s="27"/>
      <c r="N106" s="60"/>
      <c r="O106" s="255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S106" s="69"/>
      <c r="AX106" s="11"/>
      <c r="AY106" s="11"/>
      <c r="AZ106" s="11"/>
      <c r="BA106" s="85"/>
      <c r="BB106" s="714" t="s">
        <v>392</v>
      </c>
      <c r="BC106" s="715" t="s">
        <v>373</v>
      </c>
      <c r="BD106" s="716" t="s">
        <v>374</v>
      </c>
      <c r="BE106" s="716" t="s">
        <v>375</v>
      </c>
      <c r="BF106" s="716" t="s">
        <v>378</v>
      </c>
      <c r="BG106" s="716" t="s">
        <v>381</v>
      </c>
      <c r="BH106" s="717" t="s">
        <v>388</v>
      </c>
      <c r="BI106" s="718"/>
      <c r="BJ106" s="719"/>
      <c r="BK106" s="720"/>
      <c r="BL106" s="721"/>
    </row>
    <row r="107" spans="2:64" ht="13.5" hidden="1" x14ac:dyDescent="0.15">
      <c r="B107" s="39">
        <v>38718</v>
      </c>
      <c r="C107" s="11">
        <v>38718</v>
      </c>
      <c r="D107" s="8"/>
      <c r="E107" s="63"/>
      <c r="F107" s="6"/>
      <c r="G107" s="6"/>
      <c r="H107" s="6"/>
      <c r="I107" s="18"/>
      <c r="J107" s="9"/>
      <c r="K107" s="5"/>
      <c r="L107" s="6"/>
      <c r="M107" s="10"/>
      <c r="N107" s="11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393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>
        <f>A139*1.45</f>
        <v>8.6999999999999993</v>
      </c>
      <c r="BJ107" s="719">
        <v>113.29</v>
      </c>
      <c r="BK107" s="720">
        <v>113.29</v>
      </c>
      <c r="BL107" s="721">
        <v>157.35</v>
      </c>
    </row>
    <row r="108" spans="2:64" ht="13.5" hidden="1" x14ac:dyDescent="0.15">
      <c r="B108" s="62"/>
      <c r="C108" s="38">
        <v>38097</v>
      </c>
      <c r="D108" s="8"/>
      <c r="E108" s="5"/>
      <c r="F108" s="6"/>
      <c r="G108" s="6"/>
      <c r="H108" s="6"/>
      <c r="I108" s="6"/>
      <c r="J108" s="9"/>
      <c r="K108" s="5"/>
      <c r="L108" s="6"/>
      <c r="M108" s="10"/>
      <c r="N108" s="11"/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394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A140*1.45</f>
        <v>10.15</v>
      </c>
      <c r="BJ108" s="719">
        <v>113.29</v>
      </c>
      <c r="BK108" s="720">
        <v>113.29</v>
      </c>
      <c r="BL108" s="721">
        <v>157.35</v>
      </c>
    </row>
    <row r="109" spans="2:64" ht="13.5" hidden="1" x14ac:dyDescent="0.15">
      <c r="B109" s="6"/>
      <c r="C109" s="38"/>
      <c r="D109" s="8"/>
      <c r="E109" s="5"/>
      <c r="F109" s="6"/>
      <c r="G109" s="6"/>
      <c r="H109" s="6"/>
      <c r="I109" s="6"/>
      <c r="J109" s="9"/>
      <c r="K109" s="5"/>
      <c r="L109" s="6"/>
      <c r="M109" s="10"/>
      <c r="N109" s="11"/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14" t="s">
        <v>395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1849" t="s">
        <v>477</v>
      </c>
      <c r="C110" s="1849"/>
      <c r="D110" s="1849"/>
      <c r="E110" s="1849"/>
      <c r="F110" s="1849"/>
      <c r="G110" s="1849"/>
      <c r="H110" s="1849"/>
      <c r="I110" s="1849"/>
      <c r="J110" s="1849"/>
      <c r="K110" s="1849" t="s">
        <v>477</v>
      </c>
      <c r="L110" s="1849"/>
      <c r="M110" s="1849"/>
      <c r="N110" s="1849"/>
      <c r="O110" s="1849"/>
      <c r="P110" s="1849"/>
      <c r="Q110" s="1849"/>
      <c r="R110" s="1849"/>
      <c r="S110" s="1849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399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13.049999999999999</v>
      </c>
      <c r="BJ110" s="719">
        <v>126.89</v>
      </c>
      <c r="BK110" s="720">
        <v>126.89</v>
      </c>
      <c r="BL110" s="721">
        <v>176.23</v>
      </c>
    </row>
    <row r="111" spans="2:64" ht="13.5" hidden="1" x14ac:dyDescent="0.15">
      <c r="B111" s="19" t="s">
        <v>480</v>
      </c>
      <c r="C111" s="8"/>
      <c r="D111" s="8"/>
      <c r="E111" s="5"/>
      <c r="F111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1" t="s">
        <v>450</v>
      </c>
      <c r="M111" s="10"/>
      <c r="N111" s="11"/>
      <c r="O111" s="255" t="b">
        <f>IF(E2=L111,IF(K2=O3,F111,IF(K2=O4,F113,IF(K2=O6,F111,IF(K2=O7,F112,IF(K2=O2,"NADA A CRITICAR","REANALISAR FUNDAMENTAÇÃO E/OU MODALIDADE"))))))</f>
        <v>0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400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/>
      <c r="BJ111" s="719"/>
      <c r="BK111" s="720"/>
      <c r="BL111" s="721"/>
    </row>
    <row r="112" spans="2:64" ht="13.5" hidden="1" x14ac:dyDescent="0.15">
      <c r="B112" s="6" t="s">
        <v>481</v>
      </c>
      <c r="D112" s="10"/>
      <c r="E112" s="11"/>
      <c r="F112" s="6" t="str">
        <f>IF(G10="X",IF(O9&gt;=I125,"ATENDE LIMITE MÍNIMO DE IDADE","NÃO ATENDE LIMITE MÍNIMO DE IDADE"),IF(O9&gt;=J125,"ATENDE LIMITE MÍNIMO DE IDADE","NÃO ATENDE LIMITE MÍNIMO DE IDADE"))</f>
        <v>NÃO ATENDE LIMITE MÍNIMO DE IDADE</v>
      </c>
      <c r="G112" s="6"/>
      <c r="H112" s="6"/>
      <c r="I112" s="6"/>
      <c r="J112" s="9"/>
      <c r="L112" s="41" t="s">
        <v>455</v>
      </c>
      <c r="O112" s="255" t="str">
        <f>IF(E2=L112,IF(K2=O3,F114,IF(K2=O4,F117,IF(K2=O6,F114,IF(K2=O2,"NADA A CRITICAR","REANALISAR FUNDAMENTAÇÃO E/OU MODALIDADE")))),"REANALISAR FUNDAMENTAÇÃO E/OU MODALIDADE")</f>
        <v>REANALISAR FUNDAMENTAÇÃO E/OU MODALIDADE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401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>
        <f>A145*1.45</f>
        <v>15.95</v>
      </c>
      <c r="BJ112" s="719">
        <v>142.12</v>
      </c>
      <c r="BK112" s="720">
        <v>142.12</v>
      </c>
      <c r="BL112" s="721">
        <v>197.38</v>
      </c>
    </row>
    <row r="113" spans="2:64" ht="13.5" hidden="1" x14ac:dyDescent="0.15">
      <c r="B113" s="20" t="s">
        <v>482</v>
      </c>
      <c r="F113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3" s="5"/>
      <c r="L113" s="41" t="s">
        <v>467</v>
      </c>
      <c r="O113" s="254" t="str">
        <f>IF(E2=L113,IF(K2=O3,F115,IF(K2=O2,F115,"REANALISAR FUNDAMENTAÇÃO E/OU MODALIDADE")),"REANALISAR FUNDAMENTAÇÃO E/OU MODALIDADE")</f>
        <v>REANALISAR FUNDAMENTAÇÃO E/OU MODALIDADE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2" t="s">
        <v>402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2:64" ht="13.5" hidden="1" x14ac:dyDescent="0.15">
      <c r="B114" s="6" t="s">
        <v>478</v>
      </c>
      <c r="C114" s="8"/>
      <c r="D114" s="8"/>
      <c r="E114" s="5"/>
      <c r="F114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4" s="6"/>
      <c r="H114" s="6"/>
      <c r="I114" s="6"/>
      <c r="J114" s="9"/>
      <c r="K114" s="5"/>
      <c r="L114" s="11" t="s">
        <v>487</v>
      </c>
      <c r="M114" s="10"/>
      <c r="N114" s="11"/>
      <c r="O114" s="255" t="str">
        <f>IF(E2=L114,IF(K2=O4,F116,IF(K2=O2,"NADA A CRITICAR","REANALISAR FUNDAMENTAÇÃO E/OU MODALIDADE")),"REANALISAR FUNDAMENTAÇÃO E/OU MODALIDADE")</f>
        <v>NÃO ATENDE LIMITE MÍNIMO DE IDADE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403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>
        <f>A147*1.45</f>
        <v>18.849999999999998</v>
      </c>
      <c r="BJ114" s="719">
        <v>159.16999999999999</v>
      </c>
      <c r="BK114" s="720">
        <v>159.16999999999999</v>
      </c>
      <c r="BL114" s="721">
        <v>221.06</v>
      </c>
    </row>
    <row r="115" spans="2:64" ht="13.5" hidden="1" x14ac:dyDescent="0.15">
      <c r="B115" s="6" t="s">
        <v>479</v>
      </c>
      <c r="C115" s="8"/>
      <c r="D115" s="8"/>
      <c r="E115" s="5"/>
      <c r="F115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5" s="6"/>
      <c r="H115" s="6"/>
      <c r="I115" s="6"/>
      <c r="J115" s="9"/>
      <c r="K115" s="5"/>
      <c r="L115" s="42" t="s">
        <v>484</v>
      </c>
      <c r="M115" s="10"/>
      <c r="N115" s="11"/>
      <c r="O115" s="255" t="str">
        <f>IF(E2=L115,IF(K2=O5,F113,"REANALISAR FUNDAMENTAÇÃO E/OU MODALIDADE"),"REANALISAR FUNDAMENTAÇÃO E/OU MODALIDADE")</f>
        <v>REANALISAR FUNDAMENTAÇÃO E/OU MODALIDADE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404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20.3</v>
      </c>
      <c r="BJ115" s="719">
        <v>101.15</v>
      </c>
      <c r="BK115" s="720">
        <v>101.15</v>
      </c>
      <c r="BL115" s="721">
        <v>140.4</v>
      </c>
    </row>
    <row r="116" spans="2:64" hidden="1" x14ac:dyDescent="0.15">
      <c r="B116" s="20" t="s">
        <v>483</v>
      </c>
      <c r="C116" s="43"/>
      <c r="D116" s="43"/>
      <c r="E116" s="44"/>
      <c r="F116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6" s="44"/>
      <c r="H116" s="44"/>
      <c r="I116" s="44"/>
      <c r="J116" s="44"/>
      <c r="K116" s="45"/>
      <c r="L116" s="46" t="s">
        <v>488</v>
      </c>
      <c r="M116" s="46"/>
      <c r="N116" s="47"/>
      <c r="O116" s="255" t="b">
        <f>IF($K$2=$O$2,IF($E$2=$B$93,$F$118,IF(E2=$B$94,$F$118,IF($E$2=$B$95,"EX OFFICIO",IF($E$2=$B$96,"EX OFFICIO","REANALISAR FUNDAMENTAÇÃO E/OU MODALIDADE")))),IF($K$2=$O$3,IF($E$2=$B$93,$F$118,IF($E$2=$B$94,$F$118,IF($E$2=$B$95,"EX OFFICIO",IF($E$2=$B$96,"EX OFFICIO","REANALISAR FUNDAMENTAÇÃO E/OU MODADALIDADE"))))))</f>
        <v>0</v>
      </c>
      <c r="P116" s="3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405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20" t="s">
        <v>486</v>
      </c>
      <c r="C117" s="43"/>
      <c r="D117" s="43"/>
      <c r="E117" s="44"/>
      <c r="F117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7" s="44"/>
      <c r="H117" s="44"/>
      <c r="I117" s="44"/>
      <c r="J117" s="44"/>
      <c r="K117" s="46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406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2:64" ht="13.5" hidden="1" x14ac:dyDescent="0.15">
      <c r="B118" s="44" t="s">
        <v>503</v>
      </c>
      <c r="C118" s="43"/>
      <c r="D118" s="43"/>
      <c r="E118" s="44"/>
      <c r="F118" s="44" t="str">
        <f>IF($N$11&gt;=70,"ATENDE LIMITE MÍNIMO DE IDADE","NÃO ATENDE LIMITE MÍNIMO DE IDADE")</f>
        <v>NÃO ATENDE LIMITE MÍNIMO DE IDADE</v>
      </c>
      <c r="G118" s="44"/>
      <c r="H118" s="44"/>
      <c r="I118" s="44"/>
      <c r="J118" s="44"/>
      <c r="K118" s="46"/>
      <c r="L118" s="48"/>
      <c r="M118" s="48"/>
      <c r="N118" s="47"/>
      <c r="O118" s="255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3" t="s">
        <v>407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44"/>
      <c r="C119" s="43"/>
      <c r="D119" s="43"/>
      <c r="E119" s="44"/>
      <c r="F119" s="44"/>
      <c r="G119" s="44"/>
      <c r="H119" s="44"/>
      <c r="I119" s="44"/>
      <c r="J119" s="44"/>
      <c r="K119" s="46"/>
      <c r="L119" s="49" t="s">
        <v>498</v>
      </c>
      <c r="M119" s="11"/>
      <c r="N119" s="11"/>
      <c r="O119" s="255"/>
      <c r="P119" s="79"/>
      <c r="Q119" s="79"/>
      <c r="R119" s="79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23" t="s">
        <v>408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2:64" ht="13.5" hidden="1" x14ac:dyDescent="0.15">
      <c r="B120" s="50"/>
      <c r="C120" s="50"/>
      <c r="D120" s="50"/>
      <c r="E120" s="50"/>
      <c r="F120" s="50"/>
      <c r="G120" s="50"/>
      <c r="H120" s="50"/>
      <c r="I120" s="50"/>
      <c r="J120" s="50"/>
      <c r="K120" s="51"/>
      <c r="L120" s="11" t="s">
        <v>499</v>
      </c>
      <c r="M120" s="11"/>
      <c r="N120" s="11"/>
      <c r="O120" s="255"/>
      <c r="P120" s="79"/>
      <c r="Q120" s="86">
        <f>IF(K2=O4,IF(E2=B90,R120,IF(E2=B91,R120,IF(E2=B97,R120,IF(G10="X",(30*365)-F61,(35*365)-F61)))),IF(K2=O5,IF(E2=B98,R120,IF(G10="X",(30*365)-F61,(35*365)-F61))))</f>
        <v>15330</v>
      </c>
      <c r="R120" s="86">
        <f>IF($K$2=$O$4,IF($F$61&gt;=($F$37+$E$44),0,($F$37+$E$44)-$F$61),IF($K$2=$O$5,IF($F$61&gt;=($F$37+$E$44),0,($F$37+$E$44)-$F$61)))</f>
        <v>15330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23" t="s">
        <v>409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2:64" ht="13.5" hidden="1" x14ac:dyDescent="0.15">
      <c r="B121" s="52"/>
      <c r="C121" s="52"/>
      <c r="D121" s="52"/>
      <c r="E121" s="52"/>
      <c r="F121" s="52"/>
      <c r="G121" s="52"/>
      <c r="H121" s="52"/>
      <c r="I121" s="52"/>
      <c r="J121" s="52"/>
      <c r="K121" s="53"/>
      <c r="L121" s="42" t="s">
        <v>500</v>
      </c>
      <c r="M121" s="11"/>
      <c r="N121" s="11"/>
      <c r="O121" s="255"/>
      <c r="P121" s="79"/>
      <c r="Q121" s="86">
        <f>IF(E2="VOLUNTÁRIA ESPECIAL",IF(D12="X",IF(G10="X",(25*365)-F61,(30*365)-F61)),IF(G10="X",(30*365)-F61,(35*365)-F61))</f>
        <v>12775</v>
      </c>
      <c r="R121" s="79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23" t="s">
        <v>410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17" t="s">
        <v>463</v>
      </c>
      <c r="M122" s="11"/>
      <c r="N122" s="11"/>
      <c r="O122" s="255" t="s">
        <v>504</v>
      </c>
      <c r="P122" s="79"/>
      <c r="Q122" s="87"/>
      <c r="R122" s="86">
        <f>IF(E2="VOLUNTÁRIA ESPECIAL",IF(D12="X",IF(G10="X",(25*365)-$F$37,(30*365)-$F$37)),IF(G10="X",(30*365)-$F$37,(35*365)-$F$37))</f>
        <v>12775</v>
      </c>
      <c r="S122" s="11"/>
      <c r="T122" s="5"/>
      <c r="U122" s="5"/>
      <c r="V122" s="5"/>
      <c r="W122" s="5"/>
      <c r="X122" s="5"/>
      <c r="Y122" s="5"/>
      <c r="Z122" s="5"/>
      <c r="AA122" s="5"/>
      <c r="AB122" s="5"/>
      <c r="AC122" s="69"/>
      <c r="AD122" s="70"/>
      <c r="AE122" s="70"/>
      <c r="AF122" s="70"/>
      <c r="AG122" s="69"/>
      <c r="AX122" s="11"/>
      <c r="AY122" s="11"/>
      <c r="AZ122" s="5"/>
      <c r="BA122" s="724"/>
      <c r="BB122" s="723" t="s">
        <v>411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customHeight="1" x14ac:dyDescent="0.15">
      <c r="B123" s="6"/>
      <c r="C123" s="1943" t="s">
        <v>459</v>
      </c>
      <c r="D123" s="1943"/>
      <c r="E123" s="1943"/>
      <c r="F123" s="1943" t="s">
        <v>460</v>
      </c>
      <c r="G123" s="1943"/>
      <c r="H123" s="1943"/>
      <c r="I123" s="1943" t="s">
        <v>461</v>
      </c>
      <c r="J123" s="1943"/>
      <c r="K123" s="51"/>
      <c r="L123" s="51"/>
      <c r="M123" s="54"/>
      <c r="N123" s="54"/>
      <c r="O123" s="255" t="s">
        <v>487</v>
      </c>
      <c r="P123" s="78"/>
      <c r="Q123" s="78"/>
      <c r="R123" s="86">
        <f>IF(E2=B97,IF(G10="X",(25*365)-$F$37,(30*365)-$F$37),IF(G10="X",(30*365)-$F$37,(35*365)-$F$37))</f>
        <v>10950</v>
      </c>
      <c r="AX123" s="11"/>
      <c r="AY123" s="11"/>
      <c r="BB123" s="723" t="s">
        <v>412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2.75" hidden="1" customHeight="1" x14ac:dyDescent="0.15">
      <c r="B124" s="40" t="s">
        <v>454</v>
      </c>
      <c r="C124" s="40" t="s">
        <v>457</v>
      </c>
      <c r="D124" s="8"/>
      <c r="E124" s="5" t="s">
        <v>456</v>
      </c>
      <c r="F124" s="6" t="s">
        <v>457</v>
      </c>
      <c r="G124" s="6"/>
      <c r="H124" s="6" t="s">
        <v>456</v>
      </c>
      <c r="I124" s="8" t="s">
        <v>457</v>
      </c>
      <c r="J124" s="8" t="s">
        <v>456</v>
      </c>
      <c r="K124" s="51"/>
      <c r="L124" s="18" t="s">
        <v>466</v>
      </c>
      <c r="M124" s="54"/>
      <c r="N124" s="54"/>
      <c r="O124" s="255" t="s">
        <v>509</v>
      </c>
      <c r="P124" s="78"/>
      <c r="Q124" s="86">
        <f>IF(K2=O7,IF($E$2=B90,IF($G$10="X",(30*365)-$F$61,(35*365)-$F$61)),IF($G$10="X",(30*365)-$F$61,(35*365)-$F$61))</f>
        <v>12775</v>
      </c>
      <c r="R124" s="78"/>
      <c r="AX124" s="11"/>
      <c r="AY124" s="11"/>
      <c r="BB124" s="723" t="s">
        <v>413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customHeight="1" x14ac:dyDescent="0.15">
      <c r="B125" s="16" t="s">
        <v>450</v>
      </c>
      <c r="C125" s="55">
        <f>30*365</f>
        <v>10950</v>
      </c>
      <c r="D125" s="55"/>
      <c r="E125" s="55">
        <f>35*365</f>
        <v>12775</v>
      </c>
      <c r="F125" s="55">
        <v>20089</v>
      </c>
      <c r="G125" s="55"/>
      <c r="H125" s="55">
        <v>21914</v>
      </c>
      <c r="I125" s="55">
        <f>F125-C128</f>
        <v>31039</v>
      </c>
      <c r="J125" s="55">
        <f>H125-E128</f>
        <v>34689</v>
      </c>
      <c r="K125" s="51"/>
      <c r="L125" s="51"/>
      <c r="M125" s="54"/>
      <c r="N125" s="54"/>
      <c r="P125" s="78"/>
      <c r="Q125" s="78"/>
      <c r="R125" s="78"/>
      <c r="AX125" s="11"/>
      <c r="AY125" s="11"/>
      <c r="BB125" s="723" t="s">
        <v>414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2.75" hidden="1" customHeight="1" x14ac:dyDescent="0.15">
      <c r="B126" s="16" t="s">
        <v>455</v>
      </c>
      <c r="C126" s="47">
        <f>25*365</f>
        <v>9125</v>
      </c>
      <c r="D126" s="47"/>
      <c r="E126" s="47">
        <f>30*365</f>
        <v>10950</v>
      </c>
      <c r="F126" s="55">
        <v>18264</v>
      </c>
      <c r="G126" s="55"/>
      <c r="H126" s="55">
        <v>20089</v>
      </c>
      <c r="I126" s="47">
        <f>ROUNDDOWN(I125/365,0)</f>
        <v>85</v>
      </c>
      <c r="J126" s="47">
        <f>ROUNDDOWN(J125/365,0)</f>
        <v>95</v>
      </c>
      <c r="K126" s="51"/>
      <c r="L126" s="51"/>
      <c r="M126" s="54"/>
      <c r="N126" s="54"/>
      <c r="P126" s="78"/>
      <c r="Q126" s="78"/>
      <c r="R126" s="78"/>
      <c r="AX126" s="11"/>
      <c r="AY126" s="11"/>
      <c r="BB126" s="723" t="s">
        <v>415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2.75" hidden="1" customHeight="1" x14ac:dyDescent="0.15">
      <c r="B127" s="48"/>
      <c r="C127" s="48"/>
      <c r="D127" s="48"/>
      <c r="E127" s="46"/>
      <c r="F127" s="48"/>
      <c r="G127" s="48"/>
      <c r="H127" s="48"/>
      <c r="I127" s="48"/>
      <c r="J127" s="46"/>
      <c r="K127" s="51"/>
      <c r="L127" s="51"/>
      <c r="M127" s="54"/>
      <c r="N127" s="54"/>
      <c r="AX127" s="5"/>
      <c r="AY127" s="5"/>
      <c r="BB127" s="723" t="s">
        <v>416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2.75" hidden="1" customHeight="1" x14ac:dyDescent="0.15">
      <c r="B128" s="48" t="s">
        <v>458</v>
      </c>
      <c r="C128" s="56">
        <f>ROUNDDOWN((F61-C125),0)</f>
        <v>-10950</v>
      </c>
      <c r="D128" s="48"/>
      <c r="E128" s="56">
        <f>ROUNDDOWN((F61-E125),0)</f>
        <v>-12775</v>
      </c>
      <c r="F128" s="48"/>
      <c r="G128" s="48"/>
      <c r="H128" s="48"/>
      <c r="I128" s="48"/>
      <c r="J128" s="46"/>
      <c r="K128" s="51"/>
      <c r="L128" s="51"/>
      <c r="M128" s="54"/>
      <c r="N128" s="54"/>
      <c r="BB128" s="723" t="s">
        <v>417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4"/>
      <c r="N129" s="54"/>
      <c r="BB129" s="723" t="s">
        <v>418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2.75" hidden="1" customHeight="1" thickBot="1" x14ac:dyDescent="0.2">
      <c r="B130" s="1848" t="s">
        <v>548</v>
      </c>
      <c r="C130" s="1848"/>
      <c r="D130" s="1848"/>
      <c r="E130" s="1848"/>
      <c r="F130" s="1848"/>
      <c r="G130" s="1848"/>
      <c r="H130" s="1848"/>
      <c r="I130" s="1848"/>
      <c r="J130" s="1848"/>
      <c r="K130" s="1848"/>
      <c r="L130" s="1848"/>
      <c r="M130" s="1848"/>
      <c r="N130" s="1848"/>
      <c r="BB130" s="312"/>
      <c r="BC130" s="313"/>
      <c r="BD130" s="314"/>
      <c r="BE130" s="314"/>
      <c r="BF130" s="315"/>
      <c r="BG130" s="315"/>
      <c r="BH130" s="316"/>
      <c r="BI130" s="317">
        <f>A150*1.45</f>
        <v>23.2</v>
      </c>
      <c r="BJ130" s="318">
        <v>113.29</v>
      </c>
      <c r="BK130" s="319">
        <v>113.29</v>
      </c>
      <c r="BL130" s="320">
        <v>157.35</v>
      </c>
    </row>
    <row r="131" spans="1:64" ht="12.75" hidden="1" customHeight="1" x14ac:dyDescent="0.15">
      <c r="B131" s="51" t="s">
        <v>656</v>
      </c>
      <c r="C131" s="21" t="s">
        <v>657</v>
      </c>
      <c r="D131" s="101">
        <v>36145</v>
      </c>
      <c r="E131" s="101">
        <v>37986</v>
      </c>
      <c r="F131" s="102">
        <v>37986</v>
      </c>
      <c r="G131" s="246" t="s">
        <v>608</v>
      </c>
      <c r="H131" s="51" t="s">
        <v>609</v>
      </c>
      <c r="I131" s="51" t="s">
        <v>610</v>
      </c>
      <c r="J131" s="21" t="s">
        <v>612</v>
      </c>
      <c r="M131" s="40" t="s">
        <v>658</v>
      </c>
      <c r="P131" s="109"/>
      <c r="Q131" s="110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BB131" s="321"/>
      <c r="BC131" s="322"/>
      <c r="BD131" s="322"/>
      <c r="BE131" s="322"/>
      <c r="BF131" s="323"/>
      <c r="BG131" s="323"/>
      <c r="BH131" s="323"/>
      <c r="BI131" s="324"/>
      <c r="BJ131" s="325"/>
      <c r="BK131" s="326"/>
      <c r="BL131" s="327"/>
    </row>
    <row r="132" spans="1:64" ht="12.75" hidden="1" customHeight="1" x14ac:dyDescent="0.15">
      <c r="A132" s="259">
        <v>1</v>
      </c>
      <c r="B132" s="107" t="s">
        <v>549</v>
      </c>
      <c r="C132" s="21" t="s">
        <v>613</v>
      </c>
      <c r="D132" s="104">
        <f>IF(ISERROR(HLOOKUP($N$34,$Q$39:$AA$40,2)),0,HLOOKUP($N$34,$Q$39:$AA$40,2))</f>
        <v>0</v>
      </c>
      <c r="E132" s="105">
        <f>IF(ISERROR(HLOOKUP($O$34,$Q$39:$AA$40,2)),0,HLOOKUP($O$34,$Q$39:$AA$40,2))</f>
        <v>0</v>
      </c>
      <c r="F132" s="106">
        <f>IF(ISERROR(HLOOKUP($O$60,$Q$39:$AA$40,2)),0,HLOOKUP($O$60,$Q$39:$AA$40,2))</f>
        <v>0</v>
      </c>
      <c r="G132" s="21" t="s">
        <v>611</v>
      </c>
      <c r="J132" s="21" t="s">
        <v>611</v>
      </c>
      <c r="M132" s="21" t="s">
        <v>659</v>
      </c>
      <c r="P132" s="328"/>
      <c r="Q132" s="328"/>
      <c r="R132" s="5"/>
      <c r="S132" s="8"/>
      <c r="T132" s="5"/>
      <c r="U132" s="5"/>
      <c r="V132" s="5"/>
      <c r="W132" s="27"/>
      <c r="X132" s="5"/>
      <c r="Y132" s="5"/>
      <c r="Z132" s="100"/>
      <c r="AA132" s="5"/>
      <c r="AB132" s="5"/>
      <c r="BB132" s="321"/>
      <c r="BC132" s="322"/>
      <c r="BD132" s="322"/>
      <c r="BE132" s="322"/>
      <c r="BF132" s="323"/>
      <c r="BG132" s="323"/>
      <c r="BH132" s="323"/>
      <c r="BI132" s="324"/>
      <c r="BJ132" s="325"/>
      <c r="BK132" s="326"/>
      <c r="BL132" s="327"/>
    </row>
    <row r="133" spans="1:64" ht="12.75" hidden="1" customHeight="1" x14ac:dyDescent="0.15">
      <c r="A133" s="259">
        <v>2</v>
      </c>
      <c r="B133" s="51" t="s">
        <v>550</v>
      </c>
      <c r="C133" s="21" t="s">
        <v>527</v>
      </c>
      <c r="D133" s="104">
        <f>IF(ISERROR(HLOOKUP($J$133,$Q$26:$AT$27,2)),0,HLOOKUP($J$133,$Q$26:$AT$27,2))</f>
        <v>0</v>
      </c>
      <c r="E133" s="105">
        <f>IF(ISERROR(HLOOKUP($K$133,$Q$26:$AT$27,2)),0,HLOOKUP($K$133,$Q$26:$AT$27,2))</f>
        <v>0</v>
      </c>
      <c r="F133" s="106">
        <f>IF(ISERROR(HLOOKUP($L$133,$Q$26:$AT$27,2)),0,HLOOKUP($L$133,$Q$26:$AT$27,2))</f>
        <v>0</v>
      </c>
      <c r="G133" s="67">
        <f>SUM($F$27:$F$32)</f>
        <v>0</v>
      </c>
      <c r="H133" s="67">
        <f>SUM($F$27:$F$32)+$J$51</f>
        <v>0</v>
      </c>
      <c r="I133" s="67">
        <f>SUM($F$27:$F$32)+$J$51+$J$60</f>
        <v>0</v>
      </c>
      <c r="J133" s="21">
        <f t="shared" ref="J133:J155" si="7">ROUNDDOWN(G133/365,0)</f>
        <v>0</v>
      </c>
      <c r="K133" s="21">
        <f t="shared" ref="K133:K155" si="8">ROUNDDOWN(H133/365,0)</f>
        <v>0</v>
      </c>
      <c r="L133" s="21">
        <f t="shared" ref="L133:L155" si="9">ROUNDDOWN(I133/365,0)</f>
        <v>0</v>
      </c>
      <c r="M133" s="21" t="s">
        <v>660</v>
      </c>
      <c r="P133" s="328"/>
      <c r="Q133" s="328"/>
      <c r="BB133" s="321"/>
      <c r="BC133" s="322"/>
      <c r="BD133" s="322"/>
      <c r="BE133" s="322"/>
      <c r="BF133" s="323"/>
      <c r="BG133" s="323"/>
      <c r="BH133" s="323"/>
      <c r="BI133" s="324"/>
      <c r="BJ133" s="325"/>
      <c r="BK133" s="326"/>
      <c r="BL133" s="327"/>
    </row>
    <row r="134" spans="1:64" ht="12.75" hidden="1" customHeight="1" x14ac:dyDescent="0.15">
      <c r="A134" s="259" t="s">
        <v>554</v>
      </c>
      <c r="B134" s="51" t="s">
        <v>615</v>
      </c>
      <c r="C134" s="21" t="s">
        <v>613</v>
      </c>
      <c r="D134" s="104">
        <f>IF(ISERROR(HLOOKUP($J$134,$Q$45:$AB$46,2)),0,HLOOKUP($J$134,$Q$45:$AB$46,2))</f>
        <v>0</v>
      </c>
      <c r="E134" s="105">
        <f>IF(ISERROR(HLOOKUP($K$134,$Q$45:$AB$46,2)),0,HLOOKUP($K$134,$Q$45:$AB$46,2))</f>
        <v>0</v>
      </c>
      <c r="F134" s="106">
        <f>IF(ISERROR(HLOOKUP($L$134,$Q$45:$AB$46,2)),0,HLOOKUP($L$134,$Q$45:$AB$46,2))</f>
        <v>0</v>
      </c>
      <c r="G134" s="67">
        <f>SUM($F$27:$F$32)</f>
        <v>0</v>
      </c>
      <c r="H134" s="67">
        <f>SUM($F$27:$F$32)+$J$51</f>
        <v>0</v>
      </c>
      <c r="I134" s="67">
        <f>SUM($F$27:$F$32)+$J$51+$J$60</f>
        <v>0</v>
      </c>
      <c r="J134" s="21">
        <f t="shared" si="7"/>
        <v>0</v>
      </c>
      <c r="K134" s="21">
        <f t="shared" si="8"/>
        <v>0</v>
      </c>
      <c r="L134" s="21">
        <f t="shared" si="9"/>
        <v>0</v>
      </c>
      <c r="M134" s="21" t="s">
        <v>660</v>
      </c>
      <c r="P134" s="328"/>
      <c r="Q134" s="328"/>
      <c r="BB134" s="321"/>
      <c r="BC134" s="322"/>
      <c r="BD134" s="322"/>
      <c r="BE134" s="322"/>
      <c r="BF134" s="323"/>
      <c r="BG134" s="323"/>
      <c r="BH134" s="323"/>
      <c r="BI134" s="324"/>
      <c r="BJ134" s="325"/>
      <c r="BK134" s="326"/>
      <c r="BL134" s="327"/>
    </row>
    <row r="135" spans="1:64" ht="12.75" hidden="1" customHeight="1" x14ac:dyDescent="0.15">
      <c r="A135" s="259">
        <v>3</v>
      </c>
      <c r="B135" s="51" t="s">
        <v>551</v>
      </c>
      <c r="C135" s="21" t="s">
        <v>613</v>
      </c>
      <c r="D135" s="104">
        <f>IF(ISERROR(HLOOKUP($J$135,$Q$48:$AB$49,2)),0,HLOOKUP($J$135,$Q$48:$AB$49,2))</f>
        <v>0</v>
      </c>
      <c r="E135" s="105">
        <f>IF(ISERROR(HLOOKUP($K$135,$Q$48:$AB$49,2)),0,HLOOKUP($K$135,$Q$48:$AB$49,2))</f>
        <v>0</v>
      </c>
      <c r="F135" s="106">
        <f>IF(ISERROR(HLOOKUP($L$135,$Q$48:$AB$49,2)),0,HLOOKUP($L$135,$Q$48:$AB$49,2))</f>
        <v>0</v>
      </c>
      <c r="G135" s="67">
        <f>SUM($F$30:$F$32)</f>
        <v>0</v>
      </c>
      <c r="H135" s="67">
        <f>SUM($F$30:$F$32)+$J$51</f>
        <v>0</v>
      </c>
      <c r="I135" s="67">
        <f>SUM($F$30:$F$32)+$J$51+$J$60</f>
        <v>0</v>
      </c>
      <c r="J135" s="21">
        <f t="shared" si="7"/>
        <v>0</v>
      </c>
      <c r="K135" s="21">
        <f t="shared" si="8"/>
        <v>0</v>
      </c>
      <c r="L135" s="21">
        <f t="shared" si="9"/>
        <v>0</v>
      </c>
      <c r="M135" s="21" t="s">
        <v>660</v>
      </c>
      <c r="P135" s="328"/>
      <c r="Q135" s="328"/>
      <c r="BB135" s="69"/>
      <c r="BC135" s="69"/>
      <c r="BD135" s="69"/>
      <c r="BE135" s="69"/>
      <c r="BF135" s="69"/>
      <c r="BG135" s="69"/>
      <c r="BH135" s="69"/>
      <c r="BI135" s="69"/>
      <c r="BJ135" s="69"/>
      <c r="BK135" s="326"/>
      <c r="BL135" s="327"/>
    </row>
    <row r="136" spans="1:64" ht="12.75" hidden="1" customHeight="1" x14ac:dyDescent="0.15">
      <c r="A136" s="259">
        <v>4</v>
      </c>
      <c r="B136" s="51" t="s">
        <v>552</v>
      </c>
      <c r="C136" s="21" t="s">
        <v>613</v>
      </c>
      <c r="D136" s="104">
        <f>IF(ISERROR(HLOOKUP($J$136,$Q$48:$Z$49,2)),0,HLOOKUP($J$136,$Q$48:$Z$49,2))</f>
        <v>0</v>
      </c>
      <c r="E136" s="105">
        <f>IF(ISERROR(HLOOKUP($K$136,$Q$48:$Z$49,2)),0,HLOOKUP($K$136,$Q$48:$Z$49,2))</f>
        <v>0</v>
      </c>
      <c r="F136" s="106">
        <f>IF(ISERROR(HLOOKUP($L$136,$Q$48:$Z$49,2)),0,HLOOKUP($L$136,$Q$48:$Z$49,2))</f>
        <v>0</v>
      </c>
      <c r="G136" s="67">
        <f>SUM($F$27:$F$32)</f>
        <v>0</v>
      </c>
      <c r="H136" s="67">
        <f>SUM($F$27:$F$32)+$J$51</f>
        <v>0</v>
      </c>
      <c r="I136" s="67">
        <f>SUM($F$27:$F$32)+$J$51+$J$60</f>
        <v>0</v>
      </c>
      <c r="J136" s="21">
        <f t="shared" si="7"/>
        <v>0</v>
      </c>
      <c r="K136" s="21">
        <f t="shared" si="8"/>
        <v>0</v>
      </c>
      <c r="L136" s="21">
        <f t="shared" si="9"/>
        <v>0</v>
      </c>
      <c r="M136" s="21" t="s">
        <v>660</v>
      </c>
      <c r="P136" s="328"/>
      <c r="Q136" s="328"/>
      <c r="BB136" s="69"/>
      <c r="BC136" s="69"/>
      <c r="BD136" s="69" t="s">
        <v>349</v>
      </c>
      <c r="BE136" s="70">
        <v>5</v>
      </c>
      <c r="BF136" s="70">
        <v>10</v>
      </c>
      <c r="BG136" s="70">
        <v>15</v>
      </c>
      <c r="BH136" s="70">
        <v>20</v>
      </c>
      <c r="BI136" s="70">
        <v>25</v>
      </c>
      <c r="BJ136" s="329" t="s">
        <v>365</v>
      </c>
      <c r="BK136" s="326"/>
      <c r="BL136" s="327"/>
    </row>
    <row r="137" spans="1:64" ht="12.75" hidden="1" customHeight="1" x14ac:dyDescent="0.15">
      <c r="A137" s="259">
        <v>5</v>
      </c>
      <c r="B137" s="51" t="s">
        <v>553</v>
      </c>
      <c r="C137" s="21" t="s">
        <v>613</v>
      </c>
      <c r="D137" s="104">
        <f>IF(ISERROR(HLOOKUP($J$137,$Q$48:$AB$49,2)),0,HLOOKUP($J$137,$Q$48:$AB$49,2))</f>
        <v>0</v>
      </c>
      <c r="E137" s="105">
        <f>IF(ISERROR(HLOOKUP($K$137,$Q$48:$AB$49,2)),0,HLOOKUP($K$137,$Q$48:$AB$49,2))</f>
        <v>0</v>
      </c>
      <c r="F137" s="106">
        <f>IF(ISERROR(HLOOKUP($L$137,$Q$48:$AB$49,2)),0,HLOOKUP($L$137,$Q$48:$AB$49,2))</f>
        <v>0</v>
      </c>
      <c r="G137" s="67">
        <f>SUM($F$30:$F$32)</f>
        <v>0</v>
      </c>
      <c r="H137" s="67">
        <f>SUM($F$30:$F$32)+$J$51</f>
        <v>0</v>
      </c>
      <c r="I137" s="67">
        <f>SUM($F$30:$F$32)+$J$51+$J$60</f>
        <v>0</v>
      </c>
      <c r="J137" s="21">
        <f t="shared" si="7"/>
        <v>0</v>
      </c>
      <c r="K137" s="21">
        <f t="shared" si="8"/>
        <v>0</v>
      </c>
      <c r="L137" s="21">
        <f t="shared" si="9"/>
        <v>0</v>
      </c>
      <c r="M137" s="21" t="s">
        <v>660</v>
      </c>
      <c r="P137" s="328"/>
      <c r="Q137" s="328"/>
      <c r="BB137" s="69"/>
      <c r="BC137" s="330" t="s">
        <v>419</v>
      </c>
      <c r="BD137" s="330" t="s">
        <v>420</v>
      </c>
      <c r="BE137" s="69" t="s">
        <v>421</v>
      </c>
      <c r="BF137" s="69" t="s">
        <v>422</v>
      </c>
      <c r="BG137" s="69" t="s">
        <v>423</v>
      </c>
      <c r="BH137" s="69" t="s">
        <v>424</v>
      </c>
      <c r="BI137" s="69" t="s">
        <v>425</v>
      </c>
      <c r="BJ137" s="69" t="s">
        <v>426</v>
      </c>
      <c r="BK137" s="326"/>
      <c r="BL137" s="327"/>
    </row>
    <row r="138" spans="1:64" ht="12.75" hidden="1" customHeight="1" x14ac:dyDescent="0.15">
      <c r="A138" s="259" t="s">
        <v>555</v>
      </c>
      <c r="B138" s="51" t="s">
        <v>616</v>
      </c>
      <c r="C138" s="21" t="s">
        <v>613</v>
      </c>
      <c r="D138" s="104">
        <f>IF(ISERROR(HLOOKUP($J$138,$Q$48:$V$49,2)),0,HLOOKUP($J$138,$Q$48:$V$49,2))</f>
        <v>0</v>
      </c>
      <c r="E138" s="105">
        <f>IF(ISERROR(HLOOKUP($K$138,$Q$48:$V$49,2)),0,HLOOKUP($K$138,$Q$48:$V$49,2))</f>
        <v>0</v>
      </c>
      <c r="F138" s="106">
        <f>IF(ISERROR(HLOOKUP($L$138,$Q$48:$V$49,2)),0,HLOOKUP($L$138,$Q$48:$V$49,2))</f>
        <v>0</v>
      </c>
      <c r="G138" s="67">
        <f>SUM($F$30:$F$32)</f>
        <v>0</v>
      </c>
      <c r="H138" s="67">
        <f>SUM($F$30:$F$32)+$J$51</f>
        <v>0</v>
      </c>
      <c r="I138" s="67">
        <f>SUM($F$30:$F$32)+$J$51+$J$60</f>
        <v>0</v>
      </c>
      <c r="J138" s="21">
        <f t="shared" si="7"/>
        <v>0</v>
      </c>
      <c r="K138" s="21">
        <f t="shared" si="8"/>
        <v>0</v>
      </c>
      <c r="L138" s="21">
        <f t="shared" si="9"/>
        <v>0</v>
      </c>
      <c r="M138" s="21" t="s">
        <v>660</v>
      </c>
      <c r="P138" s="328"/>
      <c r="Q138" s="328"/>
      <c r="BB138" s="69"/>
      <c r="BC138" s="330" t="s">
        <v>427</v>
      </c>
      <c r="BD138" s="330" t="s">
        <v>428</v>
      </c>
      <c r="BE138" s="69" t="s">
        <v>421</v>
      </c>
      <c r="BF138" s="69" t="s">
        <v>422</v>
      </c>
      <c r="BG138" s="69" t="s">
        <v>423</v>
      </c>
      <c r="BH138" s="69" t="s">
        <v>424</v>
      </c>
      <c r="BI138" s="69" t="s">
        <v>425</v>
      </c>
      <c r="BJ138" s="69" t="s">
        <v>426</v>
      </c>
      <c r="BK138" s="326"/>
      <c r="BL138" s="327"/>
    </row>
    <row r="139" spans="1:64" ht="12.75" hidden="1" customHeight="1" x14ac:dyDescent="0.15">
      <c r="A139" s="259">
        <v>6</v>
      </c>
      <c r="B139" s="51" t="s">
        <v>556</v>
      </c>
      <c r="C139" s="21" t="s">
        <v>613</v>
      </c>
      <c r="D139" s="104">
        <f>IF(ISERROR(HLOOKUP($J$139,$Q$48:$AA$49,2)),0,HLOOKUP($J$139,$Q$48:$AA$49,2))</f>
        <v>0</v>
      </c>
      <c r="E139" s="105">
        <f>IF(ISERROR(HLOOKUP(K139,$Q$48:$AA$49,2)),0,HLOOKUP(K139,$Q$48:$AA$49,2))</f>
        <v>0</v>
      </c>
      <c r="F139" s="106">
        <f>IF(ISERROR(HLOOKUP(L139,$Q$48:$AA$49,2)),0,HLOOKUP(L139,$Q$48:$AA$49,2))</f>
        <v>0</v>
      </c>
      <c r="G139" s="396">
        <f>SUM($F$27:$F$33)</f>
        <v>0</v>
      </c>
      <c r="H139" s="103">
        <f>SUM($F$27:$F$33)+$J$51</f>
        <v>0</v>
      </c>
      <c r="I139" s="103">
        <f>SUM($F$27:$F$33)+$J$51+$J$60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69"/>
      <c r="BC139" s="330" t="s">
        <v>429</v>
      </c>
      <c r="BD139" s="330" t="s">
        <v>430</v>
      </c>
      <c r="BE139" s="69" t="s">
        <v>421</v>
      </c>
      <c r="BF139" s="69" t="s">
        <v>422</v>
      </c>
      <c r="BG139" s="69" t="s">
        <v>423</v>
      </c>
      <c r="BH139" s="69" t="s">
        <v>424</v>
      </c>
      <c r="BI139" s="69" t="s">
        <v>425</v>
      </c>
      <c r="BJ139" s="69" t="s">
        <v>426</v>
      </c>
      <c r="BK139" s="7"/>
      <c r="BL139" s="7"/>
    </row>
    <row r="140" spans="1:64" ht="12.75" hidden="1" customHeight="1" x14ac:dyDescent="0.15">
      <c r="A140" s="259">
        <v>7</v>
      </c>
      <c r="B140" s="51" t="s">
        <v>557</v>
      </c>
      <c r="C140" s="21" t="s">
        <v>547</v>
      </c>
      <c r="D140" s="104">
        <f>IF(ISERROR(HLOOKUP($J$140,$Q$77:$W$78,2)),0,HLOOKUP($J$140,$Q$77:$W$78,2))</f>
        <v>0</v>
      </c>
      <c r="E140" s="105">
        <f>IF(ISERROR(HLOOKUP(K140,$Q$77:$W$78,2)),0,HLOOKUP(K140,$Q$77:$W$78,2))</f>
        <v>0</v>
      </c>
      <c r="F140" s="106">
        <f>IF(ISERROR(HLOOKUP(L140,$Q$77:$W$78,2)),0,HLOOKUP(L140,$Q$77:$W$78,2))</f>
        <v>0</v>
      </c>
      <c r="G140" s="396">
        <f>SUM($F$30:$F$32)</f>
        <v>0</v>
      </c>
      <c r="H140" s="103">
        <f>SUM($F$30:$F$32)+$J$51</f>
        <v>0</v>
      </c>
      <c r="I140" s="103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330" t="s">
        <v>431</v>
      </c>
      <c r="BD140" s="330" t="s">
        <v>430</v>
      </c>
      <c r="BE140" s="69" t="s">
        <v>421</v>
      </c>
      <c r="BF140" s="69" t="s">
        <v>422</v>
      </c>
      <c r="BG140" s="69" t="s">
        <v>423</v>
      </c>
      <c r="BH140" s="69" t="s">
        <v>424</v>
      </c>
      <c r="BI140" s="69" t="s">
        <v>425</v>
      </c>
      <c r="BJ140" s="69" t="s">
        <v>426</v>
      </c>
      <c r="BK140" s="5"/>
      <c r="BL140" s="5"/>
    </row>
    <row r="141" spans="1:64" ht="12.75" hidden="1" customHeight="1" x14ac:dyDescent="0.15">
      <c r="A141" s="259" t="s">
        <v>558</v>
      </c>
      <c r="B141" s="51" t="s">
        <v>614</v>
      </c>
      <c r="C141" s="21" t="s">
        <v>547</v>
      </c>
      <c r="D141" s="104">
        <f>IF(ISERROR(HLOOKUP($J$141,$Q$77:$W$78,2)),0,HLOOKUP($J$141,$Q$77:$W$78,2))</f>
        <v>0</v>
      </c>
      <c r="E141" s="105">
        <f>IF(ISERROR(HLOOKUP(K141,$Q$77:$W$78,2)),0,HLOOKUP(K141,$Q$77:$W$78,2))</f>
        <v>0</v>
      </c>
      <c r="F141" s="106">
        <f>IF(ISERROR(HLOOKUP(L141,$Q$77:$W$78,2)),0,HLOOKUP(L141,$Q$77:$W$78,2))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 t="s">
        <v>400</v>
      </c>
      <c r="BD141" s="69"/>
      <c r="BE141" s="69" t="s">
        <v>329</v>
      </c>
      <c r="BF141" s="69" t="s">
        <v>356</v>
      </c>
      <c r="BG141" s="69" t="s">
        <v>432</v>
      </c>
      <c r="BH141" s="69" t="s">
        <v>432</v>
      </c>
      <c r="BI141" s="69" t="s">
        <v>432</v>
      </c>
      <c r="BJ141" s="69" t="s">
        <v>432</v>
      </c>
      <c r="BK141" s="5"/>
      <c r="BL141" s="5"/>
    </row>
    <row r="142" spans="1:64" ht="12.75" hidden="1" customHeight="1" x14ac:dyDescent="0.15">
      <c r="A142" s="259">
        <v>8</v>
      </c>
      <c r="B142" s="51" t="s">
        <v>559</v>
      </c>
      <c r="C142" s="21" t="s">
        <v>547</v>
      </c>
      <c r="D142" s="104">
        <f>IF(ISERROR(HLOOKUP($J$142,$Q$73:$W$74,2)),0,HLOOKUP($J$142,$Q$73:$W$74,2))</f>
        <v>0</v>
      </c>
      <c r="E142" s="105">
        <f>IF(ISERROR(HLOOKUP(K142,$Q$73:$W$74,2)),0,HLOOKUP(K142,$Q$73:$W$74,2))</f>
        <v>0</v>
      </c>
      <c r="F142" s="106">
        <f>IF(ISERROR(HLOOKUP(L142,$Q$73:$W$74,2)),0,HLOOKUP(L142,$Q$73:$W$74,2))</f>
        <v>0</v>
      </c>
      <c r="G142" s="396">
        <f>SUM($F$27:$F$32)</f>
        <v>0</v>
      </c>
      <c r="H142" s="103">
        <f>SUM($F$27:$F$32)+$J$51</f>
        <v>0</v>
      </c>
      <c r="I142" s="103">
        <f>SUM($F$27:$F$32)+$J$51+$J$60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>
        <v>26</v>
      </c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9</v>
      </c>
      <c r="B143" s="51" t="s">
        <v>560</v>
      </c>
      <c r="C143" s="21" t="s">
        <v>547</v>
      </c>
      <c r="D143" s="104">
        <f>IF(ISERROR(HLOOKUP($J$143,$Q$77:$W$78,2)),0,HLOOKUP($J$143,$Q$77:$W$78,2))</f>
        <v>0</v>
      </c>
      <c r="E143" s="105">
        <f>IF(ISERROR(HLOOKUP(K143,$Q$77:$W$78,2)),0,HLOOKUP(K143,$Q$77:$W$78,2))</f>
        <v>0</v>
      </c>
      <c r="F143" s="106">
        <f>IF(ISERROR(HLOOKUP(L143,$Q$77:$W$78,2)),0,HLOOKUP(L143,$Q$77:$W$78,2))</f>
        <v>0</v>
      </c>
      <c r="G143" s="396">
        <f>SUM($F$27:$F$32)</f>
        <v>0</v>
      </c>
      <c r="H143" s="103">
        <f>SUM($F$27:$F$32)+$J$51</f>
        <v>0</v>
      </c>
      <c r="I143" s="103">
        <f>SUM($F$27:$F$32)+$J$51+$J$60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1"/>
      <c r="BD143" s="116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10</v>
      </c>
      <c r="B144" s="51" t="s">
        <v>561</v>
      </c>
      <c r="C144" s="21" t="s">
        <v>613</v>
      </c>
      <c r="D144" s="104">
        <f>IF(ISERROR(HLOOKUP($J$144,$Q$39:$Y$40,2)),0,HLOOKUP($J$144,$Q$39:$Y$40,2))</f>
        <v>0</v>
      </c>
      <c r="E144" s="105">
        <f>IF(ISERROR(HLOOKUP(K144,$Q$39:$Y$40,2)),0,HLOOKUP(K144,$Q$39:$Y$40,2))</f>
        <v>0</v>
      </c>
      <c r="F144" s="106">
        <f>IF(ISERROR(HLOOKUP(L144,$Q$39:$Y$40,2)),0,HLOOKUP(L144,$Q$39:$Y$40,2))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11</v>
      </c>
      <c r="B145" s="51" t="s">
        <v>562</v>
      </c>
      <c r="C145" s="21" t="s">
        <v>547</v>
      </c>
      <c r="D145" s="104">
        <f>IF(ISERROR(HLOOKUP($J$145,$Q$73:$AB$74,2)),0,HLOOKUP($J$145,$Q$73:$AB$74,2))</f>
        <v>0</v>
      </c>
      <c r="E145" s="105">
        <f>IF(ISERROR(HLOOKUP(K145,$Q$73:$AB$74,2)),0,HLOOKUP(K145,$Q$73:$AB$74,2))</f>
        <v>0</v>
      </c>
      <c r="F145" s="106">
        <f>IF(ISERROR(HLOOKUP(L145,$Q$73:$AB$74,2)),0,HLOOKUP(L145,$Q$73:$AB$74,2))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69"/>
      <c r="BD145" s="69"/>
      <c r="BE145" s="69"/>
      <c r="BF145" s="69"/>
      <c r="BG145" s="69"/>
      <c r="BH145" s="69"/>
      <c r="BI145" s="69"/>
      <c r="BJ145" s="69"/>
      <c r="BK145" s="5"/>
      <c r="BL145" s="5"/>
    </row>
    <row r="146" spans="1:64" ht="12.75" hidden="1" customHeight="1" x14ac:dyDescent="0.15">
      <c r="A146" s="259">
        <v>12</v>
      </c>
      <c r="B146" s="51" t="s">
        <v>563</v>
      </c>
      <c r="C146" s="21"/>
      <c r="D146" s="104"/>
      <c r="E146" s="105"/>
      <c r="F146" s="106"/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/>
      <c r="BD146" s="69"/>
      <c r="BE146" s="69"/>
      <c r="BF146" s="69"/>
      <c r="BG146" s="69"/>
      <c r="BH146" s="69"/>
      <c r="BI146" s="69"/>
      <c r="BJ146" s="69"/>
      <c r="BK146" s="5"/>
      <c r="BL146" s="5"/>
    </row>
    <row r="147" spans="1:64" ht="12.75" hidden="1" customHeight="1" x14ac:dyDescent="0.15">
      <c r="A147" s="259">
        <v>13</v>
      </c>
      <c r="B147" s="51" t="s">
        <v>686</v>
      </c>
      <c r="C147" s="21" t="s">
        <v>527</v>
      </c>
      <c r="D147" s="104">
        <f>IF(ISERROR(HLOOKUP($J$147,$Q$26:$AT$27,2)),0,HLOOKUP($J$147,$Q$26:$AT$27,2))</f>
        <v>0</v>
      </c>
      <c r="E147" s="104">
        <f>IF(ISERROR(HLOOKUP(K147,$Q$26:$AT$27,2)),0,HLOOKUP(K147,$Q$26:$AT$27,2))</f>
        <v>0</v>
      </c>
      <c r="F147" s="104">
        <f>IF(ISERROR(HLOOKUP(L147,$Q$26:$AT$27,2)),0,HLOOKUP(L147,$Q$26:$AT$27,2))</f>
        <v>0</v>
      </c>
      <c r="G147" s="396">
        <f>SUM($F$30:$F$32)</f>
        <v>0</v>
      </c>
      <c r="H147" s="103">
        <f>SUM($F$30:$F$32)+$J$51</f>
        <v>0</v>
      </c>
      <c r="I147" s="103">
        <f>SUM($F$30:$F$32)+$J$51+$J$60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/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14</v>
      </c>
      <c r="B148" s="51" t="s">
        <v>564</v>
      </c>
      <c r="C148" s="21" t="s">
        <v>613</v>
      </c>
      <c r="D148" s="104">
        <f>IF(ISERROR(HLOOKUP(J148,$Q$48:$AB$49,2)),0,HLOOKUP(J148,$Q$48:$AB$49,2))</f>
        <v>0</v>
      </c>
      <c r="E148" s="104">
        <f>IF(ISERROR(HLOOKUP(K148,$Q$48:$AB$49,2)),0,HLOOKUP(K148,$Q$48:$AB$49,2))</f>
        <v>0</v>
      </c>
      <c r="F148" s="104">
        <f>IF(ISERROR(HLOOKUP(L148,$Q$48:$AB$49,2)),0,HLOOKUP(L148,$Q$48:$AB$49,2))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15</v>
      </c>
      <c r="B149" s="51" t="s">
        <v>565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AS149" s="5"/>
      <c r="BB149" s="69" t="s">
        <v>427</v>
      </c>
      <c r="BC149" s="69"/>
      <c r="BD149" s="69"/>
      <c r="BE149" s="69"/>
      <c r="BF149" s="69"/>
      <c r="BG149" s="69"/>
      <c r="BH149" s="69"/>
      <c r="BI149" s="69"/>
      <c r="BJ149" s="69"/>
      <c r="BK149" s="116"/>
      <c r="BL149" s="332"/>
    </row>
    <row r="150" spans="1:64" ht="12.75" hidden="1" customHeight="1" x14ac:dyDescent="0.15">
      <c r="A150" s="259">
        <v>16</v>
      </c>
      <c r="B150" s="51" t="s">
        <v>566</v>
      </c>
      <c r="C150" s="21" t="s">
        <v>527</v>
      </c>
      <c r="D150" s="104">
        <f>IF(ISERROR(HLOOKUP(J150,$Q$26:$AT$27,2)),0,HLOOKUP(J150,$Q$26:$AT$27,2))</f>
        <v>0</v>
      </c>
      <c r="E150" s="104">
        <f>IF(ISERROR(HLOOKUP(K150,$Q$26:$AT$27,2)),0,HLOOKUP(K150,$Q$26:$AT$27,2))</f>
        <v>0</v>
      </c>
      <c r="F150" s="104">
        <f>IF(ISERROR(HLOOKUP(L150,$Q$26:$AT$27,2)),0,HLOOKUP(L150,$Q$26:$AT$27,2))</f>
        <v>0</v>
      </c>
      <c r="G150" s="396">
        <f t="shared" ref="G150:G155" si="10">SUM($F$30:$F$32)</f>
        <v>0</v>
      </c>
      <c r="H150" s="103">
        <f t="shared" ref="H150:H155" si="11">SUM($F$30:$F$32)+$J$51</f>
        <v>0</v>
      </c>
      <c r="I150" s="103">
        <f t="shared" ref="I150:I155" si="12"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AS150" s="5"/>
      <c r="BB150" s="69"/>
      <c r="BC150" s="69"/>
      <c r="BD150" s="69"/>
      <c r="BE150" s="333"/>
      <c r="BF150" s="69"/>
      <c r="BG150" s="69"/>
      <c r="BH150" s="69"/>
      <c r="BI150" s="69"/>
      <c r="BJ150" s="69"/>
      <c r="BK150" s="69"/>
      <c r="BL150" s="69"/>
    </row>
    <row r="151" spans="1:64" ht="12.75" hidden="1" customHeight="1" x14ac:dyDescent="0.15">
      <c r="A151" s="259">
        <v>17</v>
      </c>
      <c r="B151" s="51" t="s">
        <v>567</v>
      </c>
      <c r="C151" s="21" t="s">
        <v>547</v>
      </c>
      <c r="D151" s="104">
        <f>IF(ISERROR(HLOOKUP(J151,$Q$73:$V$74,2)),0,HLOOKUP(J151,$Q$73:$V$74,2))</f>
        <v>0</v>
      </c>
      <c r="E151" s="104">
        <f>IF(ISERROR(HLOOKUP(K151,$Q$73:$V$74,2)),0,HLOOKUP(K151,$Q$73:$V$74,2))</f>
        <v>0</v>
      </c>
      <c r="F151" s="104">
        <f>IF(ISERROR(HLOOKUP(L151,$Q$73:$V$74,2)),0,HLOOKUP(L151,$Q$73:$V$74,2))</f>
        <v>0</v>
      </c>
      <c r="G151" s="396">
        <f t="shared" si="10"/>
        <v>0</v>
      </c>
      <c r="H151" s="103">
        <f t="shared" si="11"/>
        <v>0</v>
      </c>
      <c r="I151" s="103">
        <f t="shared" si="12"/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AS151" s="5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</row>
    <row r="152" spans="1:64" ht="12.75" hidden="1" customHeight="1" x14ac:dyDescent="0.15">
      <c r="A152" s="259">
        <v>18</v>
      </c>
      <c r="B152" s="51" t="s">
        <v>568</v>
      </c>
      <c r="C152" s="21" t="s">
        <v>527</v>
      </c>
      <c r="D152" s="104">
        <f>IF(ISERROR(HLOOKUP(J152,$Q$32:$AF$33,2)),0,HLOOKUP(J152,$Q$32:$AF$33,2))</f>
        <v>0</v>
      </c>
      <c r="E152" s="104">
        <f>IF(ISERROR(HLOOKUP(K152,$Q$32:$AF$33,2)),0,HLOOKUP(K152,$Q$32:$AF$33,2))</f>
        <v>0</v>
      </c>
      <c r="F152" s="104">
        <f>IF(ISERROR(HLOOKUP(L152,$Q$32:$AF$33,2)),0,HLOOKUP(L152,$Q$32:$AF$33,2))</f>
        <v>0</v>
      </c>
      <c r="G152" s="396">
        <f t="shared" si="10"/>
        <v>0</v>
      </c>
      <c r="H152" s="103">
        <f t="shared" si="11"/>
        <v>0</v>
      </c>
      <c r="I152" s="103">
        <f t="shared" si="12"/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AS152" s="5"/>
      <c r="BB152" s="69"/>
      <c r="BC152" s="69"/>
      <c r="BD152" s="69"/>
      <c r="BE152" s="333"/>
      <c r="BF152" s="69"/>
      <c r="BG152" s="69"/>
      <c r="BH152" s="69"/>
      <c r="BI152" s="69"/>
      <c r="BJ152" s="69"/>
      <c r="BK152" s="69"/>
      <c r="BL152" s="69"/>
    </row>
    <row r="153" spans="1:64" ht="12.75" hidden="1" customHeight="1" x14ac:dyDescent="0.15">
      <c r="A153" s="259">
        <v>19</v>
      </c>
      <c r="B153" s="51" t="s">
        <v>569</v>
      </c>
      <c r="C153" s="21" t="s">
        <v>613</v>
      </c>
      <c r="D153" s="104">
        <f>IF(ISERROR(HLOOKUP(J153,$Q$42:$AG$43,2)),0,HLOOKUP(J153,$Q$42:$AG$43,2))</f>
        <v>0</v>
      </c>
      <c r="E153" s="104">
        <f>IF(ISERROR(HLOOKUP(K153,$Q$42:$AG$43,2)),0,HLOOKUP(K153,$Q$42:$AG$43,2))</f>
        <v>0</v>
      </c>
      <c r="F153" s="104">
        <f>IF(ISERROR(HLOOKUP(L153,$Q$42:$AG$43,2)),0,HLOOKUP(L153,$Q$42:$AG$43,2))</f>
        <v>0</v>
      </c>
      <c r="G153" s="396">
        <f t="shared" si="10"/>
        <v>0</v>
      </c>
      <c r="H153" s="103">
        <f t="shared" si="11"/>
        <v>0</v>
      </c>
      <c r="I153" s="103">
        <f t="shared" si="12"/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11"/>
      <c r="BC153" s="5"/>
    </row>
    <row r="154" spans="1:64" ht="12.75" hidden="1" customHeight="1" x14ac:dyDescent="0.15">
      <c r="A154" s="259">
        <v>20</v>
      </c>
      <c r="B154" s="51" t="s">
        <v>570</v>
      </c>
      <c r="C154" s="21" t="s">
        <v>613</v>
      </c>
      <c r="D154" s="104">
        <f t="shared" ref="D154:F155" si="13">IF(ISERROR(HLOOKUP(J154,$Q$39:$Y$40,2)),0,HLOOKUP(J154,$Q$39:$Y$40,2))</f>
        <v>0</v>
      </c>
      <c r="E154" s="104">
        <f t="shared" si="13"/>
        <v>0</v>
      </c>
      <c r="F154" s="104">
        <f t="shared" si="13"/>
        <v>0</v>
      </c>
      <c r="G154" s="396">
        <f t="shared" si="10"/>
        <v>0</v>
      </c>
      <c r="H154" s="103">
        <f t="shared" si="11"/>
        <v>0</v>
      </c>
      <c r="I154" s="103">
        <f t="shared" si="12"/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11"/>
      <c r="BC154" s="5"/>
    </row>
    <row r="155" spans="1:64" ht="12.75" hidden="1" customHeight="1" x14ac:dyDescent="0.15">
      <c r="A155" s="259">
        <v>21</v>
      </c>
      <c r="B155" s="51" t="s">
        <v>571</v>
      </c>
      <c r="C155" s="21" t="s">
        <v>613</v>
      </c>
      <c r="D155" s="104">
        <f t="shared" si="13"/>
        <v>0</v>
      </c>
      <c r="E155" s="104">
        <f t="shared" si="13"/>
        <v>0</v>
      </c>
      <c r="F155" s="104">
        <f t="shared" si="13"/>
        <v>0</v>
      </c>
      <c r="G155" s="396">
        <f t="shared" si="10"/>
        <v>0</v>
      </c>
      <c r="H155" s="103">
        <f t="shared" si="11"/>
        <v>0</v>
      </c>
      <c r="I155" s="103">
        <f t="shared" si="12"/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11"/>
      <c r="BC155" s="5"/>
    </row>
    <row r="156" spans="1:64" ht="12.75" hidden="1" customHeight="1" x14ac:dyDescent="0.15">
      <c r="A156" s="259">
        <v>22</v>
      </c>
      <c r="B156" s="51" t="s">
        <v>572</v>
      </c>
      <c r="C156" s="21"/>
      <c r="D156" s="334"/>
      <c r="E156" s="335"/>
      <c r="F156" s="336"/>
      <c r="G156" s="397"/>
      <c r="H156" s="51"/>
      <c r="M156" s="21" t="s">
        <v>660</v>
      </c>
      <c r="P156" s="328"/>
      <c r="Q156" s="328"/>
      <c r="AS156" s="5"/>
      <c r="BB156" s="11"/>
      <c r="BC156" s="5"/>
    </row>
    <row r="157" spans="1:64" ht="12.75" hidden="1" customHeight="1" x14ac:dyDescent="0.15">
      <c r="A157" s="259">
        <v>23</v>
      </c>
      <c r="B157" s="51" t="s">
        <v>573</v>
      </c>
      <c r="C157" s="21"/>
      <c r="D157" s="334"/>
      <c r="E157" s="335"/>
      <c r="F157" s="336"/>
      <c r="G157" s="397"/>
      <c r="H157" s="51"/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24</v>
      </c>
      <c r="B158" s="51" t="s">
        <v>574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>SUM($F$27:$F$32)</f>
        <v>0</v>
      </c>
      <c r="H158" s="103">
        <f>SUM($F$27:$F$32)+$J$51</f>
        <v>0</v>
      </c>
      <c r="I158" s="103">
        <f>SUM($F$27:$F$32)+$J$51+$J$60</f>
        <v>0</v>
      </c>
      <c r="J158" s="21">
        <f t="shared" ref="J158:J189" si="14">ROUNDDOWN(G158/365,0)</f>
        <v>0</v>
      </c>
      <c r="K158" s="21">
        <f t="shared" ref="K158:K189" si="15">ROUNDDOWN(H158/365,0)</f>
        <v>0</v>
      </c>
      <c r="L158" s="21">
        <f t="shared" ref="L158:L189" si="16">ROUNDDOWN(I158/365,0)</f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25</v>
      </c>
      <c r="B159" s="51" t="s">
        <v>580</v>
      </c>
      <c r="C159" s="21" t="s">
        <v>527</v>
      </c>
      <c r="D159" s="104">
        <f>IF(ISERROR(HLOOKUP(J159,$Q$29:$AT$30,2)),0,HLOOKUP(J159,$Q$29:$AT$30,2))</f>
        <v>0</v>
      </c>
      <c r="E159" s="104">
        <f>IF(ISERROR(HLOOKUP(K159,$Q$29:$AT$30,2)),0,HLOOKUP(K159,$Q$29:$AT$30,2))</f>
        <v>0</v>
      </c>
      <c r="F159" s="104">
        <f>IF(ISERROR(HLOOKUP(L159,$Q$29:$AT$30,2)),0,HLOOKUP(L159,$Q$29:$AT$30,2))</f>
        <v>0</v>
      </c>
      <c r="G159" s="396">
        <f>SUM($F$30:$F$32)</f>
        <v>0</v>
      </c>
      <c r="H159" s="103">
        <f>SUM($F$30:$F$32)+$J$51</f>
        <v>0</v>
      </c>
      <c r="I159" s="103">
        <f>SUM($F$30:$F$32)+$J$51+$J$60</f>
        <v>0</v>
      </c>
      <c r="J159" s="21">
        <f t="shared" si="14"/>
        <v>0</v>
      </c>
      <c r="K159" s="21">
        <f t="shared" si="15"/>
        <v>0</v>
      </c>
      <c r="L159" s="21">
        <f t="shared" si="16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26</v>
      </c>
      <c r="B160" s="51" t="s">
        <v>581</v>
      </c>
      <c r="C160" s="21" t="s">
        <v>547</v>
      </c>
      <c r="D160" s="104">
        <f>IF(ISERROR(HLOOKUP(J160,$Q$73:$W$74,2)),0,HLOOKUP(J160,$Q$73:$W$74,2))</f>
        <v>0</v>
      </c>
      <c r="E160" s="104">
        <f>IF(ISERROR(HLOOKUP(K160,$Q$73:$W$74,2)),0,HLOOKUP(K160,$Q$73:$W$74,2))</f>
        <v>0</v>
      </c>
      <c r="F160" s="104">
        <f>IF(ISERROR(HLOOKUP(L160,$Q$73:$W$74,2)),0,HLOOKUP(L160,$Q$73:$W$74,2))</f>
        <v>0</v>
      </c>
      <c r="G160" s="396">
        <f>SUM($F$27:$F$32)</f>
        <v>0</v>
      </c>
      <c r="H160" s="103">
        <f>SUM($F$27:$F$32)+$J$51</f>
        <v>0</v>
      </c>
      <c r="I160" s="103">
        <f>SUM($F$27:$F$32)+$J$51+$J$60</f>
        <v>0</v>
      </c>
      <c r="J160" s="21">
        <f t="shared" si="14"/>
        <v>0</v>
      </c>
      <c r="K160" s="21">
        <f t="shared" si="15"/>
        <v>0</v>
      </c>
      <c r="L160" s="21">
        <f t="shared" si="16"/>
        <v>0</v>
      </c>
      <c r="M160" s="21" t="s">
        <v>660</v>
      </c>
      <c r="P160" s="328"/>
      <c r="Q160" s="328"/>
      <c r="AS160" s="5"/>
    </row>
    <row r="161" spans="1:45" ht="12.75" hidden="1" customHeight="1" x14ac:dyDescent="0.15">
      <c r="A161" s="259" t="s">
        <v>582</v>
      </c>
      <c r="B161" s="51" t="s">
        <v>684</v>
      </c>
      <c r="C161" s="21" t="s">
        <v>547</v>
      </c>
      <c r="D161" s="104">
        <f>IF(ISERROR(HLOOKUP(J161,$Q$73:$V$74,2)),0,HLOOKUP(J161,$Q$73:$V$74,2))</f>
        <v>0</v>
      </c>
      <c r="E161" s="104">
        <f>IF(ISERROR(HLOOKUP(K161,$Q$73:$V$74,2)),0,HLOOKUP(K161,$Q$73:$V$74,2))</f>
        <v>0</v>
      </c>
      <c r="F161" s="104">
        <f>IF(ISERROR(HLOOKUP(L161,$Q$73:$V$74,2)),0,HLOOKUP(L161,$Q$73:$V$74,2))</f>
        <v>0</v>
      </c>
      <c r="G161" s="396">
        <f>SUM($F$27:$F$32)</f>
        <v>0</v>
      </c>
      <c r="H161" s="103">
        <f>SUM($F$27:$F$32)+$J$51</f>
        <v>0</v>
      </c>
      <c r="I161" s="103">
        <f>SUM($F$27:$F$32)+$J$51+$J$60</f>
        <v>0</v>
      </c>
      <c r="J161" s="21">
        <f t="shared" si="14"/>
        <v>0</v>
      </c>
      <c r="K161" s="21">
        <f t="shared" si="15"/>
        <v>0</v>
      </c>
      <c r="L161" s="21">
        <f t="shared" si="16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>
        <v>27</v>
      </c>
      <c r="B162" s="51" t="s">
        <v>583</v>
      </c>
      <c r="C162" s="21" t="s">
        <v>613</v>
      </c>
      <c r="D162" s="104">
        <f>IF(ISERROR(HLOOKUP(J162,$Q$48:$Z$49,2)),0,HLOOKUP(J162,$Q$48:$Z$49,2))</f>
        <v>0</v>
      </c>
      <c r="E162" s="104">
        <f>IF(ISERROR(HLOOKUP(K162,$Q$48:$Z$49,2)),0,HLOOKUP(K162,$Q$48:$Z$49,2))</f>
        <v>0</v>
      </c>
      <c r="F162" s="104">
        <f>IF(ISERROR(HLOOKUP(L162,$Q$48:$Z$49,2)),0,HLOOKUP(L162,$Q$48:$Z$49,2))</f>
        <v>0</v>
      </c>
      <c r="G162" s="396">
        <f t="shared" ref="G162:G169" si="17">SUM($F$30:$F$32)</f>
        <v>0</v>
      </c>
      <c r="H162" s="103">
        <f t="shared" ref="H162:H169" si="18">SUM($F$30:$F$32)+$J$51</f>
        <v>0</v>
      </c>
      <c r="I162" s="103">
        <f t="shared" ref="I162:I169" si="19">SUM($F$30:$F$32)+$J$51+$J$60</f>
        <v>0</v>
      </c>
      <c r="J162" s="21">
        <f t="shared" si="14"/>
        <v>0</v>
      </c>
      <c r="K162" s="21">
        <f t="shared" si="15"/>
        <v>0</v>
      </c>
      <c r="L162" s="21">
        <f t="shared" si="16"/>
        <v>0</v>
      </c>
      <c r="M162" s="21" t="s">
        <v>660</v>
      </c>
      <c r="P162" s="328"/>
      <c r="Q162" s="328"/>
      <c r="AS162" s="5"/>
    </row>
    <row r="163" spans="1:45" ht="12.75" hidden="1" customHeight="1" x14ac:dyDescent="0.15">
      <c r="A163" s="259">
        <v>28</v>
      </c>
      <c r="B163" s="51" t="s">
        <v>584</v>
      </c>
      <c r="C163" s="21" t="s">
        <v>547</v>
      </c>
      <c r="D163" s="104">
        <f>IF(ISERROR(HLOOKUP(J163,$Q$73:$W$74,2)),0,HLOOKUP(J163,$Q$73:$W$74,2))</f>
        <v>0</v>
      </c>
      <c r="E163" s="104">
        <f>IF(ISERROR(HLOOKUP(K163,$Q$73:$W$74,2)),0,HLOOKUP(K163,$Q$73:$W$74,2))</f>
        <v>0</v>
      </c>
      <c r="F163" s="104">
        <f>IF(ISERROR(HLOOKUP(L163,$Q$73:$W$74,2)),0,HLOOKUP(L163,$Q$73:$W$74,2))</f>
        <v>0</v>
      </c>
      <c r="G163" s="396">
        <f t="shared" si="17"/>
        <v>0</v>
      </c>
      <c r="H163" s="103">
        <f t="shared" si="18"/>
        <v>0</v>
      </c>
      <c r="I163" s="103">
        <f t="shared" si="19"/>
        <v>0</v>
      </c>
      <c r="J163" s="21">
        <f t="shared" si="14"/>
        <v>0</v>
      </c>
      <c r="K163" s="21">
        <f t="shared" si="15"/>
        <v>0</v>
      </c>
      <c r="L163" s="21">
        <f t="shared" si="16"/>
        <v>0</v>
      </c>
      <c r="M163" s="21" t="s">
        <v>660</v>
      </c>
      <c r="P163" s="328"/>
      <c r="Q163" s="328"/>
      <c r="AS163" s="5"/>
    </row>
    <row r="164" spans="1:45" ht="12.75" hidden="1" customHeight="1" x14ac:dyDescent="0.15">
      <c r="A164" s="259">
        <v>29</v>
      </c>
      <c r="B164" s="51" t="s">
        <v>585</v>
      </c>
      <c r="C164" s="21" t="s">
        <v>613</v>
      </c>
      <c r="D164" s="104">
        <f>IF(ISERROR(HLOOKUP(J164,$Q$48:$V$49,2)),0,HLOOKUP(J164,$Q$48:$V$49,2))</f>
        <v>0</v>
      </c>
      <c r="E164" s="104">
        <f>IF(ISERROR(HLOOKUP(K164,$Q$48:$V$49,2)),0,HLOOKUP(K164,$Q$48:$V$49,2))</f>
        <v>0</v>
      </c>
      <c r="F164" s="104">
        <f>IF(ISERROR(HLOOKUP(L164,$Q$48:$V$49,2)),0,HLOOKUP(L164,$Q$48:$V$49,2))</f>
        <v>0</v>
      </c>
      <c r="G164" s="396">
        <f t="shared" si="17"/>
        <v>0</v>
      </c>
      <c r="H164" s="103">
        <f t="shared" si="18"/>
        <v>0</v>
      </c>
      <c r="I164" s="103">
        <f t="shared" si="19"/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45" ht="13.5" hidden="1" customHeight="1" x14ac:dyDescent="0.15">
      <c r="A165" s="259">
        <v>30</v>
      </c>
      <c r="B165" s="51" t="s">
        <v>586</v>
      </c>
      <c r="C165" s="21" t="s">
        <v>613</v>
      </c>
      <c r="D165" s="104">
        <f>IF(ISERROR(HLOOKUP(J165,$Q$48:$AA$49,2)),0,HLOOKUP(J165,$Q$48:$AA$49,2))</f>
        <v>0</v>
      </c>
      <c r="E165" s="104">
        <f>IF(ISERROR(HLOOKUP(K165,$Q$48:$AA$49,2)),0,HLOOKUP(K165,$Q$48:$AA$49,2))</f>
        <v>0</v>
      </c>
      <c r="F165" s="104">
        <f>IF(ISERROR(HLOOKUP(L165,$Q$48:$AA$49,2)),0,HLOOKUP(L165,$Q$48:$AA$49,2))</f>
        <v>0</v>
      </c>
      <c r="G165" s="396">
        <f t="shared" si="17"/>
        <v>0</v>
      </c>
      <c r="H165" s="103">
        <f t="shared" si="18"/>
        <v>0</v>
      </c>
      <c r="I165" s="103">
        <f t="shared" si="19"/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45" ht="12.75" hidden="1" customHeight="1" x14ac:dyDescent="0.15">
      <c r="A166" s="259" t="s">
        <v>587</v>
      </c>
      <c r="B166" s="51" t="s">
        <v>685</v>
      </c>
      <c r="C166" s="21" t="s">
        <v>547</v>
      </c>
      <c r="D166" s="104">
        <f>IF(ISERROR(HLOOKUP(J166,$Q$73:$X$74,2)),0,HLOOKUP(J166,$Q$73:$X$74,2))</f>
        <v>0</v>
      </c>
      <c r="E166" s="104">
        <f>IF(ISERROR(HLOOKUP(K166,$Q$73:$X$74,2)),0,HLOOKUP(K166,$Q$73:$X$74,2))</f>
        <v>0</v>
      </c>
      <c r="F166" s="104">
        <f>IF(ISERROR(HLOOKUP(L166,$Q$73:$X$74,2)),0,HLOOKUP(L166,$Q$73:$X$74,2))</f>
        <v>0</v>
      </c>
      <c r="G166" s="396">
        <f t="shared" si="17"/>
        <v>0</v>
      </c>
      <c r="H166" s="103">
        <f t="shared" si="18"/>
        <v>0</v>
      </c>
      <c r="I166" s="103">
        <f t="shared" si="19"/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116"/>
    </row>
    <row r="167" spans="1:45" ht="12.75" hidden="1" customHeight="1" x14ac:dyDescent="0.15">
      <c r="A167" s="259">
        <v>31</v>
      </c>
      <c r="B167" s="51" t="s">
        <v>588</v>
      </c>
      <c r="C167" s="21" t="s">
        <v>613</v>
      </c>
      <c r="D167" s="104">
        <f>IF(ISERROR(HLOOKUP(J167,$Q$42:$AG$43,2)),0,HLOOKUP(J167,$Q$42:$AG$43,2))</f>
        <v>0</v>
      </c>
      <c r="E167" s="104">
        <f>IF(ISERROR(HLOOKUP(K167,$Q$42:$AG$43,2)),0,HLOOKUP(K167,$Q$42:$AG$43,2))</f>
        <v>0</v>
      </c>
      <c r="F167" s="104">
        <f>IF(ISERROR(HLOOKUP(L167,$Q$42:$AG$43,2)),0,HLOOKUP(L167,$Q$42:$AG$43,2))</f>
        <v>0</v>
      </c>
      <c r="G167" s="396">
        <f t="shared" si="17"/>
        <v>0</v>
      </c>
      <c r="H167" s="103">
        <f t="shared" si="18"/>
        <v>0</v>
      </c>
      <c r="I167" s="103">
        <f t="shared" si="19"/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69"/>
    </row>
    <row r="168" spans="1:45" ht="12.75" hidden="1" customHeight="1" x14ac:dyDescent="0.15">
      <c r="A168" s="259">
        <v>32</v>
      </c>
      <c r="B168" s="338" t="s">
        <v>617</v>
      </c>
      <c r="C168" s="21" t="s">
        <v>613</v>
      </c>
      <c r="D168" s="104">
        <f>IF(ISERROR(HLOOKUP(J168,$Q$42:$AA$43,2)),0,HLOOKUP(J168,$Q$42:$AA$43,2))</f>
        <v>0</v>
      </c>
      <c r="E168" s="104">
        <f>IF(ISERROR(HLOOKUP(K168,$Q$42:$AA$43,2)),0,HLOOKUP(K168,$Q$42:$AA$43,2))</f>
        <v>0</v>
      </c>
      <c r="F168" s="104">
        <f>IF(ISERROR(HLOOKUP(L168,$Q$42:$AA$43,2)),0,HLOOKUP(L168,$Q$42:$AA$43,2))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78" t="s">
        <v>661</v>
      </c>
      <c r="P168" s="44"/>
      <c r="Q168" s="44"/>
      <c r="AS168" s="69"/>
    </row>
    <row r="169" spans="1:45" ht="12.75" hidden="1" customHeight="1" x14ac:dyDescent="0.15">
      <c r="A169" s="259">
        <v>33</v>
      </c>
      <c r="B169" s="338" t="s">
        <v>618</v>
      </c>
      <c r="C169" s="21" t="s">
        <v>613</v>
      </c>
      <c r="D169" s="104">
        <f>IF(ISERROR(HLOOKUP(J169,$Q$39:$AA$40,2)),0,HLOOKUP(J169,$Q$39:$AA$40,2))</f>
        <v>0</v>
      </c>
      <c r="E169" s="104">
        <f>IF(ISERROR(HLOOKUP(K169,$Q$39:$AA$40,2)),0,HLOOKUP(K169,$Q$39:$AA$40,2))</f>
        <v>0</v>
      </c>
      <c r="F169" s="104">
        <f>IF(ISERROR(HLOOKUP(L169,$Q$39:$AA$40,2)),0,HLOOKUP(L169,$Q$39:$AA$40,2))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78" t="s">
        <v>661</v>
      </c>
      <c r="P169" s="44"/>
      <c r="Q169" s="44"/>
      <c r="AS169" s="69"/>
    </row>
    <row r="170" spans="1:45" ht="12.75" hidden="1" customHeight="1" x14ac:dyDescent="0.15">
      <c r="A170" s="259">
        <v>34</v>
      </c>
      <c r="B170" s="338" t="s">
        <v>619</v>
      </c>
      <c r="C170" s="21" t="s">
        <v>527</v>
      </c>
      <c r="D170" s="104">
        <f>IF(ISERROR(HLOOKUP(J170,$Q$26:$AY$27,2)),0,HLOOKUP(J170,$Q$26:$AY$27,2))</f>
        <v>0</v>
      </c>
      <c r="E170" s="104">
        <f>IF(ISERROR(HLOOKUP(K170,$Q$26:$AY$27,2)),0,HLOOKUP(K170,$Q$26:$AY$27,2))</f>
        <v>0</v>
      </c>
      <c r="F170" s="104">
        <f>IF(ISERROR(HLOOKUP(L170,$Q$26:$AY$27,2)),0,HLOOKUP(L170,$Q$26:$AY$27,2))</f>
        <v>0</v>
      </c>
      <c r="G170" s="396">
        <f>SUM($F$27:$F$33)</f>
        <v>0</v>
      </c>
      <c r="H170" s="103">
        <f>SUM($F$27:$F$33)+$J$51</f>
        <v>0</v>
      </c>
      <c r="I170" s="103">
        <f>SUM($F$27:$F$33)+$J$51+$J$60</f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x14ac:dyDescent="0.15">
      <c r="A171" s="259">
        <v>35</v>
      </c>
      <c r="B171" s="338" t="s">
        <v>620</v>
      </c>
      <c r="C171" s="21" t="s">
        <v>613</v>
      </c>
      <c r="D171" s="104">
        <f>IF(ISERROR(HLOOKUP(J171,$Q$39:$AB$40,2)),0,HLOOKUP(J171,$Q$39:$AB$40,2))</f>
        <v>0</v>
      </c>
      <c r="E171" s="104">
        <f>IF(ISERROR(HLOOKUP(K171,$Q$39:$AB$40,2)),0,HLOOKUP(K171,$Q$39:$AB$40,2))</f>
        <v>0</v>
      </c>
      <c r="F171" s="104">
        <f>IF(ISERROR(HLOOKUP(L171,$Q$39:$AB$40,2)),0,HLOOKUP(L171,$Q$39:$AB$40,2))</f>
        <v>0</v>
      </c>
      <c r="G171" s="396">
        <f>SUM($F$27:$F$32)</f>
        <v>0</v>
      </c>
      <c r="H171" s="103">
        <f>SUM($F$27:$F$32)+$J$51</f>
        <v>0</v>
      </c>
      <c r="I171" s="103">
        <f>SUM($F$27:$F$32)+$J$51+$J$60</f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78" t="s">
        <v>661</v>
      </c>
      <c r="P171" s="44"/>
      <c r="Q171" s="44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</row>
    <row r="172" spans="1:45" ht="12.75" hidden="1" customHeight="1" x14ac:dyDescent="0.15">
      <c r="A172" s="259">
        <v>36</v>
      </c>
      <c r="B172" s="339" t="s">
        <v>621</v>
      </c>
      <c r="C172" s="21" t="s">
        <v>613</v>
      </c>
      <c r="D172" s="104">
        <f>IF(ISERROR(HLOOKUP(J172,$Q$39:$AA$40,2)),0,HLOOKUP(J172,$Q$39:$AA$40,2))</f>
        <v>0</v>
      </c>
      <c r="E172" s="104">
        <f>IF(ISERROR(HLOOKUP(K172,$Q$39:$AA$40,2)),0,HLOOKUP(K172,$Q$39:$AA$40,2))</f>
        <v>0</v>
      </c>
      <c r="F172" s="104">
        <f>IF(ISERROR(HLOOKUP(L172,$Q$39:$AA$40,2)),0,HLOOKUP(L172,$Q$39:$AA$40,2))</f>
        <v>0</v>
      </c>
      <c r="G172" s="396">
        <f>SUM($F$30:$F$32)</f>
        <v>0</v>
      </c>
      <c r="H172" s="103">
        <f>SUM($F$30:$F$32)+$J$51</f>
        <v>0</v>
      </c>
      <c r="I172" s="103">
        <f>SUM($F$30:$F$32)+$J$51+$J$60</f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78" t="s">
        <v>661</v>
      </c>
      <c r="P172" s="44"/>
      <c r="Q172" s="44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</row>
    <row r="173" spans="1:45" ht="12.75" hidden="1" customHeight="1" x14ac:dyDescent="0.15">
      <c r="A173" s="259">
        <v>37</v>
      </c>
      <c r="B173" s="340" t="s">
        <v>622</v>
      </c>
      <c r="C173" s="21" t="s">
        <v>547</v>
      </c>
      <c r="D173" s="104">
        <f t="shared" ref="D173:F174" si="20">IF(ISERROR(HLOOKUP(J173,$Q$73:$AB$74,2)),0,HLOOKUP(J173,$Q$73:$AB$74,2))</f>
        <v>0</v>
      </c>
      <c r="E173" s="104">
        <f t="shared" si="20"/>
        <v>0</v>
      </c>
      <c r="F173" s="104">
        <f t="shared" si="20"/>
        <v>0</v>
      </c>
      <c r="G173" s="396">
        <f>SUM($F$27:$F$32)</f>
        <v>0</v>
      </c>
      <c r="H173" s="103">
        <f>SUM($F$27:$F$32)+$J$51</f>
        <v>0</v>
      </c>
      <c r="I173" s="103">
        <f>SUM($F$27:$F$32)+$J$51+$J$60</f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H173" s="69"/>
      <c r="AI173" s="116"/>
      <c r="AJ173" s="116"/>
      <c r="AK173" s="116"/>
      <c r="AL173" s="69"/>
      <c r="AM173" s="69"/>
      <c r="AN173" s="69"/>
      <c r="AO173" s="69"/>
      <c r="AP173" s="69"/>
      <c r="AQ173" s="69"/>
      <c r="AR173" s="69"/>
      <c r="AS173" s="69"/>
    </row>
    <row r="174" spans="1:45" ht="12.75" hidden="1" customHeight="1" x14ac:dyDescent="0.15">
      <c r="A174" s="259">
        <v>38</v>
      </c>
      <c r="B174" s="340" t="s">
        <v>623</v>
      </c>
      <c r="C174" s="21" t="s">
        <v>547</v>
      </c>
      <c r="D174" s="104">
        <f t="shared" si="20"/>
        <v>0</v>
      </c>
      <c r="E174" s="104">
        <f t="shared" si="20"/>
        <v>0</v>
      </c>
      <c r="F174" s="104">
        <f t="shared" si="20"/>
        <v>0</v>
      </c>
      <c r="G174" s="396">
        <f>SUM($F$30:$F$32)</f>
        <v>0</v>
      </c>
      <c r="H174" s="103">
        <f>SUM($F$30:$F$32)+$J$51</f>
        <v>0</v>
      </c>
      <c r="I174" s="103">
        <f>SUM($F$30:$F$32)+$J$51+$J$60</f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</row>
    <row r="175" spans="1:45" ht="12.75" hidden="1" customHeight="1" thickBot="1" x14ac:dyDescent="0.2">
      <c r="A175" s="259">
        <v>39</v>
      </c>
      <c r="B175" s="340" t="s">
        <v>624</v>
      </c>
      <c r="C175" s="21" t="s">
        <v>613</v>
      </c>
      <c r="D175" s="104">
        <f>IF(ISERROR(HLOOKUP(J175,$Q$48:$Y$49,2)),0,HLOOKUP(J175,$Q$48:$Y$49,2))</f>
        <v>0</v>
      </c>
      <c r="E175" s="104">
        <f>IF(ISERROR(HLOOKUP(K175,$Q$48:$Y$49,2)),0,HLOOKUP(K175,$Q$48:$Y$49,2))</f>
        <v>0</v>
      </c>
      <c r="F175" s="104">
        <f>IF(ISERROR(HLOOKUP(L175,$Q$48:$Y$49,2)),0,HLOOKUP(L175,$Q$48:$Y$49,2))</f>
        <v>0</v>
      </c>
      <c r="G175" s="396">
        <f>SUM($F$30:$F$32)</f>
        <v>0</v>
      </c>
      <c r="H175" s="103">
        <f>SUM($F$30:$F$32)+$J$51</f>
        <v>0</v>
      </c>
      <c r="I175" s="103">
        <f>SUM($F$30:$F$32)+$J$51+$J$60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40</v>
      </c>
      <c r="B176" s="340" t="s">
        <v>625</v>
      </c>
      <c r="C176" s="21" t="s">
        <v>613</v>
      </c>
      <c r="D176" s="104">
        <f>IF(ISERROR(HLOOKUP(J176,$Q$48:$AA$49,2)),0,HLOOKUP(J176,$Q$48:$AA$49,2))</f>
        <v>0</v>
      </c>
      <c r="E176" s="104">
        <f>IF(ISERROR(HLOOKUP(K176,$Q$48:$AA$49,2)),0,HLOOKUP(K176,$Q$48:$AA$49,2))</f>
        <v>0</v>
      </c>
      <c r="F176" s="104">
        <f>IF(ISERROR(HLOOKUP(L176,$Q$48:$AA$49,2)),0,HLOOKUP(L176,$Q$48:$AA$49,2))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N176" s="341" t="s">
        <v>613</v>
      </c>
      <c r="O176" s="256">
        <f>IF(ISERROR(HLOOKUP(J177,$Q$63:$AA$64,2)),0,HLOOKUP(J177,$Q$63:$AA$64,2))</f>
        <v>0</v>
      </c>
      <c r="P176" s="144">
        <f>IF(ISERROR(HLOOKUP(K177,$Q$63:$AA$64,2)),0,HLOOKUP(K177,$Q$63:$AA$64,2))</f>
        <v>0</v>
      </c>
      <c r="Q176" s="144">
        <f>IF(ISERROR(HLOOKUP(L177,$Q$63:$AA$64,2)),0,HLOOKUP(L177,$Q$63:$AA$64,2))</f>
        <v>0</v>
      </c>
      <c r="R176" s="342" t="s">
        <v>695</v>
      </c>
    </row>
    <row r="177" spans="1:20" ht="12.75" hidden="1" customHeight="1" thickBot="1" x14ac:dyDescent="0.2">
      <c r="A177" s="259">
        <v>41</v>
      </c>
      <c r="B177" s="340" t="s">
        <v>626</v>
      </c>
      <c r="C177" s="21" t="str">
        <f>IF($N$8&gt;=$R$177,$P$20,$P$19)</f>
        <v>TRIÊNIO</v>
      </c>
      <c r="D177" s="343">
        <f>IF($C$177=$N$176,$O$176,$O$177)</f>
        <v>0</v>
      </c>
      <c r="E177" s="343">
        <f>IF($C$177=$N$176,$P$176,$P$177)</f>
        <v>0</v>
      </c>
      <c r="F177" s="343">
        <f>IF($C$177=$N$176,$Q$176,$Q$177)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N177" s="344" t="s">
        <v>547</v>
      </c>
      <c r="O177" s="257">
        <f>IF(ISERROR(HLOOKUP(J177,$Q$73:$W$74,2)),0,HLOOKUP(J177,$Q$73:$W$74,2))</f>
        <v>0</v>
      </c>
      <c r="P177" s="145">
        <f>IF(ISERROR(HLOOKUP(K177,$Q$73:$W$74,2)),0,HLOOKUP(K177,$Q$73:$W$74,2))</f>
        <v>0</v>
      </c>
      <c r="Q177" s="145">
        <f>IF(ISERROR(HLOOKUP(L177,$Q$73:$W$74,2)),0,HLOOKUP(L177,$Q$73:$W$74,2))</f>
        <v>0</v>
      </c>
      <c r="R177" s="398">
        <v>36539</v>
      </c>
      <c r="S177" s="103"/>
      <c r="T177" s="103"/>
    </row>
    <row r="178" spans="1:20" ht="12.75" hidden="1" customHeight="1" x14ac:dyDescent="0.15">
      <c r="A178" s="259">
        <v>42</v>
      </c>
      <c r="B178" s="340" t="s">
        <v>627</v>
      </c>
      <c r="C178" s="21"/>
      <c r="D178" s="54"/>
      <c r="E178" s="54"/>
      <c r="F178" s="54"/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</row>
    <row r="179" spans="1:20" ht="12.75" hidden="1" customHeight="1" x14ac:dyDescent="0.15">
      <c r="A179" s="259">
        <v>43</v>
      </c>
      <c r="B179" s="340" t="s">
        <v>628</v>
      </c>
      <c r="C179" s="21" t="s">
        <v>527</v>
      </c>
      <c r="D179" s="104">
        <f>IF(ISERROR(HLOOKUP(J179,$Q$26:$AY$27,2)),0,HLOOKUP(J179,$Q$26:$AY$27,2))</f>
        <v>0</v>
      </c>
      <c r="E179" s="104">
        <f>IF(ISERROR(HLOOKUP(K179,$Q$26:$AY$27,2)),0,HLOOKUP(K179,$Q$26:$AY$27,2))</f>
        <v>0</v>
      </c>
      <c r="F179" s="104">
        <f>IF(ISERROR(HLOOKUP(L179,$Q$26:$AY$27,2)),0,HLOOKUP(L179,$Q$26:$AY$27,2))</f>
        <v>0</v>
      </c>
      <c r="G179" s="396">
        <f>SUM($F$27:$F$33)</f>
        <v>0</v>
      </c>
      <c r="H179" s="103">
        <f>SUM($F$27:$F$33)+$J$51</f>
        <v>0</v>
      </c>
      <c r="I179" s="103">
        <f>SUM($F$27:$F$33)+$J$51+$J$60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</row>
    <row r="180" spans="1:20" ht="12.75" hidden="1" customHeight="1" x14ac:dyDescent="0.15">
      <c r="A180" s="259">
        <v>44</v>
      </c>
      <c r="B180" s="340" t="s">
        <v>629</v>
      </c>
      <c r="C180" s="21" t="s">
        <v>547</v>
      </c>
      <c r="D180" s="104">
        <f t="shared" ref="D180:F181" si="21">IF(ISERROR(HLOOKUP(J180,$Q$73:$W$74,2)),0,HLOOKUP(J180,$Q$73:$W$74,2))</f>
        <v>0</v>
      </c>
      <c r="E180" s="104">
        <f t="shared" si="21"/>
        <v>0</v>
      </c>
      <c r="F180" s="104">
        <f t="shared" si="21"/>
        <v>0</v>
      </c>
      <c r="G180" s="396">
        <f>SUM($F$27:$F$32)</f>
        <v>0</v>
      </c>
      <c r="H180" s="103">
        <f>SUM($F$27:$F$32)+$J$51</f>
        <v>0</v>
      </c>
      <c r="I180" s="103">
        <f>SUM($F$27:$F$32)+$J$51+$J$60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20" ht="12.75" hidden="1" customHeight="1" x14ac:dyDescent="0.15">
      <c r="A181" s="259">
        <v>45</v>
      </c>
      <c r="B181" s="340" t="s">
        <v>630</v>
      </c>
      <c r="C181" s="21" t="s">
        <v>547</v>
      </c>
      <c r="D181" s="104">
        <f t="shared" si="21"/>
        <v>0</v>
      </c>
      <c r="E181" s="104">
        <f t="shared" si="21"/>
        <v>0</v>
      </c>
      <c r="F181" s="104">
        <f t="shared" si="21"/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P181" s="44"/>
      <c r="Q181" s="44"/>
    </row>
    <row r="182" spans="1:20" ht="12.75" hidden="1" customHeight="1" x14ac:dyDescent="0.15">
      <c r="A182" s="259">
        <v>46</v>
      </c>
      <c r="B182" s="340" t="s">
        <v>631</v>
      </c>
      <c r="C182" s="21" t="s">
        <v>527</v>
      </c>
      <c r="D182" s="104">
        <f>IF(ISERROR(HLOOKUP(J182,$Q$26:$AY$27,2)),0,HLOOKUP(J182,$Q$26:$AY$27,2))</f>
        <v>0</v>
      </c>
      <c r="E182" s="104">
        <f>IF(ISERROR(HLOOKUP(K182,$Q$26:$AY$27,2)),0,HLOOKUP(K182,$Q$26:$AY$27,2))</f>
        <v>0</v>
      </c>
      <c r="F182" s="104">
        <f>IF(ISERROR(HLOOKUP(L182,$Q$26:$AY$27,2)),0,HLOOKUP(L182,$Q$26:$AY$27,2))</f>
        <v>0</v>
      </c>
      <c r="G182" s="396">
        <f>SUM($F$27:$F$32)</f>
        <v>0</v>
      </c>
      <c r="H182" s="103">
        <f>SUM($F$27:$F$32)+$J$51</f>
        <v>0</v>
      </c>
      <c r="I182" s="103">
        <f>SUM($F$27:$F$32)+$J$51+$J$60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P182" s="44"/>
      <c r="Q182" s="44"/>
    </row>
    <row r="183" spans="1:20" ht="12.75" hidden="1" customHeight="1" x14ac:dyDescent="0.15">
      <c r="A183" s="259">
        <v>47</v>
      </c>
      <c r="B183" s="340" t="s">
        <v>632</v>
      </c>
      <c r="C183" s="21" t="s">
        <v>613</v>
      </c>
      <c r="D183" s="104">
        <f>IF(ISERROR(HLOOKUP(J183,$Q$48:$Z$49,2)),0,HLOOKUP(J183,$Q$48:$Z$49,2))</f>
        <v>0</v>
      </c>
      <c r="E183" s="104">
        <f>IF(ISERROR(HLOOKUP(K183,$Q$48:$Z$49,2)),0,HLOOKUP(K183,$Q$48:$Z$49,2))</f>
        <v>0</v>
      </c>
      <c r="F183" s="104">
        <f>IF(ISERROR(HLOOKUP(L183,$Q$48:$Z$49,2)),0,HLOOKUP(L183,$Q$48:$Z$49,2))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20" ht="12.75" hidden="1" customHeight="1" x14ac:dyDescent="0.15">
      <c r="A184" s="259">
        <v>48</v>
      </c>
      <c r="B184" s="340" t="s">
        <v>633</v>
      </c>
      <c r="C184" s="21" t="s">
        <v>613</v>
      </c>
      <c r="D184" s="104">
        <f>IF(ISERROR(HLOOKUP(J184,$Q$48:$AJ$49,2)),0,HLOOKUP(J184,$Q$48:$AJ$49,2))</f>
        <v>0</v>
      </c>
      <c r="E184" s="104">
        <f>IF(ISERROR(HLOOKUP(K184,$Q$48:$AJ$49,2)),0,HLOOKUP(K184,$Q$48:$AJ$49,2))</f>
        <v>0</v>
      </c>
      <c r="F184" s="104">
        <f>IF(ISERROR(HLOOKUP(L184,$Q$48:$AJ$49,2)),0,HLOOKUP(L184,$Q$48:$AJ$49,2))</f>
        <v>0</v>
      </c>
      <c r="G184" s="396">
        <f>SUM($F$30:$F$33)</f>
        <v>0</v>
      </c>
      <c r="H184" s="103">
        <f>SUM($F$30:$F$33)+$J$51</f>
        <v>0</v>
      </c>
      <c r="I184" s="103">
        <f>SUM($F$30:$F$33)+$J$51+$J$60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20" ht="12.75" hidden="1" customHeight="1" x14ac:dyDescent="0.15">
      <c r="A185" s="259">
        <v>49</v>
      </c>
      <c r="B185" s="340" t="s">
        <v>634</v>
      </c>
      <c r="C185" s="21" t="s">
        <v>613</v>
      </c>
      <c r="D185" s="104">
        <f>IF(ISERROR(HLOOKUP(J185,$Q$48:$Z$49,2)),0,HLOOKUP(J185,$Q$48:$Z$49,2))</f>
        <v>0</v>
      </c>
      <c r="E185" s="104">
        <f>IF(ISERROR(HLOOKUP(K185,$Q$48:$Z$49,2)),0,HLOOKUP(K185,$Q$48:$Z$49,2))</f>
        <v>0</v>
      </c>
      <c r="F185" s="104">
        <f>IF(ISERROR(HLOOKUP(L185,$Q$48:$Z$49,2)),0,HLOOKUP(L185,$Q$48:$Z$49,2))</f>
        <v>0</v>
      </c>
      <c r="G185" s="396">
        <f>SUM($F$30:$F$33)</f>
        <v>0</v>
      </c>
      <c r="H185" s="103">
        <f>SUM($F$30:$F$33)+$J$51</f>
        <v>0</v>
      </c>
      <c r="I185" s="103">
        <f>SUM($F$30:$F$33)+$J$51+$J$60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20" ht="12.75" hidden="1" customHeight="1" x14ac:dyDescent="0.15">
      <c r="A186" s="259">
        <v>50</v>
      </c>
      <c r="B186" s="340" t="s">
        <v>635</v>
      </c>
      <c r="C186" s="21" t="s">
        <v>613</v>
      </c>
      <c r="D186" s="104">
        <f>IF(ISERROR(HLOOKUP(J186,$Q$39:$AB$40,2)),0,HLOOKUP(J186,$Q$39:$AB$40,2))</f>
        <v>0</v>
      </c>
      <c r="E186" s="104">
        <f>IF(ISERROR(HLOOKUP(K186,$Q$39:$AB$40,2)),0,HLOOKUP(K186,$Q$39:$AB$40,2))</f>
        <v>0</v>
      </c>
      <c r="F186" s="104">
        <f>IF(ISERROR(HLOOKUP(L186,$Q$39:$AB$40,2)),0,HLOOKUP(L186,$Q$39:$AB$40,2))</f>
        <v>0</v>
      </c>
      <c r="G186" s="396">
        <f>SUM($F$30:$F$32)</f>
        <v>0</v>
      </c>
      <c r="H186" s="103">
        <f>SUM($F$30:$F$32)+$J$51</f>
        <v>0</v>
      </c>
      <c r="I186" s="103">
        <f>SUM($F$30:$F$32)+$J$51+$J$60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20" ht="12.75" hidden="1" customHeight="1" x14ac:dyDescent="0.15">
      <c r="A187" s="259">
        <v>51</v>
      </c>
      <c r="B187" s="340" t="s">
        <v>636</v>
      </c>
      <c r="C187" s="21" t="s">
        <v>613</v>
      </c>
      <c r="D187" s="104">
        <f>IF(ISERROR(HLOOKUP(J187,$Q$39:$AA$40,2)),0,HLOOKUP(J187,$Q$39:$AA$40,2))</f>
        <v>0</v>
      </c>
      <c r="E187" s="104">
        <f>IF(ISERROR(HLOOKUP(K187,$Q$39:$AA$40,2)),0,HLOOKUP(K187,$Q$39:$AA$40,2))</f>
        <v>0</v>
      </c>
      <c r="F187" s="104">
        <f>IF(ISERROR(HLOOKUP(L187,$Q$39:$AA$40,2)),0,HLOOKUP(L187,$Q$39:$AA$40,2))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20" ht="12.75" hidden="1" customHeight="1" x14ac:dyDescent="0.15">
      <c r="A188" s="259">
        <v>52</v>
      </c>
      <c r="B188" s="340" t="s">
        <v>637</v>
      </c>
      <c r="C188" s="21" t="s">
        <v>613</v>
      </c>
      <c r="D188" s="104">
        <f>IF(ISERROR(HLOOKUP(J188,$Q$66:$X$67,2)),0,HLOOKUP(J188,$Q$66:$X$67,2))</f>
        <v>0</v>
      </c>
      <c r="E188" s="104">
        <f>IF(ISERROR(HLOOKUP(K188,$Q$66:$X$67,2)),0,HLOOKUP(K188,$Q$66:$X$67,2))</f>
        <v>0</v>
      </c>
      <c r="F188" s="104">
        <f>IF(ISERROR(HLOOKUP(L188,$Q$66:$X$67,2)),0,HLOOKUP(L188,$Q$66:$X$67,2))</f>
        <v>0</v>
      </c>
      <c r="G188" s="396">
        <f>SUM($F$27:$F$32)</f>
        <v>0</v>
      </c>
      <c r="H188" s="103">
        <f>SUM($F$27:$F$32)+$J$51</f>
        <v>0</v>
      </c>
      <c r="I188" s="103">
        <f>SUM($F$27:$F$32)+$J$51+$J$60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20" ht="12.75" hidden="1" customHeight="1" x14ac:dyDescent="0.15">
      <c r="A189" s="259">
        <v>53</v>
      </c>
      <c r="B189" s="340" t="s">
        <v>638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20" ht="12.75" hidden="1" customHeight="1" x14ac:dyDescent="0.15">
      <c r="A190" s="259">
        <v>54</v>
      </c>
      <c r="B190" s="340" t="s">
        <v>639</v>
      </c>
      <c r="C190" s="21" t="s">
        <v>613</v>
      </c>
      <c r="D190" s="104">
        <f>IF(ISERROR(HLOOKUP(J190,$Q$39:$AA$40,2)),0,HLOOKUP(J190,$Q$39:$AA$40,2))</f>
        <v>0</v>
      </c>
      <c r="E190" s="104">
        <f>IF(ISERROR(HLOOKUP(K190,$Q$39:$AA$40,2)),0,HLOOKUP(K190,$Q$39:$AA$40,2))</f>
        <v>0</v>
      </c>
      <c r="F190" s="104">
        <f>IF(ISERROR(HLOOKUP(L190,$Q$39:$AA$40,2)),0,HLOOKUP(L190,$Q$39:$AA$40,2))</f>
        <v>0</v>
      </c>
      <c r="G190" s="396">
        <f>SUM($F$27:$F$32)</f>
        <v>0</v>
      </c>
      <c r="H190" s="103">
        <f>SUM($F$27:$F$32)+$J$51</f>
        <v>0</v>
      </c>
      <c r="I190" s="103">
        <f>SUM($F$27:$F$32)+$J$51+$J$60</f>
        <v>0</v>
      </c>
      <c r="J190" s="21">
        <f t="shared" ref="J190:J221" si="22">ROUNDDOWN(G190/365,0)</f>
        <v>0</v>
      </c>
      <c r="K190" s="21">
        <f t="shared" ref="K190:K221" si="23">ROUNDDOWN(H190/365,0)</f>
        <v>0</v>
      </c>
      <c r="L190" s="21">
        <f t="shared" ref="L190:L221" si="24">ROUNDDOWN(I190/365,0)</f>
        <v>0</v>
      </c>
      <c r="M190" s="78" t="s">
        <v>661</v>
      </c>
      <c r="P190" s="44"/>
      <c r="Q190" s="44"/>
    </row>
    <row r="191" spans="1:20" ht="12.75" hidden="1" customHeight="1" x14ac:dyDescent="0.15">
      <c r="A191" s="259">
        <v>55</v>
      </c>
      <c r="B191" s="340" t="s">
        <v>640</v>
      </c>
      <c r="C191" s="21" t="s">
        <v>613</v>
      </c>
      <c r="D191" s="104">
        <f>IF(ISERROR(HLOOKUP(J191,$Q$60:$AA$61,2)),0,HLOOKUP(J191,$Q$60:$AA$61,2))</f>
        <v>0</v>
      </c>
      <c r="E191" s="104">
        <f>IF(ISERROR(HLOOKUP(K191,$Q$60:$AA$61,2)),0,HLOOKUP(K191,$Q$60:$AA$61,2))</f>
        <v>0</v>
      </c>
      <c r="F191" s="104">
        <f>IF(ISERROR(HLOOKUP(L191,$Q$60:$AA$61,2)),0,HLOOKUP(L191,$Q$60:$AA$61,2))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22"/>
        <v>0</v>
      </c>
      <c r="K191" s="21">
        <f t="shared" si="23"/>
        <v>0</v>
      </c>
      <c r="L191" s="21">
        <f t="shared" si="24"/>
        <v>0</v>
      </c>
      <c r="M191" s="78" t="s">
        <v>661</v>
      </c>
      <c r="P191" s="44"/>
      <c r="Q191" s="44"/>
    </row>
    <row r="192" spans="1:20" ht="12.75" hidden="1" customHeight="1" x14ac:dyDescent="0.15">
      <c r="A192" s="259">
        <v>56</v>
      </c>
      <c r="B192" s="340" t="s">
        <v>683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22"/>
        <v>0</v>
      </c>
      <c r="K192" s="21">
        <f t="shared" si="23"/>
        <v>0</v>
      </c>
      <c r="L192" s="21">
        <f t="shared" si="24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57</v>
      </c>
      <c r="B193" s="340" t="s">
        <v>699</v>
      </c>
      <c r="C193" s="21" t="s">
        <v>613</v>
      </c>
      <c r="D193" s="104">
        <f>IF(ISERROR(HLOOKUP(J193,$Q$48:$AA$49,2)),0,HLOOKUP(J193,$Q$48:$AA$49,2))</f>
        <v>0</v>
      </c>
      <c r="E193" s="104">
        <f>IF(ISERROR(HLOOKUP(K193,$Q$48:$AA$49,2)),0,HLOOKUP(K193,$Q$48:$AA$49,2))</f>
        <v>0</v>
      </c>
      <c r="F193" s="104">
        <f>IF(ISERROR(HLOOKUP(L193,$Q$48:$AA$49,2)),0,HLOOKUP(L193,$Q$48:$AA$49,2))</f>
        <v>0</v>
      </c>
      <c r="G193" s="396">
        <f>SUM($F$30:$F$32)</f>
        <v>0</v>
      </c>
      <c r="H193" s="103">
        <f>SUM($F$30:$F$32)+$J$51</f>
        <v>0</v>
      </c>
      <c r="I193" s="103">
        <f>SUM($F$30:$F$32)+$J$51+$J$60</f>
        <v>0</v>
      </c>
      <c r="J193" s="21">
        <f t="shared" si="22"/>
        <v>0</v>
      </c>
      <c r="K193" s="21">
        <f t="shared" si="23"/>
        <v>0</v>
      </c>
      <c r="L193" s="21">
        <f t="shared" si="24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58</v>
      </c>
      <c r="B194" s="340" t="s">
        <v>641</v>
      </c>
      <c r="C194" s="21" t="s">
        <v>613</v>
      </c>
      <c r="D194" s="104">
        <f>IF(ISERROR(HLOOKUP(J194,$Q$69:$AC$70,2)),0,HLOOKUP(J194,$Q$69:$AC$70,2))</f>
        <v>0</v>
      </c>
      <c r="E194" s="104">
        <f>IF(ISERROR(HLOOKUP(K194,$Q$69:$AC$70,2)),0,HLOOKUP(K194,$Q$69:$AC$70,2))</f>
        <v>0</v>
      </c>
      <c r="F194" s="104">
        <f>IF(ISERROR(HLOOKUP(L194,$Q$69:$AC$70,2)),0,HLOOKUP(L194,$Q$69:$AC$70,2))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22"/>
        <v>0</v>
      </c>
      <c r="K194" s="21">
        <f t="shared" si="23"/>
        <v>0</v>
      </c>
      <c r="L194" s="21">
        <f t="shared" si="24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59</v>
      </c>
      <c r="B195" s="340" t="s">
        <v>642</v>
      </c>
      <c r="C195" s="21" t="s">
        <v>613</v>
      </c>
      <c r="D195" s="104">
        <f>IF(ISERROR(HLOOKUP(J195,$Q$39:$AB$40,2)),0,HLOOKUP(J195,$Q$39:$AB$40,2))</f>
        <v>0</v>
      </c>
      <c r="E195" s="104">
        <f>IF(ISERROR(HLOOKUP(K195,$Q$39:$AB$40,2)),0,HLOOKUP(K195,$Q$39:$AB$40,2))</f>
        <v>0</v>
      </c>
      <c r="F195" s="104">
        <f>IF(ISERROR(HLOOKUP(L195,$Q$39:$AB$40,2)),0,HLOOKUP(L195,$Q$39:$AB$40,2))</f>
        <v>0</v>
      </c>
      <c r="G195" s="396">
        <f>SUM($F$27:$F$33)</f>
        <v>0</v>
      </c>
      <c r="H195" s="103">
        <f>SUM($F$27:$F$33)+$J$51</f>
        <v>0</v>
      </c>
      <c r="I195" s="103">
        <f>SUM($F$27:$F$33)+$J$51+$J$60</f>
        <v>0</v>
      </c>
      <c r="J195" s="21">
        <f t="shared" si="22"/>
        <v>0</v>
      </c>
      <c r="K195" s="21">
        <f t="shared" si="23"/>
        <v>0</v>
      </c>
      <c r="L195" s="21">
        <f t="shared" si="24"/>
        <v>0</v>
      </c>
      <c r="M195" s="78" t="s">
        <v>661</v>
      </c>
      <c r="P195" s="44"/>
      <c r="Q195" s="44"/>
      <c r="AC195" s="69"/>
      <c r="AD195" s="69"/>
      <c r="AE195" s="69"/>
      <c r="AF195" s="69"/>
      <c r="AG195" s="69"/>
    </row>
    <row r="196" spans="1:33" ht="12.75" hidden="1" customHeight="1" x14ac:dyDescent="0.15">
      <c r="A196" s="259">
        <v>60</v>
      </c>
      <c r="B196" s="340" t="s">
        <v>643</v>
      </c>
      <c r="C196" s="21" t="s">
        <v>547</v>
      </c>
      <c r="D196" s="104">
        <f>IF(ISERROR(HLOOKUP(J196,$Q$80:$W$81,2)),0,HLOOKUP(J196,$Q$80:$W$81,2))</f>
        <v>0</v>
      </c>
      <c r="E196" s="104">
        <f>IF(ISERROR(HLOOKUP(K196,$Q$80:$W$81,2)),0,HLOOKUP(K196,$Q$80:$W$81,2))</f>
        <v>0</v>
      </c>
      <c r="F196" s="104">
        <f>IF(ISERROR(HLOOKUP(L196,$Q$80:$W$81,2)),0,HLOOKUP(L196,$Q$80:$W$81,2))</f>
        <v>0</v>
      </c>
      <c r="G196" s="396">
        <f>SUM($F$30:$F$33)</f>
        <v>0</v>
      </c>
      <c r="H196" s="103">
        <f>SUM($F$30:$F$33)+$J$51</f>
        <v>0</v>
      </c>
      <c r="I196" s="103">
        <f>SUM($F$30:$F$33)+$J$51+$J$60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  <c r="AC196" s="69"/>
      <c r="AD196" s="69"/>
      <c r="AE196" s="69"/>
      <c r="AF196" s="69"/>
      <c r="AG196" s="69"/>
    </row>
    <row r="197" spans="1:33" ht="12.75" hidden="1" customHeight="1" x14ac:dyDescent="0.15">
      <c r="A197" s="259">
        <v>61</v>
      </c>
      <c r="B197" s="340" t="s">
        <v>644</v>
      </c>
      <c r="C197" s="21" t="s">
        <v>613</v>
      </c>
      <c r="D197" s="104">
        <f>IF(ISERROR(HLOOKUP(J197,$Q$39:$AA$40,2)),0,HLOOKUP(J197,$Q$39:$AA$40,2))</f>
        <v>0</v>
      </c>
      <c r="E197" s="104">
        <f>IF(ISERROR(HLOOKUP(K197,$Q$39:$AA$40,2)),0,HLOOKUP(K197,$Q$39:$AA$40,2))</f>
        <v>0</v>
      </c>
      <c r="F197" s="104">
        <f>IF(ISERROR(HLOOKUP(L197,$Q$39:$AA$40,2)),0,HLOOKUP(L197,$Q$39:$AA$40,2))</f>
        <v>0</v>
      </c>
      <c r="G197" s="396">
        <f>SUM($F$27:$F$33)</f>
        <v>0</v>
      </c>
      <c r="H197" s="103">
        <f>SUM($F$27:$F$33)+$J$51</f>
        <v>0</v>
      </c>
      <c r="I197" s="103">
        <f>SUM($F$27:$F$33)+$J$51+$J$60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  <c r="AC197" s="69"/>
      <c r="AD197" s="69"/>
      <c r="AE197" s="69"/>
      <c r="AF197" s="69"/>
      <c r="AG197" s="69"/>
    </row>
    <row r="198" spans="1:33" ht="12.75" hidden="1" customHeight="1" x14ac:dyDescent="0.15">
      <c r="A198" s="259">
        <v>62</v>
      </c>
      <c r="B198" s="345" t="s">
        <v>645</v>
      </c>
      <c r="C198" s="21" t="s">
        <v>527</v>
      </c>
      <c r="D198" s="104">
        <f>IF(ISERROR(HLOOKUP(J198,$Q$26:$AY$27,2)),0,HLOOKUP(J198,$Q$26:$AY$27,2))</f>
        <v>0</v>
      </c>
      <c r="E198" s="104">
        <f>IF(ISERROR(HLOOKUP(K198,$Q$26:$AY$27,2)),0,HLOOKUP(K198,$Q$26:$AY$27,2))</f>
        <v>0</v>
      </c>
      <c r="F198" s="104">
        <f>IF(ISERROR(HLOOKUP(L198,$Q$26:$AY$27,2)),0,HLOOKUP(L198,$Q$26:$AY$27,2))</f>
        <v>0</v>
      </c>
      <c r="G198" s="396">
        <f>SUM($F$30:$F$32)</f>
        <v>0</v>
      </c>
      <c r="H198" s="103">
        <f>SUM($F$27:$F$32)+$J$51</f>
        <v>0</v>
      </c>
      <c r="I198" s="103">
        <f>SUM($F$27:$F$32)+$J$51+$J$60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69"/>
    </row>
    <row r="199" spans="1:33" ht="12.75" hidden="1" customHeight="1" x14ac:dyDescent="0.15">
      <c r="A199" s="259">
        <v>63</v>
      </c>
      <c r="B199" s="345" t="s">
        <v>646</v>
      </c>
      <c r="C199" s="21"/>
      <c r="D199" s="54"/>
      <c r="E199" s="54"/>
      <c r="F199" s="54"/>
      <c r="G199" s="54"/>
      <c r="H199" s="54"/>
      <c r="I199" s="347"/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64</v>
      </c>
      <c r="B200" s="349" t="s">
        <v>647</v>
      </c>
      <c r="C200" s="308" t="s">
        <v>613</v>
      </c>
      <c r="D200" s="305">
        <f>IF(ISERROR(HLOOKUP(J200,$Q$48:$AB$49,2)),0,HLOOKUP(J200,$Q$48:$AB$49,2))</f>
        <v>0</v>
      </c>
      <c r="E200" s="305">
        <f>IF(ISERROR(HLOOKUP(K200,$Q$48:$AB$49,2)),0,HLOOKUP(K200,$Q$48:$AB$49,2))</f>
        <v>0</v>
      </c>
      <c r="F200" s="305">
        <f>IF(ISERROR(HLOOKUP(L200,$Q$48:$AB$49,2)),0,HLOOKUP(L200,$Q$48:$AB$49,2))</f>
        <v>0</v>
      </c>
      <c r="G200" s="350">
        <f>SUM($F$30:$F$33)+$O$200</f>
        <v>0</v>
      </c>
      <c r="H200" s="350">
        <f>$G$200+$J$51</f>
        <v>0</v>
      </c>
      <c r="I200" s="350">
        <f>$G$200+$J$51+$J$60</f>
        <v>0</v>
      </c>
      <c r="J200" s="351">
        <f t="shared" si="22"/>
        <v>0</v>
      </c>
      <c r="K200" s="351">
        <f t="shared" si="23"/>
        <v>0</v>
      </c>
      <c r="L200" s="351">
        <f t="shared" si="24"/>
        <v>0</v>
      </c>
      <c r="M200" s="352" t="s">
        <v>662</v>
      </c>
      <c r="N200" s="310">
        <f>SUM($F$27:$F$29)</f>
        <v>0</v>
      </c>
      <c r="O200" s="309">
        <f>IF($N$200&gt;365,365,$N$200)</f>
        <v>0</v>
      </c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65</v>
      </c>
      <c r="B201" s="345" t="s">
        <v>648</v>
      </c>
      <c r="C201" s="21" t="s">
        <v>547</v>
      </c>
      <c r="D201" s="104">
        <f>IF(ISERROR(HLOOKUP(J201,$Q$73:$AB$74,2)),0,HLOOKUP(J201,$Q$73:$AB$74,2))</f>
        <v>0</v>
      </c>
      <c r="E201" s="105">
        <f>IF(ISERROR(HLOOKUP(K201,$Q$73:$AB$74,2)),0,HLOOKUP(K201,$Q$73:$AB$74,2))</f>
        <v>0</v>
      </c>
      <c r="F201" s="106">
        <f>IF(ISERROR(HLOOKUP(L201,$Q$73:$AB$74,2)),0,HLOOKUP(L201,$Q$73:$AB$74,2))</f>
        <v>0</v>
      </c>
      <c r="G201" s="355">
        <f>SUM($F$27:$F$32)</f>
        <v>0</v>
      </c>
      <c r="H201" s="355">
        <f>SUM($F$27:$F$32)+$J$51</f>
        <v>0</v>
      </c>
      <c r="I201" s="355">
        <f>SUM($F$27:$F$32)+$J$51+$J$60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348"/>
    </row>
    <row r="202" spans="1:33" ht="12.75" hidden="1" customHeight="1" x14ac:dyDescent="0.15">
      <c r="A202" s="259">
        <v>66</v>
      </c>
      <c r="B202" s="345" t="s">
        <v>649</v>
      </c>
      <c r="C202" s="21" t="s">
        <v>613</v>
      </c>
      <c r="D202" s="104">
        <f>IF(ISERROR(HLOOKUP(J202,$Q$39:$Z$40,2)),0,HLOOKUP(J202,$Q$39:$Z$40,2))</f>
        <v>0</v>
      </c>
      <c r="E202" s="104">
        <f>IF(ISERROR(HLOOKUP(K202,$Q$39:$Z$40,2)),0,HLOOKUP(K202,$Q$39:$Z$40,2))</f>
        <v>0</v>
      </c>
      <c r="F202" s="104">
        <f>IF(ISERROR(HLOOKUP(L202,$Q$39:$Z$40,2)),0,HLOOKUP(L202,$Q$39:$Z$40,2))</f>
        <v>0</v>
      </c>
      <c r="G202" s="355">
        <f>SUM($F$30:$F$32)</f>
        <v>0</v>
      </c>
      <c r="H202" s="355">
        <f>SUM($F$30:$F$32)+$J$51</f>
        <v>0</v>
      </c>
      <c r="I202" s="355">
        <f>SUM($F$30:$F$32)+$J$51+$J$60</f>
        <v>0</v>
      </c>
      <c r="J202" s="356">
        <f t="shared" si="22"/>
        <v>0</v>
      </c>
      <c r="K202" s="356">
        <f t="shared" si="23"/>
        <v>0</v>
      </c>
      <c r="L202" s="356">
        <f t="shared" si="24"/>
        <v>0</v>
      </c>
      <c r="M202" s="346" t="s">
        <v>662</v>
      </c>
      <c r="P202" s="44"/>
      <c r="Q202" s="44"/>
      <c r="AC202" s="69"/>
      <c r="AD202" s="69"/>
      <c r="AE202" s="69"/>
      <c r="AF202" s="69"/>
      <c r="AG202" s="348"/>
    </row>
    <row r="203" spans="1:33" ht="12.75" hidden="1" customHeight="1" x14ac:dyDescent="0.15">
      <c r="A203" s="259">
        <v>67</v>
      </c>
      <c r="B203" s="345" t="s">
        <v>650</v>
      </c>
      <c r="C203" s="21" t="s">
        <v>613</v>
      </c>
      <c r="D203" s="104">
        <f>IF(ISERROR(HLOOKUP(J203,$Q$51:$Y$52,2)),0,HLOOKUP(J203,$Q$51:$Y$52,2))</f>
        <v>0</v>
      </c>
      <c r="E203" s="104">
        <f>IF(ISERROR(HLOOKUP(K203,$Q$51:$Y$52,2)),0,HLOOKUP(K203,$Q$51:$Y$52,2))</f>
        <v>0</v>
      </c>
      <c r="F203" s="104">
        <f>IF(ISERROR(HLOOKUP(L203,$Q$51:$Y$52,2)),0,HLOOKUP(L203,$Q$51:$Y$52,2))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348"/>
    </row>
    <row r="204" spans="1:33" s="308" customFormat="1" ht="12.75" hidden="1" customHeight="1" x14ac:dyDescent="0.15">
      <c r="A204" s="304">
        <v>68</v>
      </c>
      <c r="B204" s="349" t="s">
        <v>651</v>
      </c>
      <c r="C204" s="308" t="s">
        <v>547</v>
      </c>
      <c r="D204" s="305">
        <f>IF(ISERROR(HLOOKUP(J204,$Q$73:$W$74,2)),0,HLOOKUP(J204,$Q$73:$W$74,2))</f>
        <v>0</v>
      </c>
      <c r="E204" s="305">
        <f>IF(ISERROR(HLOOKUP(K204,$Q$73:$W$74,2)),0,HLOOKUP(K204,$Q$73:$W$74,2))</f>
        <v>0</v>
      </c>
      <c r="F204" s="305">
        <f>IF(ISERROR(HLOOKUP(L204,$Q$73:$W$74,2)),0,HLOOKUP(L204,$Q$73:$W$74,2))</f>
        <v>0</v>
      </c>
      <c r="G204" s="350">
        <f>$N$204</f>
        <v>0</v>
      </c>
      <c r="H204" s="350">
        <f>$G$204+$J$51</f>
        <v>0</v>
      </c>
      <c r="I204" s="350">
        <f>$G$204+$J$51+$J$60</f>
        <v>0</v>
      </c>
      <c r="J204" s="308">
        <f t="shared" si="22"/>
        <v>0</v>
      </c>
      <c r="K204" s="308">
        <f t="shared" si="23"/>
        <v>0</v>
      </c>
      <c r="L204" s="308">
        <f t="shared" si="24"/>
        <v>0</v>
      </c>
      <c r="M204" s="352" t="s">
        <v>662</v>
      </c>
      <c r="N204" s="310">
        <f>SUM(F30:F32)</f>
        <v>0</v>
      </c>
      <c r="O204" s="309"/>
      <c r="P204" s="353"/>
      <c r="Q204" s="353"/>
      <c r="AC204" s="354"/>
      <c r="AD204" s="354"/>
      <c r="AE204" s="354"/>
      <c r="AF204" s="354"/>
      <c r="AG204" s="354"/>
    </row>
    <row r="205" spans="1:33" ht="12.75" hidden="1" customHeight="1" x14ac:dyDescent="0.15">
      <c r="A205" s="259">
        <v>69</v>
      </c>
      <c r="B205" s="345" t="s">
        <v>652</v>
      </c>
      <c r="C205" s="21" t="s">
        <v>613</v>
      </c>
      <c r="D205" s="104">
        <f>IF(ISERROR(HLOOKUP(J205,$Q$39:$Z$40,2)),0,HLOOKUP(J205,$Q$39:$Z$40,2))</f>
        <v>0</v>
      </c>
      <c r="E205" s="104">
        <f>IF(ISERROR(HLOOKUP(K205,$Q$39:$Z$40,2)),0,HLOOKUP(K205,$Q$39:$Z$40,2))</f>
        <v>0</v>
      </c>
      <c r="F205" s="104">
        <f>IF(ISERROR(HLOOKUP(L205,$Q$39:$Z$40,2)),0,HLOOKUP(L205,$Q$39:$Z$40,2))</f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22"/>
        <v>0</v>
      </c>
      <c r="K205" s="21">
        <f t="shared" si="23"/>
        <v>0</v>
      </c>
      <c r="L205" s="21">
        <f t="shared" si="24"/>
        <v>0</v>
      </c>
      <c r="M205" s="346" t="s">
        <v>662</v>
      </c>
      <c r="P205" s="44"/>
      <c r="Q205" s="44"/>
      <c r="AC205" s="69"/>
      <c r="AD205" s="69"/>
      <c r="AE205" s="69"/>
      <c r="AF205" s="69"/>
      <c r="AG205" s="69"/>
    </row>
    <row r="206" spans="1:33" ht="13.5" hidden="1" x14ac:dyDescent="0.15">
      <c r="A206" s="259">
        <v>70</v>
      </c>
      <c r="B206" s="345" t="s">
        <v>653</v>
      </c>
      <c r="C206" s="21" t="s">
        <v>613</v>
      </c>
      <c r="D206" s="104">
        <f>IF(ISERROR(HLOOKUP(J206,$Q$48:$AB$49,2)),0,HLOOKUP(J206,$Q$48:$AB$49,2))</f>
        <v>0</v>
      </c>
      <c r="E206" s="104">
        <f>IF(ISERROR(HLOOKUP(K206,$Q$48:$AB$49,2)),0,HLOOKUP(K206,$Q$48:$AB$49,2))</f>
        <v>0</v>
      </c>
      <c r="F206" s="104">
        <f>IF(ISERROR(HLOOKUP(L206,$Q$48:$AB$49,2)),0,HLOOKUP(L206,$Q$48:$AB$49,2))</f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</row>
    <row r="207" spans="1:33" ht="13.5" hidden="1" x14ac:dyDescent="0.15">
      <c r="A207" s="259">
        <v>71</v>
      </c>
      <c r="B207" s="345" t="s">
        <v>654</v>
      </c>
      <c r="C207" s="21" t="s">
        <v>613</v>
      </c>
      <c r="D207" s="104">
        <f>IF(ISERROR(HLOOKUP(J207,$Q$48:$AA$49,2)),0,HLOOKUP(J207,$Q$48:$AA$49,2))</f>
        <v>0</v>
      </c>
      <c r="E207" s="104">
        <f>IF(ISERROR(HLOOKUP(K207,$Q$48:$AA$49,2)),0,HLOOKUP(K207,$Q$48:$AA$49,2))</f>
        <v>0</v>
      </c>
      <c r="F207" s="104">
        <f>IF(ISERROR(HLOOKUP(L207,$Q$48:$AA$49,2)),0,HLOOKUP(L207,$Q$48:$AA$49,2))</f>
        <v>0</v>
      </c>
      <c r="G207" s="396">
        <f>SUM($F$30:$F$32)</f>
        <v>0</v>
      </c>
      <c r="H207" s="103">
        <f>SUM($F$30:$F$32)+$J$51</f>
        <v>0</v>
      </c>
      <c r="I207" s="103">
        <f>SUM($F$30:$F$32)+$J$51+$J$60</f>
        <v>0</v>
      </c>
      <c r="J207" s="21">
        <f t="shared" si="22"/>
        <v>0</v>
      </c>
      <c r="K207" s="21">
        <f t="shared" si="23"/>
        <v>0</v>
      </c>
      <c r="L207" s="21">
        <f t="shared" si="24"/>
        <v>0</v>
      </c>
      <c r="M207" s="346" t="s">
        <v>662</v>
      </c>
      <c r="P207" s="44"/>
      <c r="Q207" s="44"/>
    </row>
    <row r="208" spans="1:33" ht="13.5" hidden="1" x14ac:dyDescent="0.15">
      <c r="A208" s="259">
        <v>72</v>
      </c>
      <c r="B208" s="345" t="s">
        <v>655</v>
      </c>
      <c r="C208" s="21" t="s">
        <v>527</v>
      </c>
      <c r="D208" s="104">
        <f>IF(ISERROR(HLOOKUP(J208,$Q$54:$AR$55,2)),0,HLOOKUP(J208,$Q$54:$AR$55,2))</f>
        <v>0</v>
      </c>
      <c r="E208" s="104">
        <f>IF(ISERROR(HLOOKUP(K208,$Q$54:$AR$55,2)),0,HLOOKUP(K208,$Q$54:$AR$55,2))</f>
        <v>0</v>
      </c>
      <c r="F208" s="104">
        <f>IF(ISERROR(HLOOKUP(L208,$Q$54:$AR$55,2)),0,HLOOKUP(L208,$Q$54:$AR$55,2))</f>
        <v>0</v>
      </c>
      <c r="G208" s="396">
        <f>SUM($F$27:$F$32)</f>
        <v>0</v>
      </c>
      <c r="H208" s="103">
        <f>SUM($F$27:$F$32)+$J$51</f>
        <v>0</v>
      </c>
      <c r="I208" s="103">
        <f>SUM($F$27:$F$32)+$J$51+$J$60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</row>
    <row r="209" spans="1:32" ht="13.5" hidden="1" x14ac:dyDescent="0.15">
      <c r="A209" s="259">
        <v>73</v>
      </c>
      <c r="B209" s="345" t="s">
        <v>663</v>
      </c>
      <c r="C209" s="21" t="s">
        <v>527</v>
      </c>
      <c r="D209" s="104">
        <f t="shared" ref="D209:F210" si="25">IF(ISERROR(HLOOKUP(J209,$Q$26:$AY$27,2)),0,HLOOKUP(J209,$Q$26:$AY$27,2))</f>
        <v>0</v>
      </c>
      <c r="E209" s="104">
        <f t="shared" si="25"/>
        <v>0</v>
      </c>
      <c r="F209" s="104">
        <f t="shared" si="25"/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22"/>
        <v>0</v>
      </c>
      <c r="K209" s="21">
        <f t="shared" si="23"/>
        <v>0</v>
      </c>
      <c r="L209" s="21">
        <f t="shared" si="24"/>
        <v>0</v>
      </c>
      <c r="M209" s="346" t="s">
        <v>662</v>
      </c>
      <c r="P209" s="44"/>
      <c r="Q209" s="44"/>
    </row>
    <row r="210" spans="1:32" ht="13.5" hidden="1" x14ac:dyDescent="0.15">
      <c r="A210" s="259">
        <v>74</v>
      </c>
      <c r="B210" s="345" t="s">
        <v>664</v>
      </c>
      <c r="C210" s="21" t="s">
        <v>527</v>
      </c>
      <c r="D210" s="104">
        <f t="shared" si="25"/>
        <v>0</v>
      </c>
      <c r="E210" s="104">
        <f t="shared" si="25"/>
        <v>0</v>
      </c>
      <c r="F210" s="104">
        <f t="shared" si="25"/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</row>
    <row r="211" spans="1:32" ht="13.5" hidden="1" x14ac:dyDescent="0.15">
      <c r="A211" s="259">
        <v>75</v>
      </c>
      <c r="B211" s="345" t="s">
        <v>665</v>
      </c>
      <c r="C211" s="21" t="s">
        <v>547</v>
      </c>
      <c r="D211" s="104">
        <f>IF(ISERROR(HLOOKUP(J211,$Q$73:$W$74,2)),0,HLOOKUP(J211,$Q$73:$W$74,2))</f>
        <v>0</v>
      </c>
      <c r="E211" s="104">
        <f>IF(ISERROR(HLOOKUP(K211,$Q$73:$W$74,2)),0,HLOOKUP(K211,$Q$73:$W$74,2))</f>
        <v>0</v>
      </c>
      <c r="F211" s="104">
        <f>IF(ISERROR(HLOOKUP(L211,$Q$73:$W$74,2)),0,HLOOKUP(L211,$Q$73:$W$74,2))</f>
        <v>0</v>
      </c>
      <c r="G211" s="396">
        <f>SUM($F$27:$F$32)</f>
        <v>0</v>
      </c>
      <c r="H211" s="103">
        <f>SUM($F$27:$F$32)+$J$51</f>
        <v>0</v>
      </c>
      <c r="I211" s="103">
        <f>SUM($F$27:$F$32)+$J$51+$J$60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2" ht="13.5" hidden="1" x14ac:dyDescent="0.15">
      <c r="A212" s="259">
        <v>76</v>
      </c>
      <c r="B212" s="345" t="s">
        <v>689</v>
      </c>
      <c r="C212" s="21" t="s">
        <v>613</v>
      </c>
      <c r="D212" s="104">
        <f>IF(ISERROR(HLOOKUP(J212,$Q$48:$AB$49,2)),0,HLOOKUP(J212,$Q$48:$AB$49,2))</f>
        <v>0</v>
      </c>
      <c r="E212" s="104">
        <f>IF(ISERROR(HLOOKUP(K212,$Q$48:$AB$49,2)),0,HLOOKUP(K212,$Q$48:$AB$49,2))</f>
        <v>0</v>
      </c>
      <c r="F212" s="104">
        <f>IF(ISERROR(HLOOKUP(L212,$Q$48:$AB$49,2)),0,HLOOKUP(L212,$Q$48:$AB$49,2))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2" ht="13.5" hidden="1" x14ac:dyDescent="0.15">
      <c r="A213" s="259">
        <v>77</v>
      </c>
      <c r="B213" s="345" t="s">
        <v>666</v>
      </c>
      <c r="C213" s="21" t="s">
        <v>613</v>
      </c>
      <c r="D213" s="104">
        <f>IF(ISERROR(HLOOKUP(J213,$Q$48:$AA$49,2)),0,HLOOKUP(J213,$Q$48:$AA$49,2))</f>
        <v>0</v>
      </c>
      <c r="E213" s="104">
        <f>IF(ISERROR(HLOOKUP(K213,$Q$48:$AA$49,2)),0,HLOOKUP(K213,$Q$48:$AA$49,2))</f>
        <v>0</v>
      </c>
      <c r="F213" s="104">
        <f>IF(ISERROR(HLOOKUP(L213,$Q$48:$AA$49,2)),0,HLOOKUP(L213,$Q$48:$AA$49,2))</f>
        <v>0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2" ht="13.5" hidden="1" x14ac:dyDescent="0.15">
      <c r="A214" s="259">
        <v>78</v>
      </c>
      <c r="B214" s="345" t="s">
        <v>667</v>
      </c>
      <c r="C214" s="21" t="s">
        <v>613</v>
      </c>
      <c r="D214" s="104">
        <f>IF(ISERROR(HLOOKUP(J214,$Q$57:$AA$58,2)),0,HLOOKUP(J214,$Q$57:$AA$58,2))</f>
        <v>0</v>
      </c>
      <c r="E214" s="104">
        <f>IF(ISERROR(HLOOKUP(K214,$Q$57:$AA$58,2)),0,HLOOKUP(K214,$Q$57:$AA$58,2))</f>
        <v>0</v>
      </c>
      <c r="F214" s="104">
        <f>IF(ISERROR(HLOOKUP(L214,$Q$57:$AA$58,2)),0,HLOOKUP(L214,$Q$57:$AA$58,2))</f>
        <v>0</v>
      </c>
      <c r="G214" s="396">
        <f>SUM($F$29:$F$32)</f>
        <v>0</v>
      </c>
      <c r="H214" s="103">
        <f>SUM($F$29:$F$32)+$J$51</f>
        <v>0</v>
      </c>
      <c r="I214" s="103">
        <f>SUM($F$29:$F$32)+$J$51+$J$60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2" s="308" customFormat="1" ht="13.5" hidden="1" x14ac:dyDescent="0.15">
      <c r="A215" s="304">
        <v>79</v>
      </c>
      <c r="B215" s="349" t="s">
        <v>668</v>
      </c>
      <c r="C215" s="308" t="s">
        <v>613</v>
      </c>
      <c r="D215" s="305">
        <f>IF(ISERROR(HLOOKUP(J215,$Q$39:$AA$40,2)),0,HLOOKUP(J215,$Q$39:$AA$40,2))</f>
        <v>0</v>
      </c>
      <c r="E215" s="305">
        <f>IF(ISERROR(HLOOKUP(K215,$Q$39:$AA$40,2)),0,HLOOKUP(K215,$Q$39:$AA$40,2))</f>
        <v>0</v>
      </c>
      <c r="F215" s="305">
        <f>IF(ISERROR(HLOOKUP(L215,$Q$39:$AA$40,2)),0,HLOOKUP(L215,$Q$39:$AA$40,2))</f>
        <v>0</v>
      </c>
      <c r="G215" s="399">
        <f>$N$215+$F$33</f>
        <v>0</v>
      </c>
      <c r="H215" s="307">
        <f>$G$215+$J$51</f>
        <v>0</v>
      </c>
      <c r="I215" s="307">
        <f>$N$215+$J$51+$J$60</f>
        <v>0</v>
      </c>
      <c r="J215" s="308">
        <f t="shared" si="22"/>
        <v>0</v>
      </c>
      <c r="K215" s="308">
        <f t="shared" si="23"/>
        <v>0</v>
      </c>
      <c r="L215" s="308">
        <f t="shared" si="24"/>
        <v>0</v>
      </c>
      <c r="M215" s="352" t="s">
        <v>662</v>
      </c>
      <c r="N215" s="308">
        <f>IF($C$30&gt;=$A$36,$E$30-$C$30+1,IF($C$31&gt;=$A$36,$E$31-$C$31+1,IF($C$32&gt;=$A$36,$E$32-$C$32+1,IF($E$30&lt;&gt;0,$E$30-$A$36+1,IF($E$31&lt;&gt;0,$E$31-$A$36+1,IF($E$32&lt;&gt;0,$E$32-$A$36+1,0))))))</f>
        <v>0</v>
      </c>
      <c r="O215" s="309"/>
      <c r="P215" s="353"/>
      <c r="Q215" s="353"/>
      <c r="AD215" s="310"/>
      <c r="AE215" s="310"/>
      <c r="AF215" s="310"/>
    </row>
    <row r="216" spans="1:32" ht="13.5" hidden="1" x14ac:dyDescent="0.15">
      <c r="A216" s="259">
        <v>80</v>
      </c>
      <c r="B216" s="345" t="s">
        <v>669</v>
      </c>
      <c r="C216" s="21" t="s">
        <v>547</v>
      </c>
      <c r="D216" s="104">
        <f>IF(ISERROR(HLOOKUP(J216,$Q$73:$V$74,2)),0,HLOOKUP(J216,$Q$73:$V$74,2))</f>
        <v>0</v>
      </c>
      <c r="E216" s="104">
        <f>IF(ISERROR(HLOOKUP(K216,$Q$73:$V$74,2)),0,HLOOKUP(K216,$Q$73:$V$74,2))</f>
        <v>0</v>
      </c>
      <c r="F216" s="104">
        <f>IF(ISERROR(HLOOKUP(L216,$Q$73:$V$74,2)),0,HLOOKUP(L216,$Q$73:$V$74,2))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2" ht="13.5" hidden="1" x14ac:dyDescent="0.15">
      <c r="A217" s="259" t="s">
        <v>703</v>
      </c>
      <c r="B217" s="345" t="s">
        <v>701</v>
      </c>
      <c r="C217" s="21" t="s">
        <v>702</v>
      </c>
      <c r="D217" s="148">
        <f>IF(J217&lt;=10,0.1,IF(J217&lt;=20,0.2,0.3))</f>
        <v>0.1</v>
      </c>
      <c r="E217" s="148">
        <f>IF(K217&lt;=10,0.1,IF(K217&lt;=20,0.2,0.3))</f>
        <v>0.1</v>
      </c>
      <c r="F217" s="148">
        <f>IF(L217&lt;=10,0.1,IF(L217&lt;=20,0.2,0.3))</f>
        <v>0.1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2" ht="13.5" hidden="1" x14ac:dyDescent="0.15">
      <c r="A218" s="259">
        <v>81</v>
      </c>
      <c r="B218" s="345" t="s">
        <v>670</v>
      </c>
      <c r="C218" s="21" t="s">
        <v>547</v>
      </c>
      <c r="D218" s="104">
        <f>IF(ISERROR(HLOOKUP(J218,$Q$73:$W$74,2)),0,HLOOKUP(J218,$Q$73:$W$74,2))</f>
        <v>0</v>
      </c>
      <c r="E218" s="104">
        <f>IF(ISERROR(HLOOKUP(K218,$Q$73:$W$74,2)),0,HLOOKUP(K218,$Q$73:$W$74,2))</f>
        <v>0</v>
      </c>
      <c r="F218" s="104">
        <f>IF(ISERROR(HLOOKUP(L218,$Q$73:$W$74,2)),0,HLOOKUP(L218,$Q$73:$W$74,2))</f>
        <v>0</v>
      </c>
      <c r="G218" s="396">
        <f>SUM($F$27:$F$33)</f>
        <v>0</v>
      </c>
      <c r="H218" s="103">
        <f>SUM($F$27:$F$33)+$J$51</f>
        <v>0</v>
      </c>
      <c r="I218" s="103">
        <f>SUM($F$27:$F$33)+$J$51+$J$60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2" ht="13.5" hidden="1" x14ac:dyDescent="0.15">
      <c r="A219" s="259">
        <v>82</v>
      </c>
      <c r="B219" s="345" t="s">
        <v>671</v>
      </c>
      <c r="C219" s="21" t="s">
        <v>613</v>
      </c>
      <c r="D219" s="104">
        <f>IF(ISERROR(HLOOKUP(J219,$Q$42:$AA$43,2)),0,HLOOKUP(J219,$Q$42:$AA$43,2))</f>
        <v>0</v>
      </c>
      <c r="E219" s="104">
        <f>IF(ISERROR(HLOOKUP(K219,$Q$42:$AA$43,2)),0,HLOOKUP(K219,$Q$42:$AA$43,2))</f>
        <v>0</v>
      </c>
      <c r="F219" s="104">
        <f>IF(ISERROR(HLOOKUP(L219,$Q$42:$AA$43,2)),0,HLOOKUP(L219,$Q$42:$AA$43,2))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2" ht="13.5" hidden="1" x14ac:dyDescent="0.15">
      <c r="A220" s="259">
        <v>83</v>
      </c>
      <c r="B220" s="345" t="s">
        <v>672</v>
      </c>
      <c r="C220" s="21"/>
      <c r="E220" s="40"/>
      <c r="J220" s="21">
        <f t="shared" si="22"/>
        <v>0</v>
      </c>
      <c r="K220" s="21">
        <f t="shared" si="23"/>
        <v>0</v>
      </c>
      <c r="L220" s="21">
        <f t="shared" si="24"/>
        <v>0</v>
      </c>
      <c r="M220" s="346" t="s">
        <v>662</v>
      </c>
      <c r="P220" s="44"/>
      <c r="Q220" s="44"/>
    </row>
    <row r="221" spans="1:32" ht="13.5" hidden="1" x14ac:dyDescent="0.15">
      <c r="A221" s="259">
        <v>84</v>
      </c>
      <c r="B221" s="108" t="s">
        <v>673</v>
      </c>
      <c r="C221" s="21" t="s">
        <v>613</v>
      </c>
      <c r="D221" s="104">
        <f>IF(ISERROR(HLOOKUP(J221,$Q$48:$AB$49,2)),0,HLOOKUP(J221,$Q$48:$AB$49,2))</f>
        <v>0</v>
      </c>
      <c r="E221" s="104">
        <f>IF(ISERROR(HLOOKUP(K221,$Q$48:$AB$49,2)),0,HLOOKUP(K221,$Q$48:$AB$49,2))</f>
        <v>0</v>
      </c>
      <c r="F221" s="104">
        <f>IF(ISERROR(HLOOKUP(L221,$Q$48:$AB$49,2)),0,HLOOKUP(L221,$Q$48:$AB$49,2))</f>
        <v>0</v>
      </c>
      <c r="G221" s="396">
        <f>SUM($F$30:$F$32)</f>
        <v>0</v>
      </c>
      <c r="H221" s="103">
        <f>SUM($F$30:$F$32)+$J$51</f>
        <v>0</v>
      </c>
      <c r="I221" s="103">
        <f>SUM($F$30:$F$32)+$J$51+$J$60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N221" s="104">
        <f>IF(ISERROR(HLOOKUP(L221,$Q$48:$AB$49,2)),0,HLOOKUP(L221,$Q$48:$AB$49,2))</f>
        <v>0</v>
      </c>
      <c r="P221" s="44"/>
      <c r="Q221" s="44"/>
    </row>
    <row r="222" spans="1:32" ht="13.5" hidden="1" x14ac:dyDescent="0.15">
      <c r="A222" s="259">
        <v>85</v>
      </c>
      <c r="B222" s="108" t="s">
        <v>674</v>
      </c>
      <c r="C222" s="21" t="s">
        <v>527</v>
      </c>
      <c r="D222" s="104">
        <f>IF(ISERROR(HLOOKUP(J222,$Q$35:$AY$36,2)),0,HLOOKUP(J222,$Q$35:$AY$36,2))</f>
        <v>0</v>
      </c>
      <c r="E222" s="104">
        <f>IF(ISERROR(HLOOKUP(K222,$Q$35:$AY$36,2)),0,HLOOKUP(K222,$Q$35:$AY$36,2))</f>
        <v>0</v>
      </c>
      <c r="F222" s="104">
        <f>IF(ISERROR(HLOOKUP(L222,$Q$35:$AY$36,2)),0,HLOOKUP(L222,$Q$35:$AY$36,2))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ref="J222:J229" si="26">ROUNDDOWN(G222/365,0)</f>
        <v>0</v>
      </c>
      <c r="K222" s="21">
        <f t="shared" ref="K222:K229" si="27">ROUNDDOWN(H222/365,0)</f>
        <v>0</v>
      </c>
      <c r="L222" s="21">
        <f t="shared" ref="L222:L229" si="28">ROUNDDOWN(I222/365,0)</f>
        <v>0</v>
      </c>
      <c r="M222" s="346" t="s">
        <v>662</v>
      </c>
      <c r="P222" s="44"/>
      <c r="Q222" s="44"/>
    </row>
    <row r="223" spans="1:32" ht="13.5" hidden="1" x14ac:dyDescent="0.15">
      <c r="A223" s="259">
        <v>86</v>
      </c>
      <c r="B223" s="108" t="s">
        <v>675</v>
      </c>
      <c r="C223" s="21" t="s">
        <v>613</v>
      </c>
      <c r="D223" s="104">
        <f>IF(ISERROR(HLOOKUP(J223,$Q$60:$AC$61,2)),0,HLOOKUP(J223,$Q$60:$AC$61,2))</f>
        <v>0</v>
      </c>
      <c r="E223" s="104">
        <f>IF(ISERROR(HLOOKUP(K223,$Q$60:$AC$61,2)),0,HLOOKUP(K223,$Q$60:$AC$61,2))</f>
        <v>0</v>
      </c>
      <c r="F223" s="104">
        <f>IF(ISERROR(HLOOKUP(L223,$Q$60:$AC$61,2)),0,HLOOKUP(L223,$Q$60:$AC$61,2))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26"/>
        <v>0</v>
      </c>
      <c r="K223" s="21">
        <f t="shared" si="27"/>
        <v>0</v>
      </c>
      <c r="L223" s="21">
        <f t="shared" si="28"/>
        <v>0</v>
      </c>
      <c r="M223" s="346" t="s">
        <v>662</v>
      </c>
      <c r="P223" s="44"/>
      <c r="Q223" s="44"/>
    </row>
    <row r="224" spans="1:32" ht="13.5" hidden="1" x14ac:dyDescent="0.15">
      <c r="A224" s="259">
        <v>87</v>
      </c>
      <c r="B224" s="108" t="s">
        <v>677</v>
      </c>
      <c r="C224" s="21"/>
      <c r="D224" s="21"/>
      <c r="J224" s="21">
        <f t="shared" si="26"/>
        <v>0</v>
      </c>
      <c r="K224" s="21">
        <f t="shared" si="27"/>
        <v>0</v>
      </c>
      <c r="L224" s="21">
        <f t="shared" si="28"/>
        <v>0</v>
      </c>
      <c r="M224" s="346" t="s">
        <v>662</v>
      </c>
      <c r="P224" s="44"/>
      <c r="Q224" s="44"/>
    </row>
    <row r="225" spans="1:17" ht="13.5" hidden="1" x14ac:dyDescent="0.15">
      <c r="A225" s="259">
        <v>88</v>
      </c>
      <c r="B225" s="108" t="s">
        <v>678</v>
      </c>
      <c r="C225" s="21" t="s">
        <v>613</v>
      </c>
      <c r="D225" s="104">
        <f>IF(ISERROR(HLOOKUP(J225,$Q$39:$AA$40,2)),0,HLOOKUP(J225,$Q$39:$AA$40,2))</f>
        <v>0</v>
      </c>
      <c r="E225" s="104">
        <f>IF(ISERROR(HLOOKUP(K225,$Q$39:$AA$40,2)),0,HLOOKUP(K225,$Q$39:$AA$40,2))</f>
        <v>0</v>
      </c>
      <c r="F225" s="104">
        <f>IF(ISERROR(HLOOKUP(L225,$Q$39:$AA$40,2)),0,HLOOKUP(L225,$Q$39:$AA$40,2))</f>
        <v>0</v>
      </c>
      <c r="G225" s="396">
        <f>SUM($F$27:$F$32)</f>
        <v>0</v>
      </c>
      <c r="H225" s="103">
        <f>SUM($F$27:$F$32)+$J$51</f>
        <v>0</v>
      </c>
      <c r="I225" s="103">
        <f>SUM($F$27:$F$32)+$J$51+$J$60</f>
        <v>0</v>
      </c>
      <c r="J225" s="21">
        <f t="shared" si="26"/>
        <v>0</v>
      </c>
      <c r="K225" s="21">
        <f t="shared" si="27"/>
        <v>0</v>
      </c>
      <c r="L225" s="21">
        <f t="shared" si="28"/>
        <v>0</v>
      </c>
      <c r="M225" s="346" t="s">
        <v>662</v>
      </c>
      <c r="P225" s="44"/>
      <c r="Q225" s="44"/>
    </row>
    <row r="226" spans="1:17" ht="13.5" hidden="1" x14ac:dyDescent="0.15">
      <c r="A226" s="259">
        <v>89</v>
      </c>
      <c r="B226" s="108" t="s">
        <v>679</v>
      </c>
      <c r="C226" s="21" t="s">
        <v>613</v>
      </c>
      <c r="D226" s="104">
        <f>IF(ISERROR(HLOOKUP(J226,$Q$48:$V$49,2)),0,HLOOKUP(J226,$Q$48:$V$49,2))</f>
        <v>0</v>
      </c>
      <c r="E226" s="104">
        <f>IF(ISERROR(HLOOKUP(K226,$Q$48:$V$49,2)),0,HLOOKUP(K226,$Q$48:$V$49,2))</f>
        <v>0</v>
      </c>
      <c r="F226" s="104">
        <f>IF(ISERROR(HLOOKUP(L226,$Q$48:$V$49,2)),0,HLOOKUP(L226,$Q$48:$V$49,2))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6"/>
        <v>0</v>
      </c>
      <c r="K226" s="21">
        <f t="shared" si="27"/>
        <v>0</v>
      </c>
      <c r="L226" s="21">
        <f t="shared" si="28"/>
        <v>0</v>
      </c>
      <c r="M226" s="346" t="s">
        <v>662</v>
      </c>
      <c r="P226" s="44"/>
      <c r="Q226" s="44"/>
    </row>
    <row r="227" spans="1:17" ht="13.5" hidden="1" x14ac:dyDescent="0.15">
      <c r="A227" s="259">
        <v>90</v>
      </c>
      <c r="B227" s="108" t="s">
        <v>680</v>
      </c>
      <c r="C227" s="21" t="s">
        <v>527</v>
      </c>
      <c r="D227" s="104">
        <f>IF(ISERROR(HLOOKUP(J227,$Q$26:$AY$27,2)),0,HLOOKUP(J227,$Q$26:$AY$27,2))</f>
        <v>0</v>
      </c>
      <c r="E227" s="104">
        <f>IF(ISERROR(HLOOKUP(K227,$Q$26:$AY$27,2)),0,HLOOKUP(K227,$Q$26:$AY$27,2))</f>
        <v>0</v>
      </c>
      <c r="F227" s="104">
        <f>IF(ISERROR(HLOOKUP(L227,$Q$26:$AY$27,2)),0,HLOOKUP(L227,$Q$26:$AY$27,2))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si="26"/>
        <v>0</v>
      </c>
      <c r="K227" s="21">
        <f t="shared" si="27"/>
        <v>0</v>
      </c>
      <c r="L227" s="21">
        <f t="shared" si="28"/>
        <v>0</v>
      </c>
      <c r="M227" s="346" t="s">
        <v>662</v>
      </c>
      <c r="P227" s="44"/>
      <c r="Q227" s="44"/>
    </row>
    <row r="228" spans="1:17" ht="13.5" hidden="1" x14ac:dyDescent="0.15">
      <c r="A228" s="259">
        <v>91</v>
      </c>
      <c r="B228" s="108" t="s">
        <v>681</v>
      </c>
      <c r="C228" s="21" t="s">
        <v>613</v>
      </c>
      <c r="D228" s="104">
        <f>IF(ISERROR(HLOOKUP(J228,$Q$42:$AA$43,2)),0,HLOOKUP(J228,$Q$42:$AA$43,2))</f>
        <v>0</v>
      </c>
      <c r="E228" s="104">
        <f>IF(ISERROR(HLOOKUP(K228,$Q$42:$AA$43,2)),0,HLOOKUP(K228,$Q$42:$AA$43,2))</f>
        <v>0</v>
      </c>
      <c r="F228" s="104">
        <f>IF(ISERROR(HLOOKUP(L228,$Q$42:$AA$43,2)),0,HLOOKUP(L228,$Q$42:$AA$43,2))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92</v>
      </c>
      <c r="B229" s="108" t="s">
        <v>682</v>
      </c>
      <c r="C229" s="21" t="s">
        <v>613</v>
      </c>
      <c r="D229" s="104">
        <f>IF(ISERROR(HLOOKUP(J229,$Q$42:$Z$43,2)),0,HLOOKUP(J229,$Q$42:$Z$43,2))</f>
        <v>0</v>
      </c>
      <c r="E229" s="104">
        <f>IF(ISERROR(HLOOKUP(K229,$Q$42:$Z$43,2)),0,HLOOKUP(K229,$Q$42:$Z$43,2))</f>
        <v>0</v>
      </c>
      <c r="F229" s="104">
        <f>IF(ISERROR(HLOOKUP(L229,$Q$42:$Z$43,2)),0,HLOOKUP(L229,$Q$42:$Z$43,2))</f>
        <v>0</v>
      </c>
      <c r="G229" s="396">
        <f>SUM($F$30:$F$32)</f>
        <v>0</v>
      </c>
      <c r="H229" s="103">
        <f>SUM($F$30:$F$32)+$J$51</f>
        <v>0</v>
      </c>
      <c r="I229" s="103">
        <f>SUM($F$30:$F$32)+$J$51+$J$60</f>
        <v>0</v>
      </c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B230" s="10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357"/>
      <c r="N230" s="54"/>
      <c r="O230" s="258"/>
      <c r="P230" s="44"/>
      <c r="Q230" s="44"/>
    </row>
    <row r="231" spans="1:17" ht="13.5" hidden="1" x14ac:dyDescent="0.15">
      <c r="B231" s="248" t="s">
        <v>720</v>
      </c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258"/>
    </row>
    <row r="232" spans="1:17" ht="13.5" hidden="1" x14ac:dyDescent="0.15">
      <c r="A232" s="259">
        <v>1</v>
      </c>
      <c r="B232" s="51" t="s">
        <v>550</v>
      </c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258"/>
    </row>
    <row r="233" spans="1:17" ht="13.5" hidden="1" x14ac:dyDescent="0.15">
      <c r="A233" s="259" t="s">
        <v>721</v>
      </c>
      <c r="B233" s="51" t="s">
        <v>615</v>
      </c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58"/>
    </row>
    <row r="234" spans="1:17" ht="13.5" hidden="1" x14ac:dyDescent="0.15">
      <c r="A234" s="259">
        <v>2</v>
      </c>
      <c r="B234" s="338" t="s">
        <v>617</v>
      </c>
      <c r="C234" s="109"/>
      <c r="D234" s="109"/>
      <c r="E234" s="110"/>
      <c r="F234" s="358"/>
      <c r="G234" s="111"/>
      <c r="H234" s="111"/>
      <c r="I234" s="111"/>
      <c r="J234" s="46"/>
      <c r="K234" s="46"/>
      <c r="L234" s="46"/>
      <c r="M234" s="46"/>
      <c r="N234" s="9"/>
      <c r="O234" s="258"/>
    </row>
    <row r="235" spans="1:17" ht="13.5" hidden="1" x14ac:dyDescent="0.15">
      <c r="A235" s="259">
        <v>3</v>
      </c>
      <c r="B235" s="345" t="s">
        <v>645</v>
      </c>
      <c r="C235" s="104"/>
      <c r="D235" s="105"/>
      <c r="E235" s="106"/>
      <c r="F235" s="47"/>
      <c r="G235" s="47"/>
      <c r="H235" s="47"/>
      <c r="I235" s="47"/>
      <c r="J235" s="46"/>
      <c r="K235" s="46"/>
      <c r="L235" s="46"/>
      <c r="M235" s="46"/>
      <c r="N235" s="46"/>
      <c r="O235" s="258"/>
    </row>
    <row r="236" spans="1:17" ht="13.5" hidden="1" x14ac:dyDescent="0.15">
      <c r="A236" s="259">
        <v>4</v>
      </c>
      <c r="B236" s="338" t="s">
        <v>618</v>
      </c>
      <c r="C236" s="104"/>
      <c r="D236" s="104"/>
      <c r="E236" s="104"/>
      <c r="F236" s="112"/>
      <c r="G236" s="112"/>
      <c r="H236" s="112"/>
      <c r="I236" s="112"/>
      <c r="J236" s="46"/>
      <c r="K236" s="46"/>
      <c r="L236" s="46"/>
      <c r="M236" s="46"/>
      <c r="N236" s="46"/>
      <c r="O236" s="258"/>
    </row>
    <row r="237" spans="1:17" ht="13.5" hidden="1" x14ac:dyDescent="0.15">
      <c r="A237" s="259">
        <v>5</v>
      </c>
      <c r="B237" s="345" t="s">
        <v>646</v>
      </c>
      <c r="C237" s="104"/>
      <c r="D237" s="104"/>
      <c r="E237" s="104"/>
      <c r="F237" s="112"/>
      <c r="G237" s="112"/>
      <c r="H237" s="112"/>
      <c r="I237" s="112"/>
      <c r="J237" s="46"/>
      <c r="K237" s="46"/>
      <c r="L237" s="46"/>
      <c r="M237" s="46"/>
      <c r="N237" s="46"/>
      <c r="O237" s="258"/>
    </row>
    <row r="238" spans="1:17" ht="13.5" hidden="1" x14ac:dyDescent="0.15">
      <c r="A238" s="259">
        <v>6</v>
      </c>
      <c r="B238" s="345" t="s">
        <v>647</v>
      </c>
      <c r="C238" s="104"/>
      <c r="D238" s="104"/>
      <c r="E238" s="104"/>
      <c r="F238" s="112"/>
      <c r="G238" s="112"/>
      <c r="H238" s="112"/>
      <c r="I238" s="112"/>
      <c r="J238" s="46"/>
      <c r="K238" s="46"/>
      <c r="L238" s="46"/>
      <c r="M238" s="46"/>
      <c r="N238" s="46"/>
      <c r="O238" s="258"/>
    </row>
    <row r="239" spans="1:17" ht="13.5" hidden="1" x14ac:dyDescent="0.15">
      <c r="A239" s="259">
        <v>7</v>
      </c>
      <c r="B239" s="51" t="s">
        <v>551</v>
      </c>
      <c r="C239" s="104"/>
      <c r="D239" s="104"/>
      <c r="E239" s="104"/>
      <c r="F239" s="112"/>
      <c r="G239" s="112"/>
      <c r="H239" s="112"/>
      <c r="I239" s="112"/>
      <c r="J239" s="46"/>
      <c r="K239" s="46"/>
      <c r="L239" s="46"/>
      <c r="M239" s="46"/>
      <c r="N239" s="46"/>
      <c r="O239" s="258"/>
    </row>
    <row r="240" spans="1:17" ht="13.5" hidden="1" x14ac:dyDescent="0.15">
      <c r="A240" s="259">
        <v>8</v>
      </c>
      <c r="B240" s="51" t="s">
        <v>552</v>
      </c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9</v>
      </c>
      <c r="B241" s="51" t="s">
        <v>553</v>
      </c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 t="s">
        <v>722</v>
      </c>
      <c r="B242" s="51" t="s">
        <v>616</v>
      </c>
      <c r="C242" s="109"/>
      <c r="D242" s="109"/>
      <c r="E242" s="110"/>
      <c r="F242" s="358"/>
      <c r="G242" s="111"/>
      <c r="H242" s="111"/>
      <c r="I242" s="111"/>
      <c r="J242" s="46"/>
      <c r="K242" s="46"/>
      <c r="L242" s="46"/>
      <c r="M242" s="46"/>
      <c r="N242" s="9"/>
      <c r="O242" s="258"/>
      <c r="AH242" s="69"/>
      <c r="AI242" s="69"/>
      <c r="AJ242" s="69"/>
      <c r="AK242" s="69"/>
      <c r="AL242" s="69"/>
      <c r="AM242" s="69"/>
      <c r="AN242" s="69"/>
    </row>
    <row r="243" spans="1:40" ht="13.5" hidden="1" x14ac:dyDescent="0.15">
      <c r="A243" s="259">
        <v>10</v>
      </c>
      <c r="B243" s="338" t="s">
        <v>619</v>
      </c>
      <c r="C243" s="104"/>
      <c r="D243" s="105"/>
      <c r="E243" s="106"/>
      <c r="F243" s="46"/>
      <c r="G243" s="46"/>
      <c r="H243" s="46"/>
      <c r="I243" s="46"/>
      <c r="J243" s="46"/>
      <c r="K243" s="46"/>
      <c r="L243" s="46"/>
      <c r="M243" s="46"/>
      <c r="N243" s="46"/>
      <c r="O243" s="258"/>
      <c r="AH243" s="69"/>
      <c r="AI243" s="69"/>
      <c r="AJ243" s="69"/>
      <c r="AK243" s="69"/>
      <c r="AL243" s="69"/>
      <c r="AM243" s="69"/>
      <c r="AN243" s="69"/>
    </row>
    <row r="244" spans="1:40" ht="13.5" hidden="1" x14ac:dyDescent="0.15">
      <c r="A244" s="259">
        <v>11</v>
      </c>
      <c r="B244" s="345" t="s">
        <v>648</v>
      </c>
      <c r="C244" s="104"/>
      <c r="D244" s="105"/>
      <c r="E244" s="106"/>
      <c r="F244" s="47"/>
      <c r="G244" s="47"/>
      <c r="H244" s="47"/>
      <c r="I244" s="47"/>
      <c r="J244" s="46"/>
      <c r="K244" s="46"/>
      <c r="L244" s="46"/>
      <c r="M244" s="46"/>
      <c r="N244" s="46"/>
      <c r="O244" s="258"/>
      <c r="AH244" s="69"/>
      <c r="AI244" s="69"/>
      <c r="AJ244" s="69"/>
      <c r="AK244" s="69"/>
      <c r="AL244" s="69"/>
      <c r="AM244" s="69"/>
      <c r="AN244" s="69"/>
    </row>
    <row r="245" spans="1:40" ht="13.5" hidden="1" x14ac:dyDescent="0.15">
      <c r="A245" s="259">
        <v>12</v>
      </c>
      <c r="B245" s="345" t="s">
        <v>649</v>
      </c>
      <c r="C245" s="104"/>
      <c r="D245" s="105"/>
      <c r="E245" s="106"/>
      <c r="F245" s="47"/>
      <c r="G245" s="111"/>
      <c r="H245" s="47"/>
      <c r="I245" s="47"/>
      <c r="J245" s="46"/>
      <c r="K245" s="46"/>
      <c r="L245" s="46"/>
      <c r="M245" s="46"/>
      <c r="N245" s="46"/>
      <c r="O245" s="258"/>
      <c r="AH245" s="69"/>
      <c r="AI245" s="69"/>
      <c r="AJ245" s="69"/>
      <c r="AK245" s="69"/>
      <c r="AL245" s="69"/>
      <c r="AM245" s="69"/>
      <c r="AN245" s="69"/>
    </row>
    <row r="246" spans="1:40" ht="13.5" hidden="1" x14ac:dyDescent="0.15">
      <c r="A246" s="259">
        <v>13</v>
      </c>
      <c r="B246" s="338" t="s">
        <v>620</v>
      </c>
      <c r="C246" s="104"/>
      <c r="D246" s="105"/>
      <c r="E246" s="106"/>
      <c r="F246" s="47"/>
      <c r="G246" s="111"/>
      <c r="H246" s="47"/>
      <c r="I246" s="47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14</v>
      </c>
      <c r="B247" s="345" t="s">
        <v>650</v>
      </c>
      <c r="C247" s="104"/>
      <c r="D247" s="105"/>
      <c r="E247" s="106"/>
      <c r="F247" s="47"/>
      <c r="G247" s="111"/>
      <c r="H247" s="47"/>
      <c r="I247" s="47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15</v>
      </c>
      <c r="B248" s="345" t="s">
        <v>651</v>
      </c>
      <c r="C248" s="104"/>
      <c r="D248" s="105"/>
      <c r="E248" s="106"/>
      <c r="F248" s="47"/>
      <c r="G248" s="111"/>
      <c r="H248" s="47"/>
      <c r="I248" s="47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16</v>
      </c>
      <c r="B249" s="339" t="s">
        <v>621</v>
      </c>
      <c r="C249" s="104"/>
      <c r="D249" s="105"/>
      <c r="E249" s="106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17</v>
      </c>
      <c r="B250" s="345" t="s">
        <v>652</v>
      </c>
      <c r="C250" s="104"/>
      <c r="D250" s="105"/>
      <c r="E250" s="106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18</v>
      </c>
      <c r="B251" s="345" t="s">
        <v>653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19</v>
      </c>
      <c r="B252" s="340" t="s">
        <v>622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20</v>
      </c>
      <c r="B253" s="345" t="s">
        <v>654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21</v>
      </c>
      <c r="B254" s="340" t="s">
        <v>623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22</v>
      </c>
      <c r="B255" s="345" t="s">
        <v>655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23</v>
      </c>
      <c r="B256" s="340" t="s">
        <v>624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24</v>
      </c>
      <c r="B257" s="340" t="s">
        <v>625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25</v>
      </c>
      <c r="B258" s="340" t="s">
        <v>626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26</v>
      </c>
      <c r="B259" s="51" t="s">
        <v>556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27</v>
      </c>
      <c r="B260" s="107" t="s">
        <v>549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28</v>
      </c>
      <c r="B261" s="340" t="s">
        <v>627</v>
      </c>
      <c r="C261" s="359"/>
      <c r="D261" s="111"/>
      <c r="E261" s="360"/>
      <c r="F261" s="112"/>
      <c r="G261" s="112"/>
      <c r="H261" s="112"/>
      <c r="I261" s="112"/>
      <c r="J261" s="46"/>
      <c r="K261" s="46"/>
      <c r="L261" s="46"/>
      <c r="M261" s="46"/>
      <c r="N261" s="361"/>
      <c r="O261" s="258"/>
    </row>
    <row r="262" spans="1:15" ht="13.5" hidden="1" x14ac:dyDescent="0.15">
      <c r="A262" s="259">
        <v>29</v>
      </c>
      <c r="B262" s="345" t="s">
        <v>663</v>
      </c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58"/>
    </row>
    <row r="263" spans="1:15" ht="13.5" hidden="1" x14ac:dyDescent="0.15">
      <c r="A263" s="259">
        <v>30</v>
      </c>
      <c r="B263" s="340" t="s">
        <v>628</v>
      </c>
      <c r="C263" s="109"/>
      <c r="D263" s="109"/>
      <c r="E263" s="110"/>
      <c r="F263" s="358"/>
      <c r="G263" s="111"/>
      <c r="H263" s="111"/>
      <c r="I263" s="111"/>
      <c r="J263" s="46"/>
      <c r="K263" s="46"/>
      <c r="L263" s="46"/>
      <c r="M263" s="46"/>
      <c r="N263" s="9"/>
      <c r="O263" s="258"/>
    </row>
    <row r="264" spans="1:15" ht="13.5" hidden="1" x14ac:dyDescent="0.15">
      <c r="A264" s="259">
        <v>31</v>
      </c>
      <c r="B264" s="51" t="s">
        <v>557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 t="s">
        <v>723</v>
      </c>
      <c r="B265" s="51" t="s">
        <v>614</v>
      </c>
      <c r="C265" s="104"/>
      <c r="D265" s="105"/>
      <c r="E265" s="106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32</v>
      </c>
      <c r="B266" s="345" t="s">
        <v>664</v>
      </c>
      <c r="C266" s="104"/>
      <c r="D266" s="105"/>
      <c r="E266" s="106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33</v>
      </c>
      <c r="B267" s="340" t="s">
        <v>629</v>
      </c>
      <c r="C267" s="104"/>
      <c r="D267" s="105"/>
      <c r="E267" s="106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34</v>
      </c>
      <c r="B268" s="345" t="s">
        <v>665</v>
      </c>
      <c r="C268" s="104"/>
      <c r="D268" s="105"/>
      <c r="E268" s="106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35</v>
      </c>
      <c r="B269" s="51" t="s">
        <v>559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36</v>
      </c>
      <c r="B270" s="51" t="s">
        <v>560</v>
      </c>
      <c r="C270" s="104"/>
      <c r="D270" s="104"/>
      <c r="E270" s="104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37</v>
      </c>
      <c r="B271" s="345" t="s">
        <v>689</v>
      </c>
      <c r="C271" s="104"/>
      <c r="D271" s="104"/>
      <c r="E271" s="104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38</v>
      </c>
      <c r="B272" s="345" t="s">
        <v>666</v>
      </c>
      <c r="C272" s="104"/>
      <c r="D272" s="104"/>
      <c r="E272" s="104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39</v>
      </c>
      <c r="B273" s="340" t="s">
        <v>630</v>
      </c>
      <c r="C273" s="104"/>
      <c r="D273" s="104"/>
      <c r="E273" s="104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40</v>
      </c>
      <c r="B274" s="340" t="s">
        <v>631</v>
      </c>
      <c r="C274" s="9"/>
      <c r="D274" s="9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41</v>
      </c>
      <c r="B275" s="51" t="s">
        <v>561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42</v>
      </c>
      <c r="B276" s="345" t="s">
        <v>667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43</v>
      </c>
      <c r="B277" s="51" t="s">
        <v>562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44</v>
      </c>
      <c r="B278" s="51" t="s">
        <v>563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45</v>
      </c>
      <c r="B279" s="51" t="s">
        <v>686</v>
      </c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46</v>
      </c>
      <c r="B280" s="345" t="s">
        <v>668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47</v>
      </c>
      <c r="B281" s="345" t="s">
        <v>669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 t="s">
        <v>724</v>
      </c>
      <c r="B282" s="345" t="s">
        <v>701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48</v>
      </c>
      <c r="B283" s="51" t="s">
        <v>564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49</v>
      </c>
      <c r="B284" s="345" t="s">
        <v>670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50</v>
      </c>
      <c r="B285" s="340" t="s">
        <v>632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51</v>
      </c>
      <c r="B286" s="51" t="s">
        <v>565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52</v>
      </c>
      <c r="B287" s="51" t="s">
        <v>566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53</v>
      </c>
      <c r="B288" s="51" t="s">
        <v>567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54</v>
      </c>
      <c r="B289" s="51" t="s">
        <v>568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55</v>
      </c>
      <c r="B290" s="51" t="s">
        <v>569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56</v>
      </c>
      <c r="B291" s="340" t="s">
        <v>633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57</v>
      </c>
      <c r="B292" s="51" t="s">
        <v>570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58</v>
      </c>
      <c r="B293" s="51" t="s">
        <v>571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59</v>
      </c>
      <c r="B294" s="345" t="s">
        <v>671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60</v>
      </c>
      <c r="B295" s="51" t="s">
        <v>572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61</v>
      </c>
      <c r="B296" s="51" t="s">
        <v>573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62</v>
      </c>
      <c r="B297" s="51" t="s">
        <v>574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63</v>
      </c>
      <c r="B298" s="345" t="s">
        <v>672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64</v>
      </c>
      <c r="B299" s="51" t="s">
        <v>580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65</v>
      </c>
      <c r="B300" s="51" t="s">
        <v>583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66</v>
      </c>
      <c r="B301" s="340" t="s">
        <v>634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67</v>
      </c>
      <c r="B302" s="51" t="s">
        <v>581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 t="s">
        <v>725</v>
      </c>
      <c r="B303" s="51" t="s">
        <v>684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68</v>
      </c>
      <c r="B304" s="108" t="s">
        <v>673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69</v>
      </c>
      <c r="B305" s="340" t="s">
        <v>635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70</v>
      </c>
      <c r="B306" s="108" t="s">
        <v>674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71</v>
      </c>
      <c r="B307" s="108" t="s">
        <v>675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72</v>
      </c>
      <c r="B308" s="108" t="s">
        <v>677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73</v>
      </c>
      <c r="B309" s="340" t="s">
        <v>636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74</v>
      </c>
      <c r="B310" s="108" t="s">
        <v>678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75</v>
      </c>
      <c r="B311" s="340" t="s">
        <v>637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76</v>
      </c>
      <c r="B312" s="108" t="s">
        <v>679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77</v>
      </c>
      <c r="B313" s="340" t="s">
        <v>638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78</v>
      </c>
      <c r="B314" s="108" t="s">
        <v>680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79</v>
      </c>
      <c r="B315" s="340" t="s">
        <v>639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80</v>
      </c>
      <c r="B316" s="340" t="s">
        <v>640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81</v>
      </c>
      <c r="B317" s="108" t="s">
        <v>681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82</v>
      </c>
      <c r="B318" s="51" t="s">
        <v>584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83</v>
      </c>
      <c r="B319" s="340" t="s">
        <v>683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84</v>
      </c>
      <c r="B320" s="340" t="s">
        <v>699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85</v>
      </c>
      <c r="B321" s="340" t="s">
        <v>641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86</v>
      </c>
      <c r="B322" s="340" t="s">
        <v>642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87</v>
      </c>
      <c r="B323" s="340" t="s">
        <v>643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88</v>
      </c>
      <c r="B324" s="340" t="s">
        <v>644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89</v>
      </c>
      <c r="B325" s="51" t="s">
        <v>585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90</v>
      </c>
      <c r="B326" s="108" t="s">
        <v>682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91</v>
      </c>
      <c r="B327" s="51" t="s">
        <v>586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 t="s">
        <v>726</v>
      </c>
      <c r="B328" s="51" t="s">
        <v>685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92</v>
      </c>
      <c r="B329" s="51" t="s">
        <v>588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101:E101"/>
    <mergeCell ref="B130:N130"/>
    <mergeCell ref="C123:E123"/>
    <mergeCell ref="F123:H123"/>
    <mergeCell ref="K110:S110"/>
    <mergeCell ref="B110:J110"/>
    <mergeCell ref="I123:J123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J100">
    <cfRule type="cellIs" dxfId="233" priority="1" stopIfTrue="1" operator="equal">
      <formula>"ATENDE TEMPO NO CARGO"</formula>
    </cfRule>
    <cfRule type="cellIs" dxfId="232" priority="2" stopIfTrue="1" operator="equal">
      <formula>"NÃO CUMPRE TEMPO NO CARGO"</formula>
    </cfRule>
  </conditionalFormatting>
  <conditionalFormatting sqref="M243:M261 M233:M239 M264:M287 C221:C223 C132:C177 N176:N177 C179:C198 C218:C219 C225:C229 C200:C216">
    <cfRule type="cellIs" dxfId="231" priority="3" stopIfTrue="1" operator="equal">
      <formula>"ANUÊNIO"</formula>
    </cfRule>
    <cfRule type="cellIs" dxfId="230" priority="4" stopIfTrue="1" operator="equal">
      <formula>"TRIÊNIO"</formula>
    </cfRule>
    <cfRule type="cellIs" dxfId="229" priority="5" stopIfTrue="1" operator="equal">
      <formula>"QUINQUÊNIO"</formula>
    </cfRule>
  </conditionalFormatting>
  <conditionalFormatting sqref="F72:F74">
    <cfRule type="cellIs" dxfId="228" priority="6" stopIfTrue="1" operator="equal">
      <formula>"NADA A CUMPRIR"</formula>
    </cfRule>
    <cfRule type="cellIs" dxfId="227" priority="7" stopIfTrue="1" operator="equal">
      <formula>"NÃO CABE"</formula>
    </cfRule>
    <cfRule type="cellIs" dxfId="226" priority="8" stopIfTrue="1" operator="greaterThanOrEqual">
      <formula>0</formula>
    </cfRule>
  </conditionalFormatting>
  <conditionalFormatting sqref="E71">
    <cfRule type="cellIs" dxfId="225" priority="9" stopIfTrue="1" operator="equal">
      <formula>"NÃO ATENDE LIMITE MÍNIMO DE IDADE"</formula>
    </cfRule>
    <cfRule type="cellIs" dxfId="224" priority="10" stopIfTrue="1" operator="equal">
      <formula>"REANALISAR FUNDAMENTAÇÃO E/OU MODALIDADE"</formula>
    </cfRule>
    <cfRule type="cellIs" dxfId="223" priority="11" stopIfTrue="1" operator="equal">
      <formula>"ATENDE LIMITE MÍNIMO DE IDADE"</formula>
    </cfRule>
  </conditionalFormatting>
  <conditionalFormatting sqref="N69 N71">
    <cfRule type="cellIs" dxfId="222" priority="12" stopIfTrue="1" operator="equal">
      <formula>0</formula>
    </cfRule>
  </conditionalFormatting>
  <conditionalFormatting sqref="K8">
    <cfRule type="expression" dxfId="221" priority="13" stopIfTrue="1">
      <formula>"SE($N$8=0)"</formula>
    </cfRule>
  </conditionalFormatting>
  <conditionalFormatting sqref="C73">
    <cfRule type="cellIs" dxfId="220" priority="14" stopIfTrue="1" operator="equal">
      <formula>"FALTA DATA"</formula>
    </cfRule>
  </conditionalFormatting>
  <conditionalFormatting sqref="M74">
    <cfRule type="cellIs" dxfId="219" priority="15" stopIfTrue="1" operator="equal">
      <formula>"ATENDE"</formula>
    </cfRule>
    <cfRule type="cellIs" dxfId="218" priority="16" stopIfTrue="1" operator="equal">
      <formula>"NÃO ATENDE"</formula>
    </cfRule>
    <cfRule type="cellIs" dxfId="217" priority="17" stopIfTrue="1" operator="equal">
      <formula>"NÃO CABE"</formula>
    </cfRule>
  </conditionalFormatting>
  <conditionalFormatting sqref="M73">
    <cfRule type="cellIs" dxfId="216" priority="18" stopIfTrue="1" operator="equal">
      <formula>"ATENDE"</formula>
    </cfRule>
    <cfRule type="cellIs" dxfId="215" priority="19" stopIfTrue="1" operator="equal">
      <formula>"NÃO ATENDE"</formula>
    </cfRule>
    <cfRule type="cellIs" dxfId="214" priority="20" stopIfTrue="1" operator="equal">
      <formula>"NÃO CABE"</formula>
    </cfRule>
  </conditionalFormatting>
  <conditionalFormatting sqref="M75 L77:M77 L78:L86">
    <cfRule type="cellIs" dxfId="213" priority="21" stopIfTrue="1" operator="equal">
      <formula>"ATENDE"</formula>
    </cfRule>
    <cfRule type="cellIs" dxfId="212" priority="22" stopIfTrue="1" operator="equal">
      <formula>"NÃO ATENDE"</formula>
    </cfRule>
    <cfRule type="cellIs" dxfId="211" priority="23" stopIfTrue="1" operator="equal">
      <formula>"OK"</formula>
    </cfRule>
  </conditionalFormatting>
  <conditionalFormatting sqref="K42">
    <cfRule type="expression" dxfId="210" priority="24" stopIfTrue="1">
      <formula>$E$42&lt;=0</formula>
    </cfRule>
  </conditionalFormatting>
  <conditionalFormatting sqref="M42">
    <cfRule type="expression" dxfId="209" priority="25" stopIfTrue="1">
      <formula>$E$42&lt;=0</formula>
    </cfRule>
  </conditionalFormatting>
  <conditionalFormatting sqref="O70 I67">
    <cfRule type="cellIs" dxfId="208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D00-000000000000}">
      <formula1>$O$2:$O$7</formula1>
    </dataValidation>
    <dataValidation type="list" allowBlank="1" showInputMessage="1" showErrorMessage="1" sqref="E2:I2" xr:uid="{00000000-0002-0000-0D00-000001000000}">
      <formula1>$B$90:$B$98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L824"/>
  <sheetViews>
    <sheetView showGridLines="0" topLeftCell="A43" zoomScale="75" zoomScaleNormal="75" workbookViewId="0" xr3:uid="{33642244-9AC9-5136-AF77-195C889548CE}">
      <selection activeCell="F72" sqref="F72"/>
    </sheetView>
  </sheetViews>
  <sheetFormatPr defaultColWidth="0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9.68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0" style="21" hidden="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467</v>
      </c>
      <c r="F2" s="1850"/>
      <c r="G2" s="1850"/>
      <c r="H2" s="1850"/>
      <c r="I2" s="1850"/>
      <c r="J2" s="652" t="s">
        <v>462</v>
      </c>
      <c r="K2" s="1939" t="s">
        <v>463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IF(OR($E$2=$B$90,$E$2=$B$91,E2=B92),IF($M$13&gt;=5,"ATENDE","NÃO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IF(OR($E$2=$B$90,$E$2=$B$91,E2=B92),IF($M$15&gt;=10,"ATENDE","NÃO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54">
        <f>CRÍTICA_IGP1!N8</f>
        <v>0</v>
      </c>
      <c r="O8" s="104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54">
        <f>CRÍTICA_IGP1!N9</f>
        <v>0</v>
      </c>
      <c r="O9" s="1046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277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367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4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79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79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79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ht="13.5" x14ac:dyDescent="0.15">
      <c r="A16" s="295"/>
      <c r="N16" s="658"/>
      <c r="O16" s="295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37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37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37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373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80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29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63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O24" s="362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2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745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3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2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2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2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/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2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2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2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3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369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843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IF(E2=B98,IF(D12="X",IF(G10="X",ROUNDDOWN(SUM(F26:F34)*0.2,0),ROUNDDOWN(SUM(F26:F34)*0.17,0)),0),0)</f>
        <v>0</v>
      </c>
      <c r="N35" s="632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 t="str">
        <f>IF(E38&lt;36145,E38,"REVER")</f>
        <v>REVER</v>
      </c>
      <c r="F37" s="157">
        <f>IF($E$37&gt;$A$37,0,SUM($F$26:$F$35))</f>
        <v>0</v>
      </c>
      <c r="G37" s="150"/>
      <c r="H37" s="662" t="str">
        <f>E38</f>
        <v>REVER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 t="str">
        <f>IF(E32&gt;0,E32,IF(E31&gt;0,E31,IF(E30&gt;0,E30,IF(E29&gt;0,E29,IF(E28&gt;0,E28,IF(E27&gt;0,E27,IF(E26&gt;0,F26,"REVER")))))))</f>
        <v>REVER</v>
      </c>
      <c r="F38" s="270"/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IF(E41&gt;0,IF(E2=B90,E41,IF(E2=B91,E41,IF(E2=B97,E41,))),0)</f>
        <v>0</v>
      </c>
      <c r="D41" s="178" t="b">
        <f>IF(E41&gt;0,IF(K2=O5,IF(E2=B98,E41,0)),0)</f>
        <v>0</v>
      </c>
      <c r="E41" s="179">
        <f>IF($E$2=B97,IF($G$10="X",(25*365)-$F$37,(30*365)-$F$37),IF($G$10="X",(30*365)-$F$37,(35*365)-$F$37))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CUMPRIR",IF(K2=O5,IF(E2=B98,"HÁ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IF(E42&gt;0,IF(E2=B97,ROUNDUP(E42*0.4,0),ROUNDUP(E42*0.2,0)),0)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IF(K2=O2,0,IF(K2=O3,A42,IF(K2=O4,A43,A44)))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153"/>
      <c r="C46" s="273"/>
      <c r="D46" s="274"/>
      <c r="E46" s="275"/>
      <c r="F46" s="278">
        <f>SUM(F47:F50)</f>
        <v>0</v>
      </c>
      <c r="G46" s="591" t="str">
        <f>IF(AND($E$51&gt;=36145,$E$51&lt;=37985),$E$51,"REVER")</f>
        <v>REVER</v>
      </c>
      <c r="H46" s="592" t="str">
        <f>IF(AND($E$51&gt;=36145,$E$51&lt;38037),$E$51,"REVER")</f>
        <v>REVER</v>
      </c>
      <c r="I46" s="230"/>
      <c r="J46" s="230"/>
      <c r="K46" s="230"/>
      <c r="L46" s="230"/>
      <c r="M46" s="378"/>
      <c r="N46" s="230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x14ac:dyDescent="0.15">
      <c r="A50" s="376"/>
      <c r="B50" s="633" t="s">
        <v>606</v>
      </c>
      <c r="C50" s="674">
        <f>CRÍTICA_IGP1!C50</f>
        <v>0</v>
      </c>
      <c r="D50" s="271" t="s">
        <v>336</v>
      </c>
      <c r="E50" s="677">
        <f>CRÍTICA_IGP1!E50</f>
        <v>25567</v>
      </c>
      <c r="F50" s="171">
        <f>IF(C50=0,0,IF(E50=0,0,E50-C50+1))-N50</f>
        <v>0</v>
      </c>
      <c r="G50" s="251"/>
      <c r="H50" s="131"/>
      <c r="I50" s="131"/>
      <c r="J50" s="287" t="s">
        <v>704</v>
      </c>
      <c r="K50" s="162"/>
      <c r="L50" s="162"/>
      <c r="M50" s="297"/>
      <c r="N50" s="747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634"/>
      <c r="C51" s="635" t="str">
        <f>IF($C$47&gt;0,$C$47,IF($C$48&gt;0,$C$48,IF($C$49&gt;0,$C$49,IF($C$50&gt;0,$C$50,"REVER"))))</f>
        <v>REVER</v>
      </c>
      <c r="D51" s="636"/>
      <c r="E51" s="635">
        <f>IF($E$50&gt;0,$E$50,IF($E$49&gt;0,$E$49,IF($E$48&gt;0,$E$48,IF($E$47&gt;0,$E$47,"REVER"))))</f>
        <v>25567</v>
      </c>
      <c r="F51" s="636" t="s">
        <v>741</v>
      </c>
      <c r="G51" s="636"/>
      <c r="H51" s="637">
        <f>SUM($F$48:$F$50)</f>
        <v>0</v>
      </c>
      <c r="I51" s="636" t="s">
        <v>743</v>
      </c>
      <c r="J51" s="637">
        <f>SUM(F49:F50)</f>
        <v>0</v>
      </c>
      <c r="K51" s="636"/>
      <c r="L51" s="636"/>
      <c r="M51" s="636"/>
      <c r="N51" s="638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685"/>
      <c r="C58" s="277" t="str">
        <f>IF(C54&gt;0,C54,IF(C55&gt;0,C55,IF(C56&gt;0,C56,IF(C57&gt;0,C57,"REVER"))))</f>
        <v>REVER</v>
      </c>
      <c r="D58" s="22"/>
      <c r="E58" s="289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 t="str">
        <f>IF(E2=B92,"NÃO CABE",IF(E2=B94,"NÃO CABE",IF(E2=B95,"NÃO CABE",IF(E2=B96,"NÃO CABE",IF(C65&gt;0,C65,"NADA A CUMPRIR")))))</f>
        <v>NÃO CABE</v>
      </c>
      <c r="D64" s="198"/>
      <c r="E64" s="199"/>
      <c r="F64" s="200"/>
      <c r="G64" s="198"/>
      <c r="H64" s="201">
        <f>IF($C$64="NÃO CABE",0,IF($C$65&gt;0,ROUNDDOWN($C$65/365,0),0))</f>
        <v>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>
        <f>IF(K2=O2,IF(E2=B97,R123,R122),IF(K2=O3,Q121,IF(K2=O6,Q121,IF(K2=O4,Q120,IF(K2=O5,Q120,IF($K$2=O7,Q124,0))))))</f>
        <v>12775</v>
      </c>
      <c r="D65" s="205"/>
      <c r="E65" s="206"/>
      <c r="F65" s="207"/>
      <c r="G65" s="205"/>
      <c r="H65" s="207">
        <f>IF($C$64="NÃO CABE",0,IF($C$65&gt;0,ROUNDDOWN($C$65/365,0),0))</f>
        <v>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IF($O$10&lt;$D$131,VLOOKUP($E$6,$B$132:$Q$229,3,FALSE),IF($O$10&lt;$E$131,VLOOKUP($E$6,$B$132:$Q$229,4,FALSE),VLOOKUP($E$6,$B$132:$Q$229,5,FALSE)))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$90&lt;=$BC$88,VLOOKUP($C$8,$BB$91:$BH$130,2,FALSE),IF($BC$90&lt;=$BD$88,VLOOKUP($C$8,$BB$91:$BH$130,3,FALSE),IF($BC$90&lt;=$BE$88,VLOOKUP($C$8,$BB$91:$BH$130,4,FALSE),IF($BC$90&lt;=$BF$88,VLOOKUP($C$8,$BB$91:$BH$130,5,FALSE),IF($BC$90&lt;=$BG$88,VLOOKUP($C$8,$BB$91:$BH$130,6,FALSE),VLOOKUP($C$8,$BB$91:$BH$130,7,FALSE))))))</f>
        <v>#N/A</v>
      </c>
      <c r="F68" s="150"/>
      <c r="G68" s="150"/>
      <c r="H68" s="150"/>
      <c r="I68" s="221"/>
      <c r="J68" s="222" t="e">
        <f>IF($BC$87&lt;=$BC$88,VLOOKUP($C$8,$BB$91:$BH$130,2,FALSE),IF($BC$87&lt;=$BD$88,VLOOKUP($C$8,$BB$91:$BH$130,3,FALSE),IF($BC$87&lt;=$BE$88,VLOOKUP($C$8,$BB$91:$BH$130,4,FALSE),IF($BC$87&lt;=$BF$88,VLOOKUP($C$8,$BB$91:$BH$130,5,FALSE),IF($BC$87&lt;=$BG$88,VLOOKUP($C$8,$BB$91:$BH$130,6,FALSE),VLOOKUP($C$8,$BB$91:$BH$130,7,FALSE))))))</f>
        <v>#N/A</v>
      </c>
      <c r="K68" s="150" t="s">
        <v>448</v>
      </c>
      <c r="L68" s="153"/>
      <c r="M68" s="150"/>
      <c r="N68" s="223">
        <f>IF($K$2=$O$2,J102,IF($K$2=$O$3,J103,IF($K$2=$O$4,J104,IF($K$2=$O$5,J105,"NÃO CABE"))))</f>
        <v>0</v>
      </c>
      <c r="O68" s="254" t="str">
        <f>VLOOKUP($E$6,$B$132:$C$229,2,FALSE)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REGRAS ANTES EC20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PROPORCIONAL POR IDADE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IF(K2=O3,IF(M104&gt;=N104,N103,"NÃO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IF($E$2=$L$111,$O$111,IF($E$2=$L$112,$O$112,IF($E$2=$L$113,$O$113,IF($E$2=$L$114,$O$114,IF($E$2=$L$115,$O$115,$O$116)))))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 t="str">
        <f>IF(AND(K2=O2,OR(J8&gt;=36145,J9&gt;=36145)),"INCOMPATÍVEL",C64)</f>
        <v>NÃO CABE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CABE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IF(OR(E6=B200,E6=B212,E6=B223),IF(L212&gt;=25,"FAZ JUS A 1/6 DA REMUNERAÇÃO",IF(L223&gt;=25,"FAZ JUS A 1/6 DA REMUNERAÇÃO",IF(L200&gt;=25,"FAZ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CABE</v>
      </c>
      <c r="N75" s="242"/>
      <c r="O75" s="255" t="str">
        <f>IF($K$2=$O$2,IF($O$10&lt;$Q$15,IF($F$72&lt;180,"NÃO CABE",$O$76),$O$76),$O$76)</f>
        <v>NÃO CABE</v>
      </c>
      <c r="P75" s="129" t="s">
        <v>359</v>
      </c>
      <c r="Q75" s="130"/>
      <c r="R75" s="131"/>
      <c r="S75" s="132">
        <f>IF(ISERROR(HLOOKUP($J$177,$Q$73:$W$74,2)),0,HLOOKUP($J$177,$Q$73:$W$74,2))</f>
        <v>0</v>
      </c>
      <c r="T75" s="133" t="s">
        <v>451</v>
      </c>
      <c r="U75" s="132"/>
      <c r="V75" s="133"/>
      <c r="W75" s="132">
        <f>IF(ISERROR(HLOOKUP($K$177,$Q$73:$W$74,2)),0,HLOOKUP($K$177,$Q$73:$W$74,2))</f>
        <v>0</v>
      </c>
      <c r="X75" s="134" t="s">
        <v>507</v>
      </c>
      <c r="Y75" s="135"/>
      <c r="Z75" s="136"/>
      <c r="AA75" s="134"/>
      <c r="AB75" s="137">
        <f>IF(ISERROR(HLOOKUP($L$177,$Q$73:$W$74,2)),0,HLOOKUP($L$177,$Q$73:$W$74,2))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391" t="str">
        <f>IF($F$72="NADA A CUMPRIR","OK",IF($F$72="NÃO CABE","NÃO CABE","NÃO CUMPRE"))</f>
        <v>NÃO CABE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6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6" si="1">IF(OR($F$72="NADA A CUMPRIR",$F$72="NÃO CABE"),"SIM","NÃO")</f>
        <v>SIM</v>
      </c>
      <c r="I78" s="413" t="str">
        <f>IF(N78="SIM","SIM","NÃO")</f>
        <v>NÃO</v>
      </c>
      <c r="J78" s="414" t="str">
        <f t="shared" ref="J78:J86" si="2">IF(OR($M$73="NÃO CABE",$M$73="ATENDE"),"SIM","NÃO")</f>
        <v>SIM</v>
      </c>
      <c r="K78" s="414" t="str">
        <f t="shared" ref="K78:K86" si="3">IF(OR($M$74="NÃO CABE",$M$74="ATENDE"),"SIM","NÃO")</f>
        <v>SIM</v>
      </c>
      <c r="L78" s="412"/>
      <c r="M78" s="414" t="str">
        <f t="shared" ref="M78:M86" si="4">IF(OR($M$75="ATENDE",$M$75="OK"),"SIM","NÃO")</f>
        <v>NÃO</v>
      </c>
      <c r="N78" s="414" t="str">
        <f t="shared" ref="N78:N86" si="5">IF(AND(C78="SIM",H78="SIM",J78="SIM",K78="SIM",M78="SIM"),"SIM","NÃO")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SIM</v>
      </c>
      <c r="I79" s="413" t="str">
        <f>IF($D$14="X",IF($N$79="SIM","SIM","NÃO"),"NÃO")</f>
        <v>NÃO</v>
      </c>
      <c r="J79" s="414" t="str">
        <f t="shared" si="2"/>
        <v>SIM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SIM</v>
      </c>
      <c r="I80" s="413" t="str">
        <f t="shared" ref="I80:I85" si="6">IF(N80="SIM","SIM","NÃO")</f>
        <v>NÃO</v>
      </c>
      <c r="J80" s="414" t="str">
        <f t="shared" si="2"/>
        <v>SIM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69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SIM</v>
      </c>
      <c r="I81" s="413" t="str">
        <f t="shared" si="6"/>
        <v>NÃO</v>
      </c>
      <c r="J81" s="414" t="str">
        <f t="shared" si="2"/>
        <v>SIM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SIM</v>
      </c>
      <c r="I82" s="413" t="str">
        <f t="shared" si="6"/>
        <v>NÃO</v>
      </c>
      <c r="J82" s="414" t="str">
        <f t="shared" si="2"/>
        <v>SIM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"/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SIM</v>
      </c>
      <c r="I83" s="413" t="str">
        <f t="shared" si="6"/>
        <v>NÃO</v>
      </c>
      <c r="J83" s="414" t="str">
        <f t="shared" si="2"/>
        <v>SIM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"/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6" t="s">
        <v>487</v>
      </c>
      <c r="C84" s="414" t="str">
        <f t="shared" si="0"/>
        <v>NÃO</v>
      </c>
      <c r="D84" s="415"/>
      <c r="E84" s="18" t="s">
        <v>754</v>
      </c>
      <c r="F84" s="631"/>
      <c r="G84" s="18"/>
      <c r="H84" s="414" t="str">
        <f t="shared" si="1"/>
        <v>SIM</v>
      </c>
      <c r="I84" s="413" t="str">
        <f t="shared" si="6"/>
        <v>NÃO</v>
      </c>
      <c r="J84" s="414" t="str">
        <f t="shared" si="2"/>
        <v>SIM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"/>
      <c r="AC84" s="69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624" t="s">
        <v>467</v>
      </c>
      <c r="C85" s="619" t="str">
        <f t="shared" si="0"/>
        <v>NÃO</v>
      </c>
      <c r="D85" s="620"/>
      <c r="E85" s="621" t="s">
        <v>463</v>
      </c>
      <c r="F85" s="622">
        <f>I67</f>
        <v>0</v>
      </c>
      <c r="G85" s="621"/>
      <c r="H85" s="619" t="str">
        <f t="shared" si="1"/>
        <v>SIM</v>
      </c>
      <c r="I85" s="623" t="str">
        <f t="shared" si="6"/>
        <v>NÃO</v>
      </c>
      <c r="J85" s="619" t="str">
        <f t="shared" si="2"/>
        <v>SIM</v>
      </c>
      <c r="K85" s="619" t="str">
        <f t="shared" si="3"/>
        <v>SIM</v>
      </c>
      <c r="L85" s="624"/>
      <c r="M85" s="619" t="str">
        <f>IF(OR($M$75="ATENDE",$M$75="OK",M75="NÃO CABE"),"SIM","NÃO")</f>
        <v>SIM</v>
      </c>
      <c r="N85" s="619" t="str">
        <f>IF($N$8&gt;=36145,"NÃO",IF(AND(C85="SIM",H85="SIM",J85="SIM",K85="SIM",M85="SIM"),"SIM","NÃO"))</f>
        <v>NÃO</v>
      </c>
      <c r="O85" s="2"/>
      <c r="AC85" s="69"/>
      <c r="AD85" s="70"/>
      <c r="AE85" s="70"/>
      <c r="AF85" s="70"/>
      <c r="AG85" s="69"/>
      <c r="AX85" s="11"/>
      <c r="AY85" s="11"/>
      <c r="AZ85" s="11"/>
      <c r="BA85" s="85"/>
    </row>
    <row r="86" spans="1:64" hidden="1" thickBot="1" x14ac:dyDescent="0.2">
      <c r="A86" s="295"/>
      <c r="B86" s="412" t="s">
        <v>467</v>
      </c>
      <c r="C86" s="414" t="str">
        <f t="shared" si="0"/>
        <v>NÃO</v>
      </c>
      <c r="D86" s="415"/>
      <c r="E86" s="18" t="s">
        <v>485</v>
      </c>
      <c r="F86" s="18"/>
      <c r="G86" s="18"/>
      <c r="H86" s="414" t="str">
        <f t="shared" si="1"/>
        <v>SIM</v>
      </c>
      <c r="I86" s="413" t="str">
        <f>IF($D$14="X",IF($N$79="SIM","SIM","NÃO"),"NÃO")</f>
        <v>NÃO</v>
      </c>
      <c r="J86" s="414" t="str">
        <f t="shared" si="2"/>
        <v>SIM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"/>
      <c r="AC86" s="69"/>
      <c r="AD86" s="70"/>
      <c r="AE86" s="70"/>
      <c r="AF86" s="70"/>
      <c r="AG86" s="69"/>
      <c r="AX86" s="11"/>
      <c r="AY86" s="11"/>
      <c r="AZ86" s="11"/>
      <c r="BA86" s="85"/>
    </row>
    <row r="87" spans="1:64" ht="15.95" hidden="1" customHeight="1" thickTop="1" x14ac:dyDescent="0.15">
      <c r="C87" s="21"/>
      <c r="D87" s="21"/>
      <c r="F87" s="5"/>
      <c r="G87" s="5"/>
      <c r="H87" s="5"/>
      <c r="I87" s="5"/>
      <c r="J87" s="5"/>
      <c r="K87" s="5"/>
      <c r="L87" s="5"/>
      <c r="M87" s="2"/>
      <c r="N87" s="5"/>
      <c r="O87" s="255"/>
      <c r="AC87" s="69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Z87" s="11"/>
      <c r="BA87" s="85"/>
      <c r="BB87" s="686"/>
      <c r="BC87" s="687">
        <f>SUM(F30:F32)</f>
        <v>0</v>
      </c>
      <c r="BD87" s="687"/>
      <c r="BE87" s="687"/>
      <c r="BF87" s="688"/>
      <c r="BG87" s="688"/>
      <c r="BH87" s="688"/>
      <c r="BI87" s="688" t="s">
        <v>361</v>
      </c>
      <c r="BJ87" s="689" t="s">
        <v>362</v>
      </c>
      <c r="BK87" s="690" t="s">
        <v>362</v>
      </c>
      <c r="BL87" s="691" t="s">
        <v>363</v>
      </c>
    </row>
    <row r="88" spans="1:64" ht="15.95" hidden="1" customHeight="1" thickBot="1" x14ac:dyDescent="0.2">
      <c r="C88" s="21"/>
      <c r="D88" s="21"/>
      <c r="G88" s="5"/>
      <c r="H88" s="5"/>
      <c r="I88" s="5"/>
      <c r="J88" s="5"/>
      <c r="K88" s="5"/>
      <c r="L88" s="5"/>
      <c r="M88" s="2"/>
      <c r="N88" s="5"/>
      <c r="O88" s="255"/>
      <c r="AC88" s="69"/>
      <c r="AD88" s="70"/>
      <c r="AE88" s="70"/>
      <c r="AF88" s="70"/>
      <c r="AG88" s="69"/>
      <c r="AZ88" s="11"/>
      <c r="BA88" s="85"/>
      <c r="BB88" s="692" t="s">
        <v>364</v>
      </c>
      <c r="BC88" s="693">
        <v>5</v>
      </c>
      <c r="BD88" s="693">
        <v>10</v>
      </c>
      <c r="BE88" s="693">
        <v>15</v>
      </c>
      <c r="BF88" s="693">
        <v>20</v>
      </c>
      <c r="BG88" s="694">
        <v>25</v>
      </c>
      <c r="BH88" s="694" t="s">
        <v>365</v>
      </c>
      <c r="BI88" s="695" t="s">
        <v>366</v>
      </c>
      <c r="BJ88" s="696" t="s">
        <v>367</v>
      </c>
      <c r="BK88" s="697">
        <v>34820</v>
      </c>
      <c r="BL88" s="698">
        <v>34851</v>
      </c>
    </row>
    <row r="89" spans="1:64" ht="15.95" hidden="1" customHeight="1" thickBot="1" x14ac:dyDescent="0.2">
      <c r="B89" s="88" t="s">
        <v>449</v>
      </c>
      <c r="C89" s="89"/>
      <c r="D89" s="97" t="s">
        <v>546</v>
      </c>
      <c r="E89" s="98"/>
      <c r="F89" s="99"/>
      <c r="G89" s="5"/>
      <c r="H89" s="5"/>
      <c r="I89" s="5"/>
      <c r="J89" s="5"/>
      <c r="K89" s="5"/>
      <c r="L89" s="5"/>
      <c r="M89" s="2"/>
      <c r="N89" s="5"/>
      <c r="O89" s="255"/>
      <c r="AC89" s="69"/>
      <c r="AD89" s="70"/>
      <c r="AE89" s="70"/>
      <c r="AF89" s="70"/>
      <c r="AG89" s="69"/>
      <c r="AZ89" s="11"/>
      <c r="BA89" s="85"/>
      <c r="BB89" s="692"/>
      <c r="BC89" s="693"/>
      <c r="BD89" s="693"/>
      <c r="BE89" s="693"/>
      <c r="BF89" s="693"/>
      <c r="BG89" s="694"/>
      <c r="BH89" s="694"/>
      <c r="BI89" s="695"/>
      <c r="BJ89" s="696"/>
      <c r="BK89" s="697"/>
      <c r="BL89" s="698"/>
    </row>
    <row r="90" spans="1:64" ht="15.95" hidden="1" customHeight="1" thickBot="1" x14ac:dyDescent="0.2">
      <c r="B90" s="91" t="s">
        <v>450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C90" s="69"/>
      <c r="AD90" s="21"/>
      <c r="AE90" s="21"/>
      <c r="AF90" s="21"/>
      <c r="AZ90" s="11"/>
      <c r="BA90" s="85"/>
      <c r="BB90" s="699"/>
      <c r="BC90" s="700">
        <f>(BC87+F45+F59)/365</f>
        <v>0</v>
      </c>
      <c r="BD90" s="701"/>
      <c r="BE90" s="701"/>
      <c r="BF90" s="701"/>
      <c r="BG90" s="701"/>
      <c r="BH90" s="701"/>
      <c r="BI90" s="702">
        <v>0.45</v>
      </c>
      <c r="BJ90" s="703"/>
      <c r="BK90" s="704"/>
      <c r="BL90" s="705" t="s">
        <v>368</v>
      </c>
    </row>
    <row r="91" spans="1:64" ht="15.95" hidden="1" customHeight="1" x14ac:dyDescent="0.15">
      <c r="B91" s="91" t="s">
        <v>455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06" t="s">
        <v>369</v>
      </c>
      <c r="BC91" s="707" t="s">
        <v>370</v>
      </c>
      <c r="BD91" s="708" t="s">
        <v>371</v>
      </c>
      <c r="BE91" s="708" t="s">
        <v>372</v>
      </c>
      <c r="BF91" s="708" t="s">
        <v>373</v>
      </c>
      <c r="BG91" s="708" t="s">
        <v>374</v>
      </c>
      <c r="BH91" s="709" t="s">
        <v>375</v>
      </c>
      <c r="BI91" s="710" t="e">
        <f>#REF!*1.45</f>
        <v>#REF!</v>
      </c>
      <c r="BJ91" s="711">
        <v>80.64</v>
      </c>
      <c r="BK91" s="712">
        <v>100</v>
      </c>
      <c r="BL91" s="713">
        <v>112</v>
      </c>
    </row>
    <row r="92" spans="1:64" ht="15.95" hidden="1" customHeight="1" x14ac:dyDescent="0.15">
      <c r="B92" s="91" t="s">
        <v>467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376</v>
      </c>
      <c r="BC92" s="715" t="s">
        <v>370</v>
      </c>
      <c r="BD92" s="716" t="s">
        <v>371</v>
      </c>
      <c r="BE92" s="716" t="s">
        <v>372</v>
      </c>
      <c r="BF92" s="716" t="s">
        <v>373</v>
      </c>
      <c r="BG92" s="716" t="s">
        <v>374</v>
      </c>
      <c r="BH92" s="717" t="s">
        <v>375</v>
      </c>
      <c r="BI92" s="718" t="e">
        <f>#REF!*1.45</f>
        <v>#REF!</v>
      </c>
      <c r="BJ92" s="719">
        <v>90.32</v>
      </c>
      <c r="BK92" s="720">
        <v>100</v>
      </c>
      <c r="BL92" s="721">
        <v>125.44</v>
      </c>
    </row>
    <row r="93" spans="1:64" ht="15.95" hidden="1" customHeight="1" x14ac:dyDescent="0.15">
      <c r="B93" s="91" t="s">
        <v>468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377</v>
      </c>
      <c r="BC93" s="715" t="s">
        <v>371</v>
      </c>
      <c r="BD93" s="716" t="s">
        <v>372</v>
      </c>
      <c r="BE93" s="716" t="s">
        <v>373</v>
      </c>
      <c r="BF93" s="716" t="s">
        <v>374</v>
      </c>
      <c r="BG93" s="716" t="s">
        <v>375</v>
      </c>
      <c r="BH93" s="717" t="s">
        <v>378</v>
      </c>
      <c r="BI93" s="718" t="e">
        <f>#REF!*1.45</f>
        <v>#REF!</v>
      </c>
      <c r="BJ93" s="719">
        <v>101.15</v>
      </c>
      <c r="BK93" s="720">
        <v>101.15</v>
      </c>
      <c r="BL93" s="721">
        <v>140.4</v>
      </c>
    </row>
    <row r="94" spans="1:64" ht="15.95" hidden="1" customHeight="1" x14ac:dyDescent="0.15">
      <c r="B94" s="91" t="s">
        <v>470</v>
      </c>
      <c r="C94" s="90"/>
      <c r="D94" s="90"/>
      <c r="E94" s="90"/>
      <c r="F94" s="92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379</v>
      </c>
      <c r="BC94" s="715" t="s">
        <v>371</v>
      </c>
      <c r="BD94" s="716" t="s">
        <v>372</v>
      </c>
      <c r="BE94" s="716" t="s">
        <v>373</v>
      </c>
      <c r="BF94" s="716" t="s">
        <v>374</v>
      </c>
      <c r="BG94" s="716" t="s">
        <v>375</v>
      </c>
      <c r="BH94" s="717" t="s">
        <v>378</v>
      </c>
      <c r="BI94" s="718" t="e">
        <f>#REF!*1.45</f>
        <v>#REF!</v>
      </c>
      <c r="BJ94" s="719">
        <v>113.29</v>
      </c>
      <c r="BK94" s="720">
        <v>113.29</v>
      </c>
      <c r="BL94" s="721">
        <v>157.35</v>
      </c>
    </row>
    <row r="95" spans="1:64" ht="15.95" hidden="1" customHeight="1" x14ac:dyDescent="0.15">
      <c r="B95" s="91" t="s">
        <v>471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380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 t="e">
        <f>#REF!*1.45</f>
        <v>#REF!</v>
      </c>
      <c r="BJ95" s="719">
        <v>126.89</v>
      </c>
      <c r="BK95" s="720">
        <v>129.88999999999999</v>
      </c>
      <c r="BL95" s="721">
        <v>176.23</v>
      </c>
    </row>
    <row r="96" spans="1:64" ht="15.95" hidden="1" customHeight="1" x14ac:dyDescent="0.15">
      <c r="B96" s="93" t="s">
        <v>472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328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A129*1.45</f>
        <v>0</v>
      </c>
      <c r="BJ96" s="719">
        <v>80.64</v>
      </c>
      <c r="BK96" s="720">
        <v>100</v>
      </c>
      <c r="BL96" s="721">
        <v>112</v>
      </c>
    </row>
    <row r="97" spans="2:64" ht="15.95" hidden="1" customHeight="1" x14ac:dyDescent="0.15">
      <c r="B97" s="93" t="s">
        <v>487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382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A130*1.45</f>
        <v>0</v>
      </c>
      <c r="BJ97" s="719">
        <v>90.32</v>
      </c>
      <c r="BK97" s="720">
        <v>100</v>
      </c>
      <c r="BL97" s="721">
        <v>125.44</v>
      </c>
    </row>
    <row r="98" spans="2:64" ht="15.95" hidden="1" customHeight="1" thickBot="1" x14ac:dyDescent="0.2">
      <c r="B98" s="94" t="s">
        <v>484</v>
      </c>
      <c r="C98" s="95"/>
      <c r="D98" s="95"/>
      <c r="E98" s="95"/>
      <c r="F98" s="96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383</v>
      </c>
      <c r="BC98" s="715" t="s">
        <v>372</v>
      </c>
      <c r="BD98" s="716" t="s">
        <v>373</v>
      </c>
      <c r="BE98" s="716" t="s">
        <v>374</v>
      </c>
      <c r="BF98" s="716" t="s">
        <v>375</v>
      </c>
      <c r="BG98" s="716" t="s">
        <v>378</v>
      </c>
      <c r="BH98" s="717" t="s">
        <v>381</v>
      </c>
      <c r="BI98" s="718">
        <f>A131*1.45</f>
        <v>0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30"/>
      <c r="C99" s="5"/>
      <c r="D99" s="5"/>
      <c r="E99" s="5"/>
      <c r="F99" s="5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384</v>
      </c>
      <c r="BC99" s="715" t="s">
        <v>372</v>
      </c>
      <c r="BD99" s="716" t="s">
        <v>373</v>
      </c>
      <c r="BE99" s="716" t="s">
        <v>374</v>
      </c>
      <c r="BF99" s="716" t="s">
        <v>375</v>
      </c>
      <c r="BG99" s="716" t="s">
        <v>378</v>
      </c>
      <c r="BH99" s="717" t="s">
        <v>381</v>
      </c>
      <c r="BI99" s="718">
        <f>A132*1.45</f>
        <v>1.45</v>
      </c>
      <c r="BJ99" s="719">
        <v>113.29</v>
      </c>
      <c r="BK99" s="720">
        <v>113.29</v>
      </c>
      <c r="BL99" s="721">
        <v>157.35</v>
      </c>
    </row>
    <row r="100" spans="2:64" ht="13.5" hidden="1" x14ac:dyDescent="0.15">
      <c r="B100" s="30"/>
      <c r="C100" s="5"/>
      <c r="D100" s="5"/>
      <c r="E100" s="5"/>
      <c r="F100" s="5"/>
      <c r="G100" s="5"/>
      <c r="H100" s="5"/>
      <c r="I100" s="5"/>
      <c r="J100" s="74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385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>
        <f>A132*1.45</f>
        <v>1.45</v>
      </c>
      <c r="BJ100" s="719">
        <v>126.89</v>
      </c>
      <c r="BK100" s="720">
        <v>126.89</v>
      </c>
      <c r="BL100" s="721">
        <v>176.23</v>
      </c>
    </row>
    <row r="101" spans="2:64" ht="13.5" hidden="1" x14ac:dyDescent="0.15">
      <c r="B101" s="1849" t="s">
        <v>508</v>
      </c>
      <c r="C101" s="1849"/>
      <c r="D101" s="1849"/>
      <c r="E101" s="1849"/>
      <c r="H101" s="5"/>
      <c r="I101" s="37"/>
      <c r="J101" s="5"/>
      <c r="K101" s="27"/>
      <c r="L101" s="6"/>
      <c r="M101" s="27"/>
      <c r="N101" s="60"/>
      <c r="O101" s="255"/>
      <c r="AD101" s="70"/>
      <c r="AE101" s="70"/>
      <c r="AF101" s="70"/>
      <c r="AG101" s="69"/>
      <c r="AZ101" s="11"/>
      <c r="BA101" s="85"/>
      <c r="BB101" s="714" t="s">
        <v>386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A133*1.45</f>
        <v>2.9</v>
      </c>
      <c r="BJ101" s="719">
        <v>126.89</v>
      </c>
      <c r="BK101" s="720">
        <v>126.89</v>
      </c>
      <c r="BL101" s="721">
        <v>176.23</v>
      </c>
    </row>
    <row r="102" spans="2:64" hidden="1" thickBot="1" x14ac:dyDescent="0.2">
      <c r="B102" s="34" t="s">
        <v>463</v>
      </c>
      <c r="C102" s="17"/>
      <c r="D102" s="21"/>
      <c r="E102" s="36"/>
      <c r="F102" s="5"/>
      <c r="G102" s="28"/>
      <c r="H102" s="5"/>
      <c r="I102" s="17" t="s">
        <v>463</v>
      </c>
      <c r="J102" s="5">
        <f>IF(E2=B92,H103,IF(E2=B94,H103,IF(E2=B96,H103,IF(E2=B97,H103,"NÃO CABE"))))</f>
        <v>0</v>
      </c>
      <c r="K102" s="27"/>
      <c r="L102" s="6" t="s">
        <v>510</v>
      </c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Z102" s="11"/>
      <c r="BA102" s="85"/>
      <c r="BB102" s="714" t="s">
        <v>387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 t="e">
        <f>A134*1.45</f>
        <v>#VALUE!</v>
      </c>
      <c r="BJ102" s="719">
        <v>142.12</v>
      </c>
      <c r="BK102" s="720">
        <v>142.12</v>
      </c>
      <c r="BL102" s="721">
        <v>197.38</v>
      </c>
    </row>
    <row r="103" spans="2:64" hidden="1" thickBot="1" x14ac:dyDescent="0.2">
      <c r="B103" s="34" t="s">
        <v>485</v>
      </c>
      <c r="C103" s="17"/>
      <c r="D103" s="16"/>
      <c r="E103" s="57">
        <f>IF($F$103="NÃO CABE","NÃO CABE",IF($G$10="X",$F$103/30,$F$103/35))</f>
        <v>0</v>
      </c>
      <c r="F103" s="10">
        <f>IF(E2="VOLUNTÁRIA ESPECIAL","NÃO CABE",IF(E2="VOLUNTÁRIA INTEGRAL","NÃO CABE",IF(E2="COMPULSÓRIA INTEGRAL","NÃO CABE",IF(E2="INVALIDEZ INTEGRAL","NÃO CABE",ROUNDDOWN(F61/365,0)))))</f>
        <v>0</v>
      </c>
      <c r="G103" s="28"/>
      <c r="H103" s="14">
        <f>IF(E103&gt;1,1,E103)</f>
        <v>0</v>
      </c>
      <c r="I103" s="17" t="s">
        <v>485</v>
      </c>
      <c r="J103" s="5">
        <f>IF($E$2=$B$92,H103,IF($E$2=$B$94,H103,IF($E$2=$B$96,H103,"NÃO CABE")))</f>
        <v>0</v>
      </c>
      <c r="K103" s="27"/>
      <c r="L103" s="57">
        <f>IF($F$103="NÃO CABE","NÃO CABE",IF($G$10="X",$F$61/10950,$F$61/12775))</f>
        <v>0</v>
      </c>
      <c r="M103" s="14">
        <f>IF(L103&gt;1,1,L103)</f>
        <v>0</v>
      </c>
      <c r="N103" s="5">
        <f>IF($E$2=$B$92,M103,IF($E$2=$B$94,M103,IF($E$2=$B$96,M103,"NÃO CABE")))</f>
        <v>0</v>
      </c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Z103" s="11"/>
      <c r="BA103" s="85"/>
      <c r="BB103" s="714" t="s">
        <v>389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A136*1.45</f>
        <v>5.8</v>
      </c>
      <c r="BJ103" s="719">
        <v>90.32</v>
      </c>
      <c r="BK103" s="720">
        <v>100</v>
      </c>
      <c r="BL103" s="721">
        <v>125.44</v>
      </c>
    </row>
    <row r="104" spans="2:64" hidden="1" thickBot="1" x14ac:dyDescent="0.2">
      <c r="B104" s="34" t="s">
        <v>476</v>
      </c>
      <c r="C104" s="17"/>
      <c r="D104" s="16"/>
      <c r="E104" s="58" t="str">
        <f>IF(E2=B97,IF(C65&gt;0,"TEMPO A CUMPRIR",IF(F104=1,75%,IF(F104=2,80%,IF(F104=3,85%,IF(F104=4,90%,IF(F104=5,95%,IF(F104&gt;=6,100%,70%))))))),"NÃO CABE")</f>
        <v>NÃO CABE</v>
      </c>
      <c r="F104" s="10">
        <f>IF(G10="X",ROUNDDOWN((F61-(25*365+E43))/365,0),ROUNDDOWN((F61-(30*365+E43))/365,0))</f>
        <v>-30</v>
      </c>
      <c r="G104" s="28"/>
      <c r="I104" s="17" t="s">
        <v>476</v>
      </c>
      <c r="J104" s="5" t="str">
        <f>IF(E2=B97,E104,"NÃO CABE")</f>
        <v>NÃO CABE</v>
      </c>
      <c r="K104" s="27"/>
      <c r="L104" s="65"/>
      <c r="M104" s="66">
        <f>O10</f>
        <v>0</v>
      </c>
      <c r="N104" s="60">
        <v>38037</v>
      </c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Z104" s="11"/>
      <c r="BA104" s="85"/>
      <c r="BB104" s="714" t="s">
        <v>390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/>
      <c r="BJ104" s="719"/>
      <c r="BK104" s="720"/>
      <c r="BL104" s="721"/>
    </row>
    <row r="105" spans="2:64" hidden="1" thickBot="1" x14ac:dyDescent="0.2">
      <c r="B105" s="35" t="s">
        <v>464</v>
      </c>
      <c r="C105" s="33"/>
      <c r="D105" s="16"/>
      <c r="E105" s="36" t="s">
        <v>457</v>
      </c>
      <c r="F105" s="5">
        <f>IF($D$12="X",50-$N$11,55-$N$11)</f>
        <v>55</v>
      </c>
      <c r="G105" s="28"/>
      <c r="H105" s="59" t="str">
        <f>IF($G$10="X",IF($O$9&gt;=17532,IF($O$10&gt;=38718,1-($F$105*0.05),1-($F$105*0.035)),"NÃO CABE"),IF($O$9&gt;=19359,IF($O$10&gt;=38718,1-($F$106*0.05),1-($F$106*0.035)),"NÃO CABE"))</f>
        <v>NÃO CABE</v>
      </c>
      <c r="I105" s="33" t="s">
        <v>464</v>
      </c>
      <c r="J105" s="61" t="str">
        <f>IF(E2=B98,H106,"NÃO CABE")</f>
        <v>NÃO CABE</v>
      </c>
      <c r="K105" s="27"/>
      <c r="L105" s="6"/>
      <c r="M105" s="27"/>
      <c r="N105" s="60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391</v>
      </c>
      <c r="BC105" s="715" t="s">
        <v>373</v>
      </c>
      <c r="BD105" s="716" t="s">
        <v>374</v>
      </c>
      <c r="BE105" s="716" t="s">
        <v>375</v>
      </c>
      <c r="BF105" s="716" t="s">
        <v>378</v>
      </c>
      <c r="BG105" s="716" t="s">
        <v>381</v>
      </c>
      <c r="BH105" s="717" t="s">
        <v>388</v>
      </c>
      <c r="BI105" s="718" t="e">
        <f>A138*1.45</f>
        <v>#VALUE!</v>
      </c>
      <c r="BJ105" s="719">
        <v>101.15</v>
      </c>
      <c r="BK105" s="720">
        <v>101.15</v>
      </c>
      <c r="BL105" s="721">
        <v>140.4</v>
      </c>
    </row>
    <row r="106" spans="2:64" ht="13.5" hidden="1" x14ac:dyDescent="0.15">
      <c r="B106" s="39">
        <v>38717</v>
      </c>
      <c r="C106" s="11">
        <v>38717</v>
      </c>
      <c r="D106" s="16"/>
      <c r="E106" s="36" t="s">
        <v>456</v>
      </c>
      <c r="F106" s="5">
        <f>IF($D$12="X",55-$N$11,60-$N$11)</f>
        <v>60</v>
      </c>
      <c r="G106" s="28"/>
      <c r="H106" s="14">
        <f>IF(H105="NÃO CABE",0,IF(H105&gt;1,1,H105))</f>
        <v>0</v>
      </c>
      <c r="I106" s="18"/>
      <c r="J106" s="5"/>
      <c r="K106" s="27"/>
      <c r="L106" s="6"/>
      <c r="M106" s="27"/>
      <c r="N106" s="60"/>
      <c r="O106" s="255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S106" s="69"/>
      <c r="AX106" s="11"/>
      <c r="AY106" s="11"/>
      <c r="AZ106" s="11"/>
      <c r="BA106" s="85"/>
      <c r="BB106" s="714" t="s">
        <v>392</v>
      </c>
      <c r="BC106" s="715" t="s">
        <v>373</v>
      </c>
      <c r="BD106" s="716" t="s">
        <v>374</v>
      </c>
      <c r="BE106" s="716" t="s">
        <v>375</v>
      </c>
      <c r="BF106" s="716" t="s">
        <v>378</v>
      </c>
      <c r="BG106" s="716" t="s">
        <v>381</v>
      </c>
      <c r="BH106" s="717" t="s">
        <v>388</v>
      </c>
      <c r="BI106" s="718"/>
      <c r="BJ106" s="719"/>
      <c r="BK106" s="720"/>
      <c r="BL106" s="721"/>
    </row>
    <row r="107" spans="2:64" ht="13.5" hidden="1" x14ac:dyDescent="0.15">
      <c r="B107" s="39">
        <v>38718</v>
      </c>
      <c r="C107" s="11">
        <v>38718</v>
      </c>
      <c r="D107" s="8"/>
      <c r="E107" s="63"/>
      <c r="F107" s="6"/>
      <c r="G107" s="6"/>
      <c r="H107" s="6"/>
      <c r="I107" s="18"/>
      <c r="J107" s="9"/>
      <c r="K107" s="5"/>
      <c r="L107" s="6"/>
      <c r="M107" s="10"/>
      <c r="N107" s="11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393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>
        <f>A139*1.45</f>
        <v>8.6999999999999993</v>
      </c>
      <c r="BJ107" s="719">
        <v>113.29</v>
      </c>
      <c r="BK107" s="720">
        <v>113.29</v>
      </c>
      <c r="BL107" s="721">
        <v>157.35</v>
      </c>
    </row>
    <row r="108" spans="2:64" ht="13.5" hidden="1" x14ac:dyDescent="0.15">
      <c r="B108" s="62"/>
      <c r="C108" s="38">
        <v>38097</v>
      </c>
      <c r="D108" s="8"/>
      <c r="E108" s="5"/>
      <c r="F108" s="6"/>
      <c r="G108" s="6"/>
      <c r="H108" s="6"/>
      <c r="I108" s="6"/>
      <c r="J108" s="9"/>
      <c r="K108" s="5"/>
      <c r="L108" s="6"/>
      <c r="M108" s="10"/>
      <c r="N108" s="11"/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394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A140*1.45</f>
        <v>10.15</v>
      </c>
      <c r="BJ108" s="719">
        <v>113.29</v>
      </c>
      <c r="BK108" s="720">
        <v>113.29</v>
      </c>
      <c r="BL108" s="721">
        <v>157.35</v>
      </c>
    </row>
    <row r="109" spans="2:64" ht="13.5" hidden="1" x14ac:dyDescent="0.15">
      <c r="B109" s="6"/>
      <c r="C109" s="38"/>
      <c r="D109" s="8"/>
      <c r="E109" s="5"/>
      <c r="F109" s="6"/>
      <c r="G109" s="6"/>
      <c r="H109" s="6"/>
      <c r="I109" s="6"/>
      <c r="J109" s="9"/>
      <c r="K109" s="5"/>
      <c r="L109" s="6"/>
      <c r="M109" s="10"/>
      <c r="N109" s="11"/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14" t="s">
        <v>395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1849" t="s">
        <v>477</v>
      </c>
      <c r="C110" s="1849"/>
      <c r="D110" s="1849"/>
      <c r="E110" s="1849"/>
      <c r="F110" s="1849"/>
      <c r="G110" s="1849"/>
      <c r="H110" s="1849"/>
      <c r="I110" s="1849"/>
      <c r="J110" s="1849"/>
      <c r="K110" s="1849" t="s">
        <v>477</v>
      </c>
      <c r="L110" s="1849"/>
      <c r="M110" s="1849"/>
      <c r="N110" s="1849"/>
      <c r="O110" s="1849"/>
      <c r="P110" s="1849"/>
      <c r="Q110" s="1849"/>
      <c r="R110" s="1849"/>
      <c r="S110" s="1849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399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13.049999999999999</v>
      </c>
      <c r="BJ110" s="719">
        <v>126.89</v>
      </c>
      <c r="BK110" s="720">
        <v>126.89</v>
      </c>
      <c r="BL110" s="721">
        <v>176.23</v>
      </c>
    </row>
    <row r="111" spans="2:64" ht="13.5" hidden="1" x14ac:dyDescent="0.15">
      <c r="B111" s="19" t="s">
        <v>480</v>
      </c>
      <c r="C111" s="8"/>
      <c r="D111" s="8"/>
      <c r="E111" s="5"/>
      <c r="F111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1" t="s">
        <v>450</v>
      </c>
      <c r="M111" s="10"/>
      <c r="N111" s="11"/>
      <c r="O111" s="255" t="b">
        <f>IF(E2=L111,IF(K2=O3,F111,IF(K2=O4,F113,IF(K2=O6,F111,IF(K2=O7,F112,IF(K2=O2,"NADA A CRITICAR","REANALISAR FUNDAMENTAÇÃO E/OU MODALIDADE"))))))</f>
        <v>0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400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/>
      <c r="BJ111" s="719"/>
      <c r="BK111" s="720"/>
      <c r="BL111" s="721"/>
    </row>
    <row r="112" spans="2:64" ht="13.5" hidden="1" x14ac:dyDescent="0.15">
      <c r="B112" s="6" t="s">
        <v>481</v>
      </c>
      <c r="D112" s="10"/>
      <c r="E112" s="11"/>
      <c r="F112" s="6" t="str">
        <f>IF(G10="X",IF(O9&gt;=I125,"ATENDE LIMITE MÍNIMO DE IDADE","NÃO ATENDE LIMITE MÍNIMO DE IDADE"),IF(O9&gt;=J125,"ATENDE LIMITE MÍNIMO DE IDADE","NÃO ATENDE LIMITE MÍNIMO DE IDADE"))</f>
        <v>NÃO ATENDE LIMITE MÍNIMO DE IDADE</v>
      </c>
      <c r="G112" s="6"/>
      <c r="H112" s="6"/>
      <c r="I112" s="6"/>
      <c r="J112" s="9"/>
      <c r="L112" s="41" t="s">
        <v>455</v>
      </c>
      <c r="O112" s="255" t="str">
        <f>IF(E2=L112,IF(K2=O3,F114,IF(K2=O4,F117,IF(K2=O6,F114,IF(K2=O2,"NADA A CRITICAR","REANALISAR FUNDAMENTAÇÃO E/OU MODALIDADE")))),"REANALISAR FUNDAMENTAÇÃO E/OU MODALIDADE")</f>
        <v>REANALISAR FUNDAMENTAÇÃO E/OU MODALIDADE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401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>
        <f>A145*1.45</f>
        <v>15.95</v>
      </c>
      <c r="BJ112" s="719">
        <v>142.12</v>
      </c>
      <c r="BK112" s="720">
        <v>142.12</v>
      </c>
      <c r="BL112" s="721">
        <v>197.38</v>
      </c>
    </row>
    <row r="113" spans="2:64" ht="13.5" hidden="1" x14ac:dyDescent="0.15">
      <c r="B113" s="20" t="s">
        <v>482</v>
      </c>
      <c r="F113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3" s="5"/>
      <c r="L113" s="41" t="s">
        <v>467</v>
      </c>
      <c r="O113" s="254" t="str">
        <f>IF(E2=L113,IF(K2=O3,F115,IF(K2=O2,F115,"REANALISAR FUNDAMENTAÇÃO E/OU MODALIDADE")),"REANALISAR FUNDAMENTAÇÃO E/OU MODALIDADE")</f>
        <v>NÃO ATENDE LIMITE MÍNIMO DE IDADE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2" t="s">
        <v>402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2:64" ht="13.5" hidden="1" x14ac:dyDescent="0.15">
      <c r="B114" s="6" t="s">
        <v>478</v>
      </c>
      <c r="C114" s="8"/>
      <c r="D114" s="8"/>
      <c r="E114" s="5"/>
      <c r="F114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4" s="6"/>
      <c r="H114" s="6"/>
      <c r="I114" s="6"/>
      <c r="J114" s="9"/>
      <c r="K114" s="5"/>
      <c r="L114" s="11" t="s">
        <v>487</v>
      </c>
      <c r="M114" s="10"/>
      <c r="N114" s="11"/>
      <c r="O114" s="255" t="str">
        <f>IF(E2=L114,IF(K2=O4,F116,IF(K2=O2,"NADA A CRITICAR","REANALISAR FUNDAMENTAÇÃO E/OU MODALIDADE")),"REANALISAR FUNDAMENTAÇÃO E/OU MODALIDADE")</f>
        <v>REANALISAR FUNDAMENTAÇÃO E/OU MODALIDADE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403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>
        <f>A147*1.45</f>
        <v>18.849999999999998</v>
      </c>
      <c r="BJ114" s="719">
        <v>159.16999999999999</v>
      </c>
      <c r="BK114" s="720">
        <v>159.16999999999999</v>
      </c>
      <c r="BL114" s="721">
        <v>221.06</v>
      </c>
    </row>
    <row r="115" spans="2:64" ht="13.5" hidden="1" x14ac:dyDescent="0.15">
      <c r="B115" s="6" t="s">
        <v>479</v>
      </c>
      <c r="C115" s="8"/>
      <c r="D115" s="8"/>
      <c r="E115" s="5"/>
      <c r="F115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5" s="6"/>
      <c r="H115" s="6"/>
      <c r="I115" s="6"/>
      <c r="J115" s="9"/>
      <c r="K115" s="5"/>
      <c r="L115" s="42" t="s">
        <v>484</v>
      </c>
      <c r="M115" s="10"/>
      <c r="N115" s="11"/>
      <c r="O115" s="255" t="str">
        <f>IF(E2=L115,IF(K2=O5,F113,"REANALISAR FUNDAMENTAÇÃO E/OU MODALIDADE"),"REANALISAR FUNDAMENTAÇÃO E/OU MODALIDADE")</f>
        <v>REANALISAR FUNDAMENTAÇÃO E/OU MODALIDADE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404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20.3</v>
      </c>
      <c r="BJ115" s="719">
        <v>101.15</v>
      </c>
      <c r="BK115" s="720">
        <v>101.15</v>
      </c>
      <c r="BL115" s="721">
        <v>140.4</v>
      </c>
    </row>
    <row r="116" spans="2:64" hidden="1" x14ac:dyDescent="0.15">
      <c r="B116" s="20" t="s">
        <v>483</v>
      </c>
      <c r="C116" s="43"/>
      <c r="D116" s="43"/>
      <c r="E116" s="44"/>
      <c r="F116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6" s="44"/>
      <c r="H116" s="44"/>
      <c r="I116" s="44"/>
      <c r="J116" s="44"/>
      <c r="K116" s="45"/>
      <c r="L116" s="46" t="s">
        <v>488</v>
      </c>
      <c r="M116" s="46"/>
      <c r="N116" s="47"/>
      <c r="O116" s="255" t="str">
        <f>IF($K$2=$O$2,IF($E$2=$B$93,$F$118,IF(E2=$B$94,$F$118,IF($E$2=$B$95,"EX OFFICIO",IF($E$2=$B$96,"EX OFFICIO","REANALISAR FUNDAMENTAÇÃO E/OU MODALIDADE")))),IF($K$2=$O$3,IF($E$2=$B$93,$F$118,IF($E$2=$B$94,$F$118,IF($E$2=$B$95,"EX OFFICIO",IF($E$2=$B$96,"EX OFFICIO","REANALISAR FUNDAMENTAÇÃO E/OU MODADALIDADE"))))))</f>
        <v>REANALISAR FUNDAMENTAÇÃO E/OU MODALIDADE</v>
      </c>
      <c r="P116" s="3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405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20" t="s">
        <v>486</v>
      </c>
      <c r="C117" s="43"/>
      <c r="D117" s="43"/>
      <c r="E117" s="44"/>
      <c r="F117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7" s="44"/>
      <c r="H117" s="44"/>
      <c r="I117" s="44"/>
      <c r="J117" s="44"/>
      <c r="K117" s="46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406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2:64" ht="13.5" hidden="1" x14ac:dyDescent="0.15">
      <c r="B118" s="44" t="s">
        <v>503</v>
      </c>
      <c r="C118" s="43"/>
      <c r="D118" s="43"/>
      <c r="E118" s="44"/>
      <c r="F118" s="44" t="str">
        <f>IF($N$11&gt;=70,"ATENDE LIMITE MÍNIMO DE IDADE","NÃO ATENDE LIMITE MÍNIMO DE IDADE")</f>
        <v>NÃO ATENDE LIMITE MÍNIMO DE IDADE</v>
      </c>
      <c r="G118" s="44"/>
      <c r="H118" s="44"/>
      <c r="I118" s="44"/>
      <c r="J118" s="44"/>
      <c r="K118" s="46"/>
      <c r="L118" s="48"/>
      <c r="M118" s="48"/>
      <c r="N118" s="47"/>
      <c r="O118" s="255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3" t="s">
        <v>407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44"/>
      <c r="C119" s="43"/>
      <c r="D119" s="43"/>
      <c r="E119" s="44"/>
      <c r="F119" s="44"/>
      <c r="G119" s="44"/>
      <c r="H119" s="44"/>
      <c r="I119" s="44"/>
      <c r="J119" s="44"/>
      <c r="K119" s="46"/>
      <c r="L119" s="49" t="s">
        <v>498</v>
      </c>
      <c r="M119" s="11"/>
      <c r="N119" s="11"/>
      <c r="O119" s="255"/>
      <c r="P119" s="79"/>
      <c r="Q119" s="79"/>
      <c r="R119" s="79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23" t="s">
        <v>408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2:64" ht="13.5" hidden="1" x14ac:dyDescent="0.15">
      <c r="B120" s="50"/>
      <c r="C120" s="50"/>
      <c r="D120" s="50"/>
      <c r="E120" s="50"/>
      <c r="F120" s="50"/>
      <c r="G120" s="50"/>
      <c r="H120" s="50"/>
      <c r="I120" s="50"/>
      <c r="J120" s="50"/>
      <c r="K120" s="51"/>
      <c r="L120" s="11" t="s">
        <v>499</v>
      </c>
      <c r="M120" s="11"/>
      <c r="N120" s="11"/>
      <c r="O120" s="255"/>
      <c r="P120" s="79"/>
      <c r="Q120" s="86" t="b">
        <f>IF(K2=O4,IF(E2=B90,R120,IF(E2=B91,R120,IF(E2=B97,R120,IF(G10="X",(30*365)-F61,(35*365)-F61)))),IF(K2=O5,IF(E2=B98,R120,IF(G10="X",(30*365)-F61,(35*365)-F61))))</f>
        <v>0</v>
      </c>
      <c r="R120" s="86" t="b">
        <f>IF($K$2=$O$4,IF($F$61&gt;=($F$37+$E$44),0,($F$37+$E$44)-$F$61),IF($K$2=$O$5,IF($F$61&gt;=($F$37+$E$44),0,($F$37+$E$44)-$F$61)))</f>
        <v>0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23" t="s">
        <v>409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2:64" ht="13.5" hidden="1" x14ac:dyDescent="0.15">
      <c r="B121" s="52"/>
      <c r="C121" s="52"/>
      <c r="D121" s="52"/>
      <c r="E121" s="52"/>
      <c r="F121" s="52"/>
      <c r="G121" s="52"/>
      <c r="H121" s="52"/>
      <c r="I121" s="52"/>
      <c r="J121" s="52"/>
      <c r="K121" s="53"/>
      <c r="L121" s="42" t="s">
        <v>500</v>
      </c>
      <c r="M121" s="11"/>
      <c r="N121" s="11"/>
      <c r="O121" s="255"/>
      <c r="P121" s="79"/>
      <c r="Q121" s="86">
        <f>IF(E2="VOLUNTÁRIA ESPECIAL",IF(D12="X",IF(G10="X",(25*365)-F61,(30*365)-F61)),IF(G10="X",(30*365)-F61,(35*365)-F61))</f>
        <v>12775</v>
      </c>
      <c r="R121" s="79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23" t="s">
        <v>410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17" t="s">
        <v>463</v>
      </c>
      <c r="M122" s="11"/>
      <c r="N122" s="11"/>
      <c r="O122" s="255" t="s">
        <v>504</v>
      </c>
      <c r="P122" s="79"/>
      <c r="Q122" s="87"/>
      <c r="R122" s="86">
        <f>IF(E2="VOLUNTÁRIA ESPECIAL",IF(D12="X",IF(G10="X",(25*365)-$F$37,(30*365)-$F$37)),IF(G10="X",(30*365)-$F$37,(35*365)-$F$37))</f>
        <v>12775</v>
      </c>
      <c r="S122" s="11"/>
      <c r="T122" s="5"/>
      <c r="U122" s="5"/>
      <c r="V122" s="5"/>
      <c r="W122" s="5"/>
      <c r="X122" s="5"/>
      <c r="Y122" s="5"/>
      <c r="Z122" s="5"/>
      <c r="AA122" s="5"/>
      <c r="AB122" s="5"/>
      <c r="AC122" s="69"/>
      <c r="AD122" s="70"/>
      <c r="AE122" s="70"/>
      <c r="AF122" s="70"/>
      <c r="AG122" s="69"/>
      <c r="AX122" s="11"/>
      <c r="AY122" s="11"/>
      <c r="AZ122" s="5"/>
      <c r="BA122" s="724"/>
      <c r="BB122" s="723" t="s">
        <v>411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customHeight="1" x14ac:dyDescent="0.15">
      <c r="B123" s="6"/>
      <c r="C123" s="1943" t="s">
        <v>459</v>
      </c>
      <c r="D123" s="1943"/>
      <c r="E123" s="1943"/>
      <c r="F123" s="1943" t="s">
        <v>460</v>
      </c>
      <c r="G123" s="1943"/>
      <c r="H123" s="1943"/>
      <c r="I123" s="1943" t="s">
        <v>461</v>
      </c>
      <c r="J123" s="1943"/>
      <c r="K123" s="51"/>
      <c r="L123" s="51"/>
      <c r="M123" s="54"/>
      <c r="N123" s="54"/>
      <c r="O123" s="255" t="s">
        <v>487</v>
      </c>
      <c r="P123" s="78"/>
      <c r="Q123" s="78"/>
      <c r="R123" s="86">
        <f>IF(E2=B97,IF(G10="X",(25*365)-$F$37,(30*365)-$F$37),IF(G10="X",(30*365)-$F$37,(35*365)-$F$37))</f>
        <v>12775</v>
      </c>
      <c r="AX123" s="11"/>
      <c r="AY123" s="11"/>
      <c r="BB123" s="723" t="s">
        <v>412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2.75" hidden="1" customHeight="1" x14ac:dyDescent="0.15">
      <c r="B124" s="40" t="s">
        <v>454</v>
      </c>
      <c r="C124" s="40" t="s">
        <v>457</v>
      </c>
      <c r="D124" s="8"/>
      <c r="E124" s="5" t="s">
        <v>456</v>
      </c>
      <c r="F124" s="6" t="s">
        <v>457</v>
      </c>
      <c r="G124" s="6"/>
      <c r="H124" s="6" t="s">
        <v>456</v>
      </c>
      <c r="I124" s="8" t="s">
        <v>457</v>
      </c>
      <c r="J124" s="8" t="s">
        <v>456</v>
      </c>
      <c r="K124" s="51"/>
      <c r="L124" s="18" t="s">
        <v>466</v>
      </c>
      <c r="M124" s="54"/>
      <c r="N124" s="54"/>
      <c r="O124" s="255" t="s">
        <v>509</v>
      </c>
      <c r="P124" s="78"/>
      <c r="Q124" s="86">
        <f>IF(K2=O7,IF($E$2=B90,IF($G$10="X",(30*365)-$F$61,(35*365)-$F$61)),IF($G$10="X",(30*365)-$F$61,(35*365)-$F$61))</f>
        <v>12775</v>
      </c>
      <c r="R124" s="78"/>
      <c r="AX124" s="11"/>
      <c r="AY124" s="11"/>
      <c r="BB124" s="723" t="s">
        <v>413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customHeight="1" x14ac:dyDescent="0.15">
      <c r="B125" s="16" t="s">
        <v>450</v>
      </c>
      <c r="C125" s="55">
        <f>30*365</f>
        <v>10950</v>
      </c>
      <c r="D125" s="55"/>
      <c r="E125" s="55">
        <f>35*365</f>
        <v>12775</v>
      </c>
      <c r="F125" s="55">
        <v>20089</v>
      </c>
      <c r="G125" s="55"/>
      <c r="H125" s="55">
        <v>21914</v>
      </c>
      <c r="I125" s="55">
        <f>F125-C128</f>
        <v>31039</v>
      </c>
      <c r="J125" s="55">
        <f>H125-E128</f>
        <v>34689</v>
      </c>
      <c r="K125" s="51"/>
      <c r="L125" s="51"/>
      <c r="M125" s="54"/>
      <c r="N125" s="54"/>
      <c r="P125" s="78"/>
      <c r="Q125" s="78"/>
      <c r="R125" s="78"/>
      <c r="AX125" s="11"/>
      <c r="AY125" s="11"/>
      <c r="BB125" s="723" t="s">
        <v>414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2.75" hidden="1" customHeight="1" x14ac:dyDescent="0.15">
      <c r="B126" s="16" t="s">
        <v>455</v>
      </c>
      <c r="C126" s="47">
        <f>25*365</f>
        <v>9125</v>
      </c>
      <c r="D126" s="47"/>
      <c r="E126" s="47">
        <f>30*365</f>
        <v>10950</v>
      </c>
      <c r="F126" s="55">
        <v>18264</v>
      </c>
      <c r="G126" s="55"/>
      <c r="H126" s="55">
        <v>20089</v>
      </c>
      <c r="I126" s="47">
        <f>ROUNDDOWN(I125/365,0)</f>
        <v>85</v>
      </c>
      <c r="J126" s="47">
        <f>ROUNDDOWN(J125/365,0)</f>
        <v>95</v>
      </c>
      <c r="K126" s="51"/>
      <c r="L126" s="51"/>
      <c r="M126" s="54"/>
      <c r="N126" s="54"/>
      <c r="P126" s="78"/>
      <c r="Q126" s="78"/>
      <c r="R126" s="78"/>
      <c r="AX126" s="11"/>
      <c r="AY126" s="11"/>
      <c r="BB126" s="723" t="s">
        <v>415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2.75" hidden="1" customHeight="1" x14ac:dyDescent="0.15">
      <c r="B127" s="48"/>
      <c r="C127" s="48"/>
      <c r="D127" s="48"/>
      <c r="E127" s="46"/>
      <c r="F127" s="48"/>
      <c r="G127" s="48"/>
      <c r="H127" s="48"/>
      <c r="I127" s="48"/>
      <c r="J127" s="46"/>
      <c r="K127" s="51"/>
      <c r="L127" s="51"/>
      <c r="M127" s="54"/>
      <c r="N127" s="54"/>
      <c r="AX127" s="5"/>
      <c r="AY127" s="5"/>
      <c r="BB127" s="723" t="s">
        <v>416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2.75" hidden="1" customHeight="1" x14ac:dyDescent="0.15">
      <c r="B128" s="48" t="s">
        <v>458</v>
      </c>
      <c r="C128" s="56">
        <f>ROUNDDOWN((F61-C125),0)</f>
        <v>-10950</v>
      </c>
      <c r="D128" s="48"/>
      <c r="E128" s="56">
        <f>ROUNDDOWN((F61-E125),0)</f>
        <v>-12775</v>
      </c>
      <c r="F128" s="48"/>
      <c r="G128" s="48"/>
      <c r="H128" s="48"/>
      <c r="I128" s="48"/>
      <c r="J128" s="46"/>
      <c r="K128" s="51"/>
      <c r="L128" s="51"/>
      <c r="M128" s="54"/>
      <c r="N128" s="54"/>
      <c r="BB128" s="723" t="s">
        <v>417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4"/>
      <c r="N129" s="54"/>
      <c r="BB129" s="723" t="s">
        <v>418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2.75" hidden="1" customHeight="1" thickBot="1" x14ac:dyDescent="0.2">
      <c r="B130" s="1848" t="s">
        <v>548</v>
      </c>
      <c r="C130" s="1848"/>
      <c r="D130" s="1848"/>
      <c r="E130" s="1848"/>
      <c r="F130" s="1848"/>
      <c r="G130" s="1848"/>
      <c r="H130" s="1848"/>
      <c r="I130" s="1848"/>
      <c r="J130" s="1848"/>
      <c r="K130" s="1848"/>
      <c r="L130" s="1848"/>
      <c r="M130" s="1848"/>
      <c r="N130" s="1848"/>
      <c r="BB130" s="312"/>
      <c r="BC130" s="313"/>
      <c r="BD130" s="314"/>
      <c r="BE130" s="314"/>
      <c r="BF130" s="315"/>
      <c r="BG130" s="315"/>
      <c r="BH130" s="316"/>
      <c r="BI130" s="317">
        <f>A150*1.45</f>
        <v>23.2</v>
      </c>
      <c r="BJ130" s="318">
        <v>113.29</v>
      </c>
      <c r="BK130" s="319">
        <v>113.29</v>
      </c>
      <c r="BL130" s="320">
        <v>157.35</v>
      </c>
    </row>
    <row r="131" spans="1:64" ht="12.75" hidden="1" customHeight="1" x14ac:dyDescent="0.15">
      <c r="B131" s="51" t="s">
        <v>656</v>
      </c>
      <c r="C131" s="21" t="s">
        <v>657</v>
      </c>
      <c r="D131" s="101">
        <v>36145</v>
      </c>
      <c r="E131" s="101">
        <v>37986</v>
      </c>
      <c r="F131" s="102">
        <v>37986</v>
      </c>
      <c r="G131" s="246" t="s">
        <v>608</v>
      </c>
      <c r="H131" s="51" t="s">
        <v>609</v>
      </c>
      <c r="I131" s="51" t="s">
        <v>610</v>
      </c>
      <c r="J131" s="21" t="s">
        <v>612</v>
      </c>
      <c r="M131" s="40" t="s">
        <v>658</v>
      </c>
      <c r="P131" s="109"/>
      <c r="Q131" s="110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BB131" s="321"/>
      <c r="BC131" s="322"/>
      <c r="BD131" s="322"/>
      <c r="BE131" s="322"/>
      <c r="BF131" s="323"/>
      <c r="BG131" s="323"/>
      <c r="BH131" s="323"/>
      <c r="BI131" s="324"/>
      <c r="BJ131" s="325"/>
      <c r="BK131" s="326"/>
      <c r="BL131" s="327"/>
    </row>
    <row r="132" spans="1:64" ht="12.75" hidden="1" customHeight="1" x14ac:dyDescent="0.15">
      <c r="A132" s="259">
        <v>1</v>
      </c>
      <c r="B132" s="107" t="s">
        <v>549</v>
      </c>
      <c r="C132" s="21" t="s">
        <v>613</v>
      </c>
      <c r="D132" s="104">
        <f>IF(ISERROR(HLOOKUP($N$34,$Q$39:$AA$40,2)),0,HLOOKUP($N$34,$Q$39:$AA$40,2))</f>
        <v>0</v>
      </c>
      <c r="E132" s="105">
        <f>IF(ISERROR(HLOOKUP($O$34,$Q$39:$AA$40,2)),0,HLOOKUP($O$34,$Q$39:$AA$40,2))</f>
        <v>0</v>
      </c>
      <c r="F132" s="106">
        <f>IF(ISERROR(HLOOKUP($O$60,$Q$39:$AA$40,2)),0,HLOOKUP($O$60,$Q$39:$AA$40,2))</f>
        <v>0</v>
      </c>
      <c r="G132" s="21" t="s">
        <v>611</v>
      </c>
      <c r="J132" s="21" t="s">
        <v>611</v>
      </c>
      <c r="M132" s="21" t="s">
        <v>659</v>
      </c>
      <c r="P132" s="328"/>
      <c r="Q132" s="328"/>
      <c r="R132" s="5"/>
      <c r="S132" s="8"/>
      <c r="T132" s="5"/>
      <c r="U132" s="5"/>
      <c r="V132" s="5"/>
      <c r="W132" s="27"/>
      <c r="X132" s="5"/>
      <c r="Y132" s="5"/>
      <c r="Z132" s="100"/>
      <c r="AA132" s="5"/>
      <c r="AB132" s="5"/>
      <c r="BB132" s="321"/>
      <c r="BC132" s="322"/>
      <c r="BD132" s="322"/>
      <c r="BE132" s="322"/>
      <c r="BF132" s="323"/>
      <c r="BG132" s="323"/>
      <c r="BH132" s="323"/>
      <c r="BI132" s="324"/>
      <c r="BJ132" s="325"/>
      <c r="BK132" s="326"/>
      <c r="BL132" s="327"/>
    </row>
    <row r="133" spans="1:64" ht="12.75" hidden="1" customHeight="1" x14ac:dyDescent="0.15">
      <c r="A133" s="259">
        <v>2</v>
      </c>
      <c r="B133" s="51" t="s">
        <v>550</v>
      </c>
      <c r="C133" s="21" t="s">
        <v>527</v>
      </c>
      <c r="D133" s="104">
        <f>IF(ISERROR(HLOOKUP($J$133,$Q$26:$AT$27,2)),0,HLOOKUP($J$133,$Q$26:$AT$27,2))</f>
        <v>0</v>
      </c>
      <c r="E133" s="105">
        <f>IF(ISERROR(HLOOKUP($K$133,$Q$26:$AT$27,2)),0,HLOOKUP($K$133,$Q$26:$AT$27,2))</f>
        <v>0</v>
      </c>
      <c r="F133" s="106">
        <f>IF(ISERROR(HLOOKUP($L$133,$Q$26:$AT$27,2)),0,HLOOKUP($L$133,$Q$26:$AT$27,2))</f>
        <v>0</v>
      </c>
      <c r="G133" s="67">
        <f>SUM($F$27:$F$32)</f>
        <v>0</v>
      </c>
      <c r="H133" s="67">
        <f>SUM($F$27:$F$32)+$J$51</f>
        <v>0</v>
      </c>
      <c r="I133" s="67">
        <f>SUM($F$27:$F$32)+$J$51+$J$60</f>
        <v>0</v>
      </c>
      <c r="J133" s="21">
        <f t="shared" ref="J133:J155" si="7">ROUNDDOWN(G133/365,0)</f>
        <v>0</v>
      </c>
      <c r="K133" s="21">
        <f t="shared" ref="K133:K155" si="8">ROUNDDOWN(H133/365,0)</f>
        <v>0</v>
      </c>
      <c r="L133" s="21">
        <f t="shared" ref="L133:L155" si="9">ROUNDDOWN(I133/365,0)</f>
        <v>0</v>
      </c>
      <c r="M133" s="21" t="s">
        <v>660</v>
      </c>
      <c r="P133" s="328"/>
      <c r="Q133" s="328"/>
      <c r="BB133" s="321"/>
      <c r="BC133" s="322"/>
      <c r="BD133" s="322"/>
      <c r="BE133" s="322"/>
      <c r="BF133" s="323"/>
      <c r="BG133" s="323"/>
      <c r="BH133" s="323"/>
      <c r="BI133" s="324"/>
      <c r="BJ133" s="325"/>
      <c r="BK133" s="326"/>
      <c r="BL133" s="327"/>
    </row>
    <row r="134" spans="1:64" ht="12.75" hidden="1" customHeight="1" x14ac:dyDescent="0.15">
      <c r="A134" s="259" t="s">
        <v>554</v>
      </c>
      <c r="B134" s="51" t="s">
        <v>615</v>
      </c>
      <c r="C134" s="21" t="s">
        <v>613</v>
      </c>
      <c r="D134" s="104">
        <f>IF(ISERROR(HLOOKUP($J$134,$Q$45:$AB$46,2)),0,HLOOKUP($J$134,$Q$45:$AB$46,2))</f>
        <v>0</v>
      </c>
      <c r="E134" s="105">
        <f>IF(ISERROR(HLOOKUP($K$134,$Q$45:$AB$46,2)),0,HLOOKUP($K$134,$Q$45:$AB$46,2))</f>
        <v>0</v>
      </c>
      <c r="F134" s="106">
        <f>IF(ISERROR(HLOOKUP($L$134,$Q$45:$AB$46,2)),0,HLOOKUP($L$134,$Q$45:$AB$46,2))</f>
        <v>0</v>
      </c>
      <c r="G134" s="67">
        <f>SUM($F$27:$F$32)</f>
        <v>0</v>
      </c>
      <c r="H134" s="67">
        <f>SUM($F$27:$F$32)+$J$51</f>
        <v>0</v>
      </c>
      <c r="I134" s="67">
        <f>SUM($F$27:$F$32)+$J$51+$J$60</f>
        <v>0</v>
      </c>
      <c r="J134" s="21">
        <f t="shared" si="7"/>
        <v>0</v>
      </c>
      <c r="K134" s="21">
        <f t="shared" si="8"/>
        <v>0</v>
      </c>
      <c r="L134" s="21">
        <f t="shared" si="9"/>
        <v>0</v>
      </c>
      <c r="M134" s="21" t="s">
        <v>660</v>
      </c>
      <c r="P134" s="328"/>
      <c r="Q134" s="328"/>
      <c r="BB134" s="321"/>
      <c r="BC134" s="322"/>
      <c r="BD134" s="322"/>
      <c r="BE134" s="322"/>
      <c r="BF134" s="323"/>
      <c r="BG134" s="323"/>
      <c r="BH134" s="323"/>
      <c r="BI134" s="324"/>
      <c r="BJ134" s="325"/>
      <c r="BK134" s="326"/>
      <c r="BL134" s="327"/>
    </row>
    <row r="135" spans="1:64" ht="12.75" hidden="1" customHeight="1" x14ac:dyDescent="0.15">
      <c r="A135" s="259">
        <v>3</v>
      </c>
      <c r="B135" s="51" t="s">
        <v>551</v>
      </c>
      <c r="C135" s="21" t="s">
        <v>613</v>
      </c>
      <c r="D135" s="104">
        <f>IF(ISERROR(HLOOKUP($J$135,$Q$48:$AB$49,2)),0,HLOOKUP($J$135,$Q$48:$AB$49,2))</f>
        <v>0</v>
      </c>
      <c r="E135" s="105">
        <f>IF(ISERROR(HLOOKUP($K$135,$Q$48:$AB$49,2)),0,HLOOKUP($K$135,$Q$48:$AB$49,2))</f>
        <v>0</v>
      </c>
      <c r="F135" s="106">
        <f>IF(ISERROR(HLOOKUP($L$135,$Q$48:$AB$49,2)),0,HLOOKUP($L$135,$Q$48:$AB$49,2))</f>
        <v>0</v>
      </c>
      <c r="G135" s="67">
        <f>SUM($F$30:$F$32)</f>
        <v>0</v>
      </c>
      <c r="H135" s="67">
        <f>SUM($F$30:$F$32)+$J$51</f>
        <v>0</v>
      </c>
      <c r="I135" s="67">
        <f>SUM($F$30:$F$32)+$J$51+$J$60</f>
        <v>0</v>
      </c>
      <c r="J135" s="21">
        <f t="shared" si="7"/>
        <v>0</v>
      </c>
      <c r="K135" s="21">
        <f t="shared" si="8"/>
        <v>0</v>
      </c>
      <c r="L135" s="21">
        <f t="shared" si="9"/>
        <v>0</v>
      </c>
      <c r="M135" s="21" t="s">
        <v>660</v>
      </c>
      <c r="P135" s="328"/>
      <c r="Q135" s="328"/>
      <c r="BB135" s="69"/>
      <c r="BC135" s="69"/>
      <c r="BD135" s="69"/>
      <c r="BE135" s="69"/>
      <c r="BF135" s="69"/>
      <c r="BG135" s="69"/>
      <c r="BH135" s="69"/>
      <c r="BI135" s="69"/>
      <c r="BJ135" s="69"/>
      <c r="BK135" s="326"/>
      <c r="BL135" s="327"/>
    </row>
    <row r="136" spans="1:64" ht="12.75" hidden="1" customHeight="1" x14ac:dyDescent="0.15">
      <c r="A136" s="259">
        <v>4</v>
      </c>
      <c r="B136" s="51" t="s">
        <v>552</v>
      </c>
      <c r="C136" s="21" t="s">
        <v>613</v>
      </c>
      <c r="D136" s="104">
        <f>IF(ISERROR(HLOOKUP($J$136,$Q$48:$Z$49,2)),0,HLOOKUP($J$136,$Q$48:$Z$49,2))</f>
        <v>0</v>
      </c>
      <c r="E136" s="105">
        <f>IF(ISERROR(HLOOKUP($K$136,$Q$48:$Z$49,2)),0,HLOOKUP($K$136,$Q$48:$Z$49,2))</f>
        <v>0</v>
      </c>
      <c r="F136" s="106">
        <f>IF(ISERROR(HLOOKUP($L$136,$Q$48:$Z$49,2)),0,HLOOKUP($L$136,$Q$48:$Z$49,2))</f>
        <v>0</v>
      </c>
      <c r="G136" s="67">
        <f>SUM($F$27:$F$32)</f>
        <v>0</v>
      </c>
      <c r="H136" s="67">
        <f>SUM($F$27:$F$32)+$J$51</f>
        <v>0</v>
      </c>
      <c r="I136" s="67">
        <f>SUM($F$27:$F$32)+$J$51+$J$60</f>
        <v>0</v>
      </c>
      <c r="J136" s="21">
        <f t="shared" si="7"/>
        <v>0</v>
      </c>
      <c r="K136" s="21">
        <f t="shared" si="8"/>
        <v>0</v>
      </c>
      <c r="L136" s="21">
        <f t="shared" si="9"/>
        <v>0</v>
      </c>
      <c r="M136" s="21" t="s">
        <v>660</v>
      </c>
      <c r="P136" s="328"/>
      <c r="Q136" s="328"/>
      <c r="BB136" s="69"/>
      <c r="BC136" s="69"/>
      <c r="BD136" s="69" t="s">
        <v>349</v>
      </c>
      <c r="BE136" s="70">
        <v>5</v>
      </c>
      <c r="BF136" s="70">
        <v>10</v>
      </c>
      <c r="BG136" s="70">
        <v>15</v>
      </c>
      <c r="BH136" s="70">
        <v>20</v>
      </c>
      <c r="BI136" s="70">
        <v>25</v>
      </c>
      <c r="BJ136" s="329" t="s">
        <v>365</v>
      </c>
      <c r="BK136" s="326"/>
      <c r="BL136" s="327"/>
    </row>
    <row r="137" spans="1:64" ht="12.75" hidden="1" customHeight="1" x14ac:dyDescent="0.15">
      <c r="A137" s="259">
        <v>5</v>
      </c>
      <c r="B137" s="51" t="s">
        <v>553</v>
      </c>
      <c r="C137" s="21" t="s">
        <v>613</v>
      </c>
      <c r="D137" s="104">
        <f>IF(ISERROR(HLOOKUP($J$137,$Q$48:$AB$49,2)),0,HLOOKUP($J$137,$Q$48:$AB$49,2))</f>
        <v>0</v>
      </c>
      <c r="E137" s="105">
        <f>IF(ISERROR(HLOOKUP($K$137,$Q$48:$AB$49,2)),0,HLOOKUP($K$137,$Q$48:$AB$49,2))</f>
        <v>0</v>
      </c>
      <c r="F137" s="106">
        <f>IF(ISERROR(HLOOKUP($L$137,$Q$48:$AB$49,2)),0,HLOOKUP($L$137,$Q$48:$AB$49,2))</f>
        <v>0</v>
      </c>
      <c r="G137" s="67">
        <f>SUM($F$30:$F$32)</f>
        <v>0</v>
      </c>
      <c r="H137" s="67">
        <f>SUM($F$30:$F$32)+$J$51</f>
        <v>0</v>
      </c>
      <c r="I137" s="67">
        <f>SUM($F$30:$F$32)+$J$51+$J$60</f>
        <v>0</v>
      </c>
      <c r="J137" s="21">
        <f t="shared" si="7"/>
        <v>0</v>
      </c>
      <c r="K137" s="21">
        <f t="shared" si="8"/>
        <v>0</v>
      </c>
      <c r="L137" s="21">
        <f t="shared" si="9"/>
        <v>0</v>
      </c>
      <c r="M137" s="21" t="s">
        <v>660</v>
      </c>
      <c r="P137" s="328"/>
      <c r="Q137" s="328"/>
      <c r="BB137" s="69"/>
      <c r="BC137" s="330" t="s">
        <v>419</v>
      </c>
      <c r="BD137" s="330" t="s">
        <v>420</v>
      </c>
      <c r="BE137" s="69" t="s">
        <v>421</v>
      </c>
      <c r="BF137" s="69" t="s">
        <v>422</v>
      </c>
      <c r="BG137" s="69" t="s">
        <v>423</v>
      </c>
      <c r="BH137" s="69" t="s">
        <v>424</v>
      </c>
      <c r="BI137" s="69" t="s">
        <v>425</v>
      </c>
      <c r="BJ137" s="69" t="s">
        <v>426</v>
      </c>
      <c r="BK137" s="326"/>
      <c r="BL137" s="327"/>
    </row>
    <row r="138" spans="1:64" ht="12.75" hidden="1" customHeight="1" x14ac:dyDescent="0.15">
      <c r="A138" s="259" t="s">
        <v>555</v>
      </c>
      <c r="B138" s="51" t="s">
        <v>616</v>
      </c>
      <c r="C138" s="21" t="s">
        <v>613</v>
      </c>
      <c r="D138" s="104">
        <f>IF(ISERROR(HLOOKUP($J$138,$Q$48:$V$49,2)),0,HLOOKUP($J$138,$Q$48:$V$49,2))</f>
        <v>0</v>
      </c>
      <c r="E138" s="105">
        <f>IF(ISERROR(HLOOKUP($K$138,$Q$48:$V$49,2)),0,HLOOKUP($K$138,$Q$48:$V$49,2))</f>
        <v>0</v>
      </c>
      <c r="F138" s="106">
        <f>IF(ISERROR(HLOOKUP($L$138,$Q$48:$V$49,2)),0,HLOOKUP($L$138,$Q$48:$V$49,2))</f>
        <v>0</v>
      </c>
      <c r="G138" s="67">
        <f>SUM($F$30:$F$32)</f>
        <v>0</v>
      </c>
      <c r="H138" s="67">
        <f>SUM($F$30:$F$32)+$J$51</f>
        <v>0</v>
      </c>
      <c r="I138" s="67">
        <f>SUM($F$30:$F$32)+$J$51+$J$60</f>
        <v>0</v>
      </c>
      <c r="J138" s="21">
        <f t="shared" si="7"/>
        <v>0</v>
      </c>
      <c r="K138" s="21">
        <f t="shared" si="8"/>
        <v>0</v>
      </c>
      <c r="L138" s="21">
        <f t="shared" si="9"/>
        <v>0</v>
      </c>
      <c r="M138" s="21" t="s">
        <v>660</v>
      </c>
      <c r="P138" s="328"/>
      <c r="Q138" s="328"/>
      <c r="BB138" s="69"/>
      <c r="BC138" s="330" t="s">
        <v>427</v>
      </c>
      <c r="BD138" s="330" t="s">
        <v>428</v>
      </c>
      <c r="BE138" s="69" t="s">
        <v>421</v>
      </c>
      <c r="BF138" s="69" t="s">
        <v>422</v>
      </c>
      <c r="BG138" s="69" t="s">
        <v>423</v>
      </c>
      <c r="BH138" s="69" t="s">
        <v>424</v>
      </c>
      <c r="BI138" s="69" t="s">
        <v>425</v>
      </c>
      <c r="BJ138" s="69" t="s">
        <v>426</v>
      </c>
      <c r="BK138" s="326"/>
      <c r="BL138" s="327"/>
    </row>
    <row r="139" spans="1:64" ht="12.75" hidden="1" customHeight="1" x14ac:dyDescent="0.15">
      <c r="A139" s="259">
        <v>6</v>
      </c>
      <c r="B139" s="51" t="s">
        <v>556</v>
      </c>
      <c r="C139" s="21" t="s">
        <v>613</v>
      </c>
      <c r="D139" s="104">
        <f>IF(ISERROR(HLOOKUP($J$139,$Q$48:$AA$49,2)),0,HLOOKUP($J$139,$Q$48:$AA$49,2))</f>
        <v>0</v>
      </c>
      <c r="E139" s="105">
        <f>IF(ISERROR(HLOOKUP(K139,$Q$48:$AA$49,2)),0,HLOOKUP(K139,$Q$48:$AA$49,2))</f>
        <v>0</v>
      </c>
      <c r="F139" s="106">
        <f>IF(ISERROR(HLOOKUP(L139,$Q$48:$AA$49,2)),0,HLOOKUP(L139,$Q$48:$AA$49,2))</f>
        <v>0</v>
      </c>
      <c r="G139" s="396">
        <f>SUM($F$27:$F$33)</f>
        <v>0</v>
      </c>
      <c r="H139" s="103">
        <f>SUM($F$27:$F$33)+$J$51</f>
        <v>0</v>
      </c>
      <c r="I139" s="103">
        <f>SUM($F$27:$F$33)+$J$51+$J$60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69"/>
      <c r="BC139" s="330" t="s">
        <v>429</v>
      </c>
      <c r="BD139" s="330" t="s">
        <v>430</v>
      </c>
      <c r="BE139" s="69" t="s">
        <v>421</v>
      </c>
      <c r="BF139" s="69" t="s">
        <v>422</v>
      </c>
      <c r="BG139" s="69" t="s">
        <v>423</v>
      </c>
      <c r="BH139" s="69" t="s">
        <v>424</v>
      </c>
      <c r="BI139" s="69" t="s">
        <v>425</v>
      </c>
      <c r="BJ139" s="69" t="s">
        <v>426</v>
      </c>
      <c r="BK139" s="7"/>
      <c r="BL139" s="7"/>
    </row>
    <row r="140" spans="1:64" ht="12.75" hidden="1" customHeight="1" x14ac:dyDescent="0.15">
      <c r="A140" s="259">
        <v>7</v>
      </c>
      <c r="B140" s="51" t="s">
        <v>557</v>
      </c>
      <c r="C140" s="21" t="s">
        <v>547</v>
      </c>
      <c r="D140" s="104">
        <f>IF(ISERROR(HLOOKUP($J$140,$Q$77:$W$78,2)),0,HLOOKUP($J$140,$Q$77:$W$78,2))</f>
        <v>0</v>
      </c>
      <c r="E140" s="105">
        <f>IF(ISERROR(HLOOKUP(K140,$Q$77:$W$78,2)),0,HLOOKUP(K140,$Q$77:$W$78,2))</f>
        <v>0</v>
      </c>
      <c r="F140" s="106">
        <f>IF(ISERROR(HLOOKUP(L140,$Q$77:$W$78,2)),0,HLOOKUP(L140,$Q$77:$W$78,2))</f>
        <v>0</v>
      </c>
      <c r="G140" s="396">
        <f>SUM($F$30:$F$32)</f>
        <v>0</v>
      </c>
      <c r="H140" s="103">
        <f>SUM($F$30:$F$32)+$J$51</f>
        <v>0</v>
      </c>
      <c r="I140" s="103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330" t="s">
        <v>431</v>
      </c>
      <c r="BD140" s="330" t="s">
        <v>430</v>
      </c>
      <c r="BE140" s="69" t="s">
        <v>421</v>
      </c>
      <c r="BF140" s="69" t="s">
        <v>422</v>
      </c>
      <c r="BG140" s="69" t="s">
        <v>423</v>
      </c>
      <c r="BH140" s="69" t="s">
        <v>424</v>
      </c>
      <c r="BI140" s="69" t="s">
        <v>425</v>
      </c>
      <c r="BJ140" s="69" t="s">
        <v>426</v>
      </c>
      <c r="BK140" s="5"/>
      <c r="BL140" s="5"/>
    </row>
    <row r="141" spans="1:64" ht="12.75" hidden="1" customHeight="1" x14ac:dyDescent="0.15">
      <c r="A141" s="259" t="s">
        <v>558</v>
      </c>
      <c r="B141" s="51" t="s">
        <v>614</v>
      </c>
      <c r="C141" s="21" t="s">
        <v>547</v>
      </c>
      <c r="D141" s="104">
        <f>IF(ISERROR(HLOOKUP($J$141,$Q$77:$W$78,2)),0,HLOOKUP($J$141,$Q$77:$W$78,2))</f>
        <v>0</v>
      </c>
      <c r="E141" s="105">
        <f>IF(ISERROR(HLOOKUP(K141,$Q$77:$W$78,2)),0,HLOOKUP(K141,$Q$77:$W$78,2))</f>
        <v>0</v>
      </c>
      <c r="F141" s="106">
        <f>IF(ISERROR(HLOOKUP(L141,$Q$77:$W$78,2)),0,HLOOKUP(L141,$Q$77:$W$78,2))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 t="s">
        <v>400</v>
      </c>
      <c r="BD141" s="69"/>
      <c r="BE141" s="69" t="s">
        <v>329</v>
      </c>
      <c r="BF141" s="69" t="s">
        <v>356</v>
      </c>
      <c r="BG141" s="69" t="s">
        <v>432</v>
      </c>
      <c r="BH141" s="69" t="s">
        <v>432</v>
      </c>
      <c r="BI141" s="69" t="s">
        <v>432</v>
      </c>
      <c r="BJ141" s="69" t="s">
        <v>432</v>
      </c>
      <c r="BK141" s="5"/>
      <c r="BL141" s="5"/>
    </row>
    <row r="142" spans="1:64" ht="12.75" hidden="1" customHeight="1" x14ac:dyDescent="0.15">
      <c r="A142" s="259">
        <v>8</v>
      </c>
      <c r="B142" s="51" t="s">
        <v>559</v>
      </c>
      <c r="C142" s="21" t="s">
        <v>547</v>
      </c>
      <c r="D142" s="104">
        <f>IF(ISERROR(HLOOKUP($J$142,$Q$73:$W$74,2)),0,HLOOKUP($J$142,$Q$73:$W$74,2))</f>
        <v>0</v>
      </c>
      <c r="E142" s="105">
        <f>IF(ISERROR(HLOOKUP(K142,$Q$73:$W$74,2)),0,HLOOKUP(K142,$Q$73:$W$74,2))</f>
        <v>0</v>
      </c>
      <c r="F142" s="106">
        <f>IF(ISERROR(HLOOKUP(L142,$Q$73:$W$74,2)),0,HLOOKUP(L142,$Q$73:$W$74,2))</f>
        <v>0</v>
      </c>
      <c r="G142" s="396">
        <f>SUM($F$27:$F$32)</f>
        <v>0</v>
      </c>
      <c r="H142" s="103">
        <f>SUM($F$27:$F$32)+$J$51</f>
        <v>0</v>
      </c>
      <c r="I142" s="103">
        <f>SUM($F$27:$F$32)+$J$51+$J$60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>
        <v>26</v>
      </c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9</v>
      </c>
      <c r="B143" s="51" t="s">
        <v>560</v>
      </c>
      <c r="C143" s="21" t="s">
        <v>547</v>
      </c>
      <c r="D143" s="104">
        <f>IF(ISERROR(HLOOKUP($J$143,$Q$77:$W$78,2)),0,HLOOKUP($J$143,$Q$77:$W$78,2))</f>
        <v>0</v>
      </c>
      <c r="E143" s="105">
        <f>IF(ISERROR(HLOOKUP(K143,$Q$77:$W$78,2)),0,HLOOKUP(K143,$Q$77:$W$78,2))</f>
        <v>0</v>
      </c>
      <c r="F143" s="106">
        <f>IF(ISERROR(HLOOKUP(L143,$Q$77:$W$78,2)),0,HLOOKUP(L143,$Q$77:$W$78,2))</f>
        <v>0</v>
      </c>
      <c r="G143" s="396">
        <f>SUM($F$27:$F$32)</f>
        <v>0</v>
      </c>
      <c r="H143" s="103">
        <f>SUM($F$27:$F$32)+$J$51</f>
        <v>0</v>
      </c>
      <c r="I143" s="103">
        <f>SUM($F$27:$F$32)+$J$51+$J$60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1"/>
      <c r="BD143" s="116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10</v>
      </c>
      <c r="B144" s="51" t="s">
        <v>561</v>
      </c>
      <c r="C144" s="21" t="s">
        <v>613</v>
      </c>
      <c r="D144" s="104">
        <f>IF(ISERROR(HLOOKUP($J$144,$Q$39:$Y$40,2)),0,HLOOKUP($J$144,$Q$39:$Y$40,2))</f>
        <v>0</v>
      </c>
      <c r="E144" s="105">
        <f>IF(ISERROR(HLOOKUP(K144,$Q$39:$Y$40,2)),0,HLOOKUP(K144,$Q$39:$Y$40,2))</f>
        <v>0</v>
      </c>
      <c r="F144" s="106">
        <f>IF(ISERROR(HLOOKUP(L144,$Q$39:$Y$40,2)),0,HLOOKUP(L144,$Q$39:$Y$40,2))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11</v>
      </c>
      <c r="B145" s="51" t="s">
        <v>562</v>
      </c>
      <c r="C145" s="21" t="s">
        <v>547</v>
      </c>
      <c r="D145" s="104">
        <f>IF(ISERROR(HLOOKUP($J$145,$Q$73:$AB$74,2)),0,HLOOKUP($J$145,$Q$73:$AB$74,2))</f>
        <v>0</v>
      </c>
      <c r="E145" s="105">
        <f>IF(ISERROR(HLOOKUP(K145,$Q$73:$AB$74,2)),0,HLOOKUP(K145,$Q$73:$AB$74,2))</f>
        <v>0</v>
      </c>
      <c r="F145" s="106">
        <f>IF(ISERROR(HLOOKUP(L145,$Q$73:$AB$74,2)),0,HLOOKUP(L145,$Q$73:$AB$74,2))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69"/>
      <c r="BD145" s="69"/>
      <c r="BE145" s="69"/>
      <c r="BF145" s="69"/>
      <c r="BG145" s="69"/>
      <c r="BH145" s="69"/>
      <c r="BI145" s="69"/>
      <c r="BJ145" s="69"/>
      <c r="BK145" s="5"/>
      <c r="BL145" s="5"/>
    </row>
    <row r="146" spans="1:64" ht="12.75" hidden="1" customHeight="1" x14ac:dyDescent="0.15">
      <c r="A146" s="259">
        <v>12</v>
      </c>
      <c r="B146" s="51" t="s">
        <v>563</v>
      </c>
      <c r="C146" s="21"/>
      <c r="D146" s="104"/>
      <c r="E146" s="105"/>
      <c r="F146" s="106"/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/>
      <c r="BD146" s="69"/>
      <c r="BE146" s="69"/>
      <c r="BF146" s="69"/>
      <c r="BG146" s="69"/>
      <c r="BH146" s="69"/>
      <c r="BI146" s="69"/>
      <c r="BJ146" s="69"/>
      <c r="BK146" s="5"/>
      <c r="BL146" s="5"/>
    </row>
    <row r="147" spans="1:64" ht="12.75" hidden="1" customHeight="1" x14ac:dyDescent="0.15">
      <c r="A147" s="259">
        <v>13</v>
      </c>
      <c r="B147" s="51" t="s">
        <v>686</v>
      </c>
      <c r="C147" s="21" t="s">
        <v>527</v>
      </c>
      <c r="D147" s="104">
        <f>IF(ISERROR(HLOOKUP($J$147,$Q$26:$AT$27,2)),0,HLOOKUP($J$147,$Q$26:$AT$27,2))</f>
        <v>0</v>
      </c>
      <c r="E147" s="104">
        <f>IF(ISERROR(HLOOKUP(K147,$Q$26:$AT$27,2)),0,HLOOKUP(K147,$Q$26:$AT$27,2))</f>
        <v>0</v>
      </c>
      <c r="F147" s="104">
        <f>IF(ISERROR(HLOOKUP(L147,$Q$26:$AT$27,2)),0,HLOOKUP(L147,$Q$26:$AT$27,2))</f>
        <v>0</v>
      </c>
      <c r="G147" s="396">
        <f>SUM($F$30:$F$32)</f>
        <v>0</v>
      </c>
      <c r="H147" s="103">
        <f>SUM($F$30:$F$32)+$J$51</f>
        <v>0</v>
      </c>
      <c r="I147" s="103">
        <f>SUM($F$30:$F$32)+$J$51+$J$60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/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14</v>
      </c>
      <c r="B148" s="51" t="s">
        <v>564</v>
      </c>
      <c r="C148" s="21" t="s">
        <v>613</v>
      </c>
      <c r="D148" s="104">
        <f>IF(ISERROR(HLOOKUP(J148,$Q$48:$AB$49,2)),0,HLOOKUP(J148,$Q$48:$AB$49,2))</f>
        <v>0</v>
      </c>
      <c r="E148" s="104">
        <f>IF(ISERROR(HLOOKUP(K148,$Q$48:$AB$49,2)),0,HLOOKUP(K148,$Q$48:$AB$49,2))</f>
        <v>0</v>
      </c>
      <c r="F148" s="104">
        <f>IF(ISERROR(HLOOKUP(L148,$Q$48:$AB$49,2)),0,HLOOKUP(L148,$Q$48:$AB$49,2))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15</v>
      </c>
      <c r="B149" s="51" t="s">
        <v>565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AS149" s="5"/>
      <c r="BB149" s="69" t="s">
        <v>427</v>
      </c>
      <c r="BC149" s="69"/>
      <c r="BD149" s="69"/>
      <c r="BE149" s="69"/>
      <c r="BF149" s="69"/>
      <c r="BG149" s="69"/>
      <c r="BH149" s="69"/>
      <c r="BI149" s="69"/>
      <c r="BJ149" s="69"/>
      <c r="BK149" s="116"/>
      <c r="BL149" s="332"/>
    </row>
    <row r="150" spans="1:64" ht="12.75" hidden="1" customHeight="1" x14ac:dyDescent="0.15">
      <c r="A150" s="259">
        <v>16</v>
      </c>
      <c r="B150" s="51" t="s">
        <v>566</v>
      </c>
      <c r="C150" s="21" t="s">
        <v>527</v>
      </c>
      <c r="D150" s="104">
        <f>IF(ISERROR(HLOOKUP(J150,$Q$26:$AT$27,2)),0,HLOOKUP(J150,$Q$26:$AT$27,2))</f>
        <v>0</v>
      </c>
      <c r="E150" s="104">
        <f>IF(ISERROR(HLOOKUP(K150,$Q$26:$AT$27,2)),0,HLOOKUP(K150,$Q$26:$AT$27,2))</f>
        <v>0</v>
      </c>
      <c r="F150" s="104">
        <f>IF(ISERROR(HLOOKUP(L150,$Q$26:$AT$27,2)),0,HLOOKUP(L150,$Q$26:$AT$27,2))</f>
        <v>0</v>
      </c>
      <c r="G150" s="396">
        <f t="shared" ref="G150:G155" si="10">SUM($F$30:$F$32)</f>
        <v>0</v>
      </c>
      <c r="H150" s="103">
        <f t="shared" ref="H150:H155" si="11">SUM($F$30:$F$32)+$J$51</f>
        <v>0</v>
      </c>
      <c r="I150" s="103">
        <f t="shared" ref="I150:I155" si="12"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AS150" s="5"/>
      <c r="BB150" s="69"/>
      <c r="BC150" s="69"/>
      <c r="BD150" s="69"/>
      <c r="BE150" s="333"/>
      <c r="BF150" s="69"/>
      <c r="BG150" s="69"/>
      <c r="BH150" s="69"/>
      <c r="BI150" s="69"/>
      <c r="BJ150" s="69"/>
      <c r="BK150" s="69"/>
      <c r="BL150" s="69"/>
    </row>
    <row r="151" spans="1:64" ht="12.75" hidden="1" customHeight="1" x14ac:dyDescent="0.15">
      <c r="A151" s="259">
        <v>17</v>
      </c>
      <c r="B151" s="51" t="s">
        <v>567</v>
      </c>
      <c r="C151" s="21" t="s">
        <v>547</v>
      </c>
      <c r="D151" s="104">
        <f>IF(ISERROR(HLOOKUP(J151,$Q$73:$V$74,2)),0,HLOOKUP(J151,$Q$73:$V$74,2))</f>
        <v>0</v>
      </c>
      <c r="E151" s="104">
        <f>IF(ISERROR(HLOOKUP(K151,$Q$73:$V$74,2)),0,HLOOKUP(K151,$Q$73:$V$74,2))</f>
        <v>0</v>
      </c>
      <c r="F151" s="104">
        <f>IF(ISERROR(HLOOKUP(L151,$Q$73:$V$74,2)),0,HLOOKUP(L151,$Q$73:$V$74,2))</f>
        <v>0</v>
      </c>
      <c r="G151" s="396">
        <f t="shared" si="10"/>
        <v>0</v>
      </c>
      <c r="H151" s="103">
        <f t="shared" si="11"/>
        <v>0</v>
      </c>
      <c r="I151" s="103">
        <f t="shared" si="12"/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AS151" s="5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</row>
    <row r="152" spans="1:64" ht="12.75" hidden="1" customHeight="1" x14ac:dyDescent="0.15">
      <c r="A152" s="259">
        <v>18</v>
      </c>
      <c r="B152" s="51" t="s">
        <v>568</v>
      </c>
      <c r="C152" s="21" t="s">
        <v>527</v>
      </c>
      <c r="D152" s="104">
        <f>IF(ISERROR(HLOOKUP(J152,$Q$32:$AF$33,2)),0,HLOOKUP(J152,$Q$32:$AF$33,2))</f>
        <v>0</v>
      </c>
      <c r="E152" s="104">
        <f>IF(ISERROR(HLOOKUP(K152,$Q$32:$AF$33,2)),0,HLOOKUP(K152,$Q$32:$AF$33,2))</f>
        <v>0</v>
      </c>
      <c r="F152" s="104">
        <f>IF(ISERROR(HLOOKUP(L152,$Q$32:$AF$33,2)),0,HLOOKUP(L152,$Q$32:$AF$33,2))</f>
        <v>0</v>
      </c>
      <c r="G152" s="396">
        <f t="shared" si="10"/>
        <v>0</v>
      </c>
      <c r="H152" s="103">
        <f t="shared" si="11"/>
        <v>0</v>
      </c>
      <c r="I152" s="103">
        <f t="shared" si="12"/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AS152" s="5"/>
      <c r="BB152" s="69"/>
      <c r="BC152" s="69"/>
      <c r="BD152" s="69"/>
      <c r="BE152" s="333"/>
      <c r="BF152" s="69"/>
      <c r="BG152" s="69"/>
      <c r="BH152" s="69"/>
      <c r="BI152" s="69"/>
      <c r="BJ152" s="69"/>
      <c r="BK152" s="69"/>
      <c r="BL152" s="69"/>
    </row>
    <row r="153" spans="1:64" ht="12.75" hidden="1" customHeight="1" x14ac:dyDescent="0.15">
      <c r="A153" s="259">
        <v>19</v>
      </c>
      <c r="B153" s="51" t="s">
        <v>569</v>
      </c>
      <c r="C153" s="21" t="s">
        <v>613</v>
      </c>
      <c r="D153" s="104">
        <f>IF(ISERROR(HLOOKUP(J153,$Q$42:$AG$43,2)),0,HLOOKUP(J153,$Q$42:$AG$43,2))</f>
        <v>0</v>
      </c>
      <c r="E153" s="104">
        <f>IF(ISERROR(HLOOKUP(K153,$Q$42:$AG$43,2)),0,HLOOKUP(K153,$Q$42:$AG$43,2))</f>
        <v>0</v>
      </c>
      <c r="F153" s="104">
        <f>IF(ISERROR(HLOOKUP(L153,$Q$42:$AG$43,2)),0,HLOOKUP(L153,$Q$42:$AG$43,2))</f>
        <v>0</v>
      </c>
      <c r="G153" s="396">
        <f t="shared" si="10"/>
        <v>0</v>
      </c>
      <c r="H153" s="103">
        <f t="shared" si="11"/>
        <v>0</v>
      </c>
      <c r="I153" s="103">
        <f t="shared" si="12"/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11"/>
      <c r="BC153" s="5"/>
    </row>
    <row r="154" spans="1:64" ht="12.75" hidden="1" customHeight="1" x14ac:dyDescent="0.15">
      <c r="A154" s="259">
        <v>20</v>
      </c>
      <c r="B154" s="51" t="s">
        <v>570</v>
      </c>
      <c r="C154" s="21" t="s">
        <v>613</v>
      </c>
      <c r="D154" s="104">
        <f t="shared" ref="D154:F155" si="13">IF(ISERROR(HLOOKUP(J154,$Q$39:$Y$40,2)),0,HLOOKUP(J154,$Q$39:$Y$40,2))</f>
        <v>0</v>
      </c>
      <c r="E154" s="104">
        <f t="shared" si="13"/>
        <v>0</v>
      </c>
      <c r="F154" s="104">
        <f t="shared" si="13"/>
        <v>0</v>
      </c>
      <c r="G154" s="396">
        <f t="shared" si="10"/>
        <v>0</v>
      </c>
      <c r="H154" s="103">
        <f t="shared" si="11"/>
        <v>0</v>
      </c>
      <c r="I154" s="103">
        <f t="shared" si="12"/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11"/>
      <c r="BC154" s="5"/>
    </row>
    <row r="155" spans="1:64" ht="12.75" hidden="1" customHeight="1" x14ac:dyDescent="0.15">
      <c r="A155" s="259">
        <v>21</v>
      </c>
      <c r="B155" s="51" t="s">
        <v>571</v>
      </c>
      <c r="C155" s="21" t="s">
        <v>613</v>
      </c>
      <c r="D155" s="104">
        <f t="shared" si="13"/>
        <v>0</v>
      </c>
      <c r="E155" s="104">
        <f t="shared" si="13"/>
        <v>0</v>
      </c>
      <c r="F155" s="104">
        <f t="shared" si="13"/>
        <v>0</v>
      </c>
      <c r="G155" s="396">
        <f t="shared" si="10"/>
        <v>0</v>
      </c>
      <c r="H155" s="103">
        <f t="shared" si="11"/>
        <v>0</v>
      </c>
      <c r="I155" s="103">
        <f t="shared" si="12"/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11"/>
      <c r="BC155" s="5"/>
    </row>
    <row r="156" spans="1:64" ht="12.75" hidden="1" customHeight="1" x14ac:dyDescent="0.15">
      <c r="A156" s="259">
        <v>22</v>
      </c>
      <c r="B156" s="51" t="s">
        <v>572</v>
      </c>
      <c r="C156" s="21"/>
      <c r="D156" s="334"/>
      <c r="E156" s="335"/>
      <c r="F156" s="336"/>
      <c r="G156" s="397"/>
      <c r="H156" s="51"/>
      <c r="M156" s="21" t="s">
        <v>660</v>
      </c>
      <c r="P156" s="328"/>
      <c r="Q156" s="328"/>
      <c r="AS156" s="5"/>
      <c r="BB156" s="11"/>
      <c r="BC156" s="5"/>
    </row>
    <row r="157" spans="1:64" ht="12.75" hidden="1" customHeight="1" x14ac:dyDescent="0.15">
      <c r="A157" s="259">
        <v>23</v>
      </c>
      <c r="B157" s="51" t="s">
        <v>573</v>
      </c>
      <c r="C157" s="21"/>
      <c r="D157" s="334"/>
      <c r="E157" s="335"/>
      <c r="F157" s="336"/>
      <c r="G157" s="397"/>
      <c r="H157" s="51"/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24</v>
      </c>
      <c r="B158" s="51" t="s">
        <v>574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>SUM($F$27:$F$32)</f>
        <v>0</v>
      </c>
      <c r="H158" s="103">
        <f>SUM($F$27:$F$32)+$J$51</f>
        <v>0</v>
      </c>
      <c r="I158" s="103">
        <f>SUM($F$27:$F$32)+$J$51+$J$60</f>
        <v>0</v>
      </c>
      <c r="J158" s="21">
        <f t="shared" ref="J158:J189" si="14">ROUNDDOWN(G158/365,0)</f>
        <v>0</v>
      </c>
      <c r="K158" s="21">
        <f t="shared" ref="K158:K189" si="15">ROUNDDOWN(H158/365,0)</f>
        <v>0</v>
      </c>
      <c r="L158" s="21">
        <f t="shared" ref="L158:L189" si="16">ROUNDDOWN(I158/365,0)</f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25</v>
      </c>
      <c r="B159" s="51" t="s">
        <v>580</v>
      </c>
      <c r="C159" s="21" t="s">
        <v>527</v>
      </c>
      <c r="D159" s="104">
        <f>IF(ISERROR(HLOOKUP(J159,$Q$29:$AT$30,2)),0,HLOOKUP(J159,$Q$29:$AT$30,2))</f>
        <v>0</v>
      </c>
      <c r="E159" s="104">
        <f>IF(ISERROR(HLOOKUP(K159,$Q$29:$AT$30,2)),0,HLOOKUP(K159,$Q$29:$AT$30,2))</f>
        <v>0</v>
      </c>
      <c r="F159" s="104">
        <f>IF(ISERROR(HLOOKUP(L159,$Q$29:$AT$30,2)),0,HLOOKUP(L159,$Q$29:$AT$30,2))</f>
        <v>0</v>
      </c>
      <c r="G159" s="396">
        <f>SUM($F$30:$F$32)</f>
        <v>0</v>
      </c>
      <c r="H159" s="103">
        <f>SUM($F$30:$F$32)+$J$51</f>
        <v>0</v>
      </c>
      <c r="I159" s="103">
        <f>SUM($F$30:$F$32)+$J$51+$J$60</f>
        <v>0</v>
      </c>
      <c r="J159" s="21">
        <f t="shared" si="14"/>
        <v>0</v>
      </c>
      <c r="K159" s="21">
        <f t="shared" si="15"/>
        <v>0</v>
      </c>
      <c r="L159" s="21">
        <f t="shared" si="16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26</v>
      </c>
      <c r="B160" s="51" t="s">
        <v>581</v>
      </c>
      <c r="C160" s="21" t="s">
        <v>547</v>
      </c>
      <c r="D160" s="104">
        <f>IF(ISERROR(HLOOKUP(J160,$Q$73:$W$74,2)),0,HLOOKUP(J160,$Q$73:$W$74,2))</f>
        <v>0</v>
      </c>
      <c r="E160" s="104">
        <f>IF(ISERROR(HLOOKUP(K160,$Q$73:$W$74,2)),0,HLOOKUP(K160,$Q$73:$W$74,2))</f>
        <v>0</v>
      </c>
      <c r="F160" s="104">
        <f>IF(ISERROR(HLOOKUP(L160,$Q$73:$W$74,2)),0,HLOOKUP(L160,$Q$73:$W$74,2))</f>
        <v>0</v>
      </c>
      <c r="G160" s="396">
        <f>SUM($F$27:$F$32)</f>
        <v>0</v>
      </c>
      <c r="H160" s="103">
        <f>SUM($F$27:$F$32)+$J$51</f>
        <v>0</v>
      </c>
      <c r="I160" s="103">
        <f>SUM($F$27:$F$32)+$J$51+$J$60</f>
        <v>0</v>
      </c>
      <c r="J160" s="21">
        <f t="shared" si="14"/>
        <v>0</v>
      </c>
      <c r="K160" s="21">
        <f t="shared" si="15"/>
        <v>0</v>
      </c>
      <c r="L160" s="21">
        <f t="shared" si="16"/>
        <v>0</v>
      </c>
      <c r="M160" s="21" t="s">
        <v>660</v>
      </c>
      <c r="P160" s="328"/>
      <c r="Q160" s="328"/>
      <c r="AS160" s="5"/>
    </row>
    <row r="161" spans="1:45" ht="12.75" hidden="1" customHeight="1" x14ac:dyDescent="0.15">
      <c r="A161" s="259" t="s">
        <v>582</v>
      </c>
      <c r="B161" s="51" t="s">
        <v>684</v>
      </c>
      <c r="C161" s="21" t="s">
        <v>547</v>
      </c>
      <c r="D161" s="104">
        <f>IF(ISERROR(HLOOKUP(J161,$Q$73:$V$74,2)),0,HLOOKUP(J161,$Q$73:$V$74,2))</f>
        <v>0</v>
      </c>
      <c r="E161" s="104">
        <f>IF(ISERROR(HLOOKUP(K161,$Q$73:$V$74,2)),0,HLOOKUP(K161,$Q$73:$V$74,2))</f>
        <v>0</v>
      </c>
      <c r="F161" s="104">
        <f>IF(ISERROR(HLOOKUP(L161,$Q$73:$V$74,2)),0,HLOOKUP(L161,$Q$73:$V$74,2))</f>
        <v>0</v>
      </c>
      <c r="G161" s="396">
        <f>SUM($F$27:$F$32)</f>
        <v>0</v>
      </c>
      <c r="H161" s="103">
        <f>SUM($F$27:$F$32)+$J$51</f>
        <v>0</v>
      </c>
      <c r="I161" s="103">
        <f>SUM($F$27:$F$32)+$J$51+$J$60</f>
        <v>0</v>
      </c>
      <c r="J161" s="21">
        <f t="shared" si="14"/>
        <v>0</v>
      </c>
      <c r="K161" s="21">
        <f t="shared" si="15"/>
        <v>0</v>
      </c>
      <c r="L161" s="21">
        <f t="shared" si="16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>
        <v>27</v>
      </c>
      <c r="B162" s="51" t="s">
        <v>583</v>
      </c>
      <c r="C162" s="21" t="s">
        <v>613</v>
      </c>
      <c r="D162" s="104">
        <f>IF(ISERROR(HLOOKUP(J162,$Q$48:$Z$49,2)),0,HLOOKUP(J162,$Q$48:$Z$49,2))</f>
        <v>0</v>
      </c>
      <c r="E162" s="104">
        <f>IF(ISERROR(HLOOKUP(K162,$Q$48:$Z$49,2)),0,HLOOKUP(K162,$Q$48:$Z$49,2))</f>
        <v>0</v>
      </c>
      <c r="F162" s="104">
        <f>IF(ISERROR(HLOOKUP(L162,$Q$48:$Z$49,2)),0,HLOOKUP(L162,$Q$48:$Z$49,2))</f>
        <v>0</v>
      </c>
      <c r="G162" s="396">
        <f t="shared" ref="G162:G169" si="17">SUM($F$30:$F$32)</f>
        <v>0</v>
      </c>
      <c r="H162" s="103">
        <f t="shared" ref="H162:H169" si="18">SUM($F$30:$F$32)+$J$51</f>
        <v>0</v>
      </c>
      <c r="I162" s="103">
        <f t="shared" ref="I162:I169" si="19">SUM($F$30:$F$32)+$J$51+$J$60</f>
        <v>0</v>
      </c>
      <c r="J162" s="21">
        <f t="shared" si="14"/>
        <v>0</v>
      </c>
      <c r="K162" s="21">
        <f t="shared" si="15"/>
        <v>0</v>
      </c>
      <c r="L162" s="21">
        <f t="shared" si="16"/>
        <v>0</v>
      </c>
      <c r="M162" s="21" t="s">
        <v>660</v>
      </c>
      <c r="P162" s="328"/>
      <c r="Q162" s="328"/>
      <c r="AS162" s="5"/>
    </row>
    <row r="163" spans="1:45" ht="12.75" hidden="1" customHeight="1" x14ac:dyDescent="0.15">
      <c r="A163" s="259">
        <v>28</v>
      </c>
      <c r="B163" s="51" t="s">
        <v>584</v>
      </c>
      <c r="C163" s="21" t="s">
        <v>547</v>
      </c>
      <c r="D163" s="104">
        <f>IF(ISERROR(HLOOKUP(J163,$Q$73:$W$74,2)),0,HLOOKUP(J163,$Q$73:$W$74,2))</f>
        <v>0</v>
      </c>
      <c r="E163" s="104">
        <f>IF(ISERROR(HLOOKUP(K163,$Q$73:$W$74,2)),0,HLOOKUP(K163,$Q$73:$W$74,2))</f>
        <v>0</v>
      </c>
      <c r="F163" s="104">
        <f>IF(ISERROR(HLOOKUP(L163,$Q$73:$W$74,2)),0,HLOOKUP(L163,$Q$73:$W$74,2))</f>
        <v>0</v>
      </c>
      <c r="G163" s="396">
        <f t="shared" si="17"/>
        <v>0</v>
      </c>
      <c r="H163" s="103">
        <f t="shared" si="18"/>
        <v>0</v>
      </c>
      <c r="I163" s="103">
        <f t="shared" si="19"/>
        <v>0</v>
      </c>
      <c r="J163" s="21">
        <f t="shared" si="14"/>
        <v>0</v>
      </c>
      <c r="K163" s="21">
        <f t="shared" si="15"/>
        <v>0</v>
      </c>
      <c r="L163" s="21">
        <f t="shared" si="16"/>
        <v>0</v>
      </c>
      <c r="M163" s="21" t="s">
        <v>660</v>
      </c>
      <c r="P163" s="328"/>
      <c r="Q163" s="328"/>
      <c r="AS163" s="5"/>
    </row>
    <row r="164" spans="1:45" ht="12.75" hidden="1" customHeight="1" x14ac:dyDescent="0.15">
      <c r="A164" s="259">
        <v>29</v>
      </c>
      <c r="B164" s="51" t="s">
        <v>585</v>
      </c>
      <c r="C164" s="21" t="s">
        <v>613</v>
      </c>
      <c r="D164" s="104">
        <f>IF(ISERROR(HLOOKUP(J164,$Q$48:$V$49,2)),0,HLOOKUP(J164,$Q$48:$V$49,2))</f>
        <v>0</v>
      </c>
      <c r="E164" s="104">
        <f>IF(ISERROR(HLOOKUP(K164,$Q$48:$V$49,2)),0,HLOOKUP(K164,$Q$48:$V$49,2))</f>
        <v>0</v>
      </c>
      <c r="F164" s="104">
        <f>IF(ISERROR(HLOOKUP(L164,$Q$48:$V$49,2)),0,HLOOKUP(L164,$Q$48:$V$49,2))</f>
        <v>0</v>
      </c>
      <c r="G164" s="396">
        <f t="shared" si="17"/>
        <v>0</v>
      </c>
      <c r="H164" s="103">
        <f t="shared" si="18"/>
        <v>0</v>
      </c>
      <c r="I164" s="103">
        <f t="shared" si="19"/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45" ht="13.5" hidden="1" customHeight="1" x14ac:dyDescent="0.15">
      <c r="A165" s="259">
        <v>30</v>
      </c>
      <c r="B165" s="51" t="s">
        <v>586</v>
      </c>
      <c r="C165" s="21" t="s">
        <v>613</v>
      </c>
      <c r="D165" s="104">
        <f>IF(ISERROR(HLOOKUP(J165,$Q$48:$AA$49,2)),0,HLOOKUP(J165,$Q$48:$AA$49,2))</f>
        <v>0</v>
      </c>
      <c r="E165" s="104">
        <f>IF(ISERROR(HLOOKUP(K165,$Q$48:$AA$49,2)),0,HLOOKUP(K165,$Q$48:$AA$49,2))</f>
        <v>0</v>
      </c>
      <c r="F165" s="104">
        <f>IF(ISERROR(HLOOKUP(L165,$Q$48:$AA$49,2)),0,HLOOKUP(L165,$Q$48:$AA$49,2))</f>
        <v>0</v>
      </c>
      <c r="G165" s="396">
        <f t="shared" si="17"/>
        <v>0</v>
      </c>
      <c r="H165" s="103">
        <f t="shared" si="18"/>
        <v>0</v>
      </c>
      <c r="I165" s="103">
        <f t="shared" si="19"/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45" ht="12.75" hidden="1" customHeight="1" x14ac:dyDescent="0.15">
      <c r="A166" s="259" t="s">
        <v>587</v>
      </c>
      <c r="B166" s="51" t="s">
        <v>685</v>
      </c>
      <c r="C166" s="21" t="s">
        <v>547</v>
      </c>
      <c r="D166" s="104">
        <f>IF(ISERROR(HLOOKUP(J166,$Q$73:$X$74,2)),0,HLOOKUP(J166,$Q$73:$X$74,2))</f>
        <v>0</v>
      </c>
      <c r="E166" s="104">
        <f>IF(ISERROR(HLOOKUP(K166,$Q$73:$X$74,2)),0,HLOOKUP(K166,$Q$73:$X$74,2))</f>
        <v>0</v>
      </c>
      <c r="F166" s="104">
        <f>IF(ISERROR(HLOOKUP(L166,$Q$73:$X$74,2)),0,HLOOKUP(L166,$Q$73:$X$74,2))</f>
        <v>0</v>
      </c>
      <c r="G166" s="396">
        <f t="shared" si="17"/>
        <v>0</v>
      </c>
      <c r="H166" s="103">
        <f t="shared" si="18"/>
        <v>0</v>
      </c>
      <c r="I166" s="103">
        <f t="shared" si="19"/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116"/>
    </row>
    <row r="167" spans="1:45" ht="12.75" hidden="1" customHeight="1" x14ac:dyDescent="0.15">
      <c r="A167" s="259">
        <v>31</v>
      </c>
      <c r="B167" s="51" t="s">
        <v>588</v>
      </c>
      <c r="C167" s="21" t="s">
        <v>613</v>
      </c>
      <c r="D167" s="104">
        <f>IF(ISERROR(HLOOKUP(J167,$Q$42:$AG$43,2)),0,HLOOKUP(J167,$Q$42:$AG$43,2))</f>
        <v>0</v>
      </c>
      <c r="E167" s="104">
        <f>IF(ISERROR(HLOOKUP(K167,$Q$42:$AG$43,2)),0,HLOOKUP(K167,$Q$42:$AG$43,2))</f>
        <v>0</v>
      </c>
      <c r="F167" s="104">
        <f>IF(ISERROR(HLOOKUP(L167,$Q$42:$AG$43,2)),0,HLOOKUP(L167,$Q$42:$AG$43,2))</f>
        <v>0</v>
      </c>
      <c r="G167" s="396">
        <f t="shared" si="17"/>
        <v>0</v>
      </c>
      <c r="H167" s="103">
        <f t="shared" si="18"/>
        <v>0</v>
      </c>
      <c r="I167" s="103">
        <f t="shared" si="19"/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69"/>
    </row>
    <row r="168" spans="1:45" ht="12.75" hidden="1" customHeight="1" x14ac:dyDescent="0.15">
      <c r="A168" s="259">
        <v>32</v>
      </c>
      <c r="B168" s="338" t="s">
        <v>617</v>
      </c>
      <c r="C168" s="21" t="s">
        <v>613</v>
      </c>
      <c r="D168" s="104">
        <f>IF(ISERROR(HLOOKUP(J168,$Q$42:$AA$43,2)),0,HLOOKUP(J168,$Q$42:$AA$43,2))</f>
        <v>0</v>
      </c>
      <c r="E168" s="104">
        <f>IF(ISERROR(HLOOKUP(K168,$Q$42:$AA$43,2)),0,HLOOKUP(K168,$Q$42:$AA$43,2))</f>
        <v>0</v>
      </c>
      <c r="F168" s="104">
        <f>IF(ISERROR(HLOOKUP(L168,$Q$42:$AA$43,2)),0,HLOOKUP(L168,$Q$42:$AA$43,2))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78" t="s">
        <v>661</v>
      </c>
      <c r="P168" s="44"/>
      <c r="Q168" s="44"/>
      <c r="AS168" s="69"/>
    </row>
    <row r="169" spans="1:45" ht="12.75" hidden="1" customHeight="1" x14ac:dyDescent="0.15">
      <c r="A169" s="259">
        <v>33</v>
      </c>
      <c r="B169" s="338" t="s">
        <v>618</v>
      </c>
      <c r="C169" s="21" t="s">
        <v>613</v>
      </c>
      <c r="D169" s="104">
        <f>IF(ISERROR(HLOOKUP(J169,$Q$39:$AA$40,2)),0,HLOOKUP(J169,$Q$39:$AA$40,2))</f>
        <v>0</v>
      </c>
      <c r="E169" s="104">
        <f>IF(ISERROR(HLOOKUP(K169,$Q$39:$AA$40,2)),0,HLOOKUP(K169,$Q$39:$AA$40,2))</f>
        <v>0</v>
      </c>
      <c r="F169" s="104">
        <f>IF(ISERROR(HLOOKUP(L169,$Q$39:$AA$40,2)),0,HLOOKUP(L169,$Q$39:$AA$40,2))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78" t="s">
        <v>661</v>
      </c>
      <c r="P169" s="44"/>
      <c r="Q169" s="44"/>
      <c r="AS169" s="69"/>
    </row>
    <row r="170" spans="1:45" ht="12.75" hidden="1" customHeight="1" x14ac:dyDescent="0.15">
      <c r="A170" s="259">
        <v>34</v>
      </c>
      <c r="B170" s="338" t="s">
        <v>619</v>
      </c>
      <c r="C170" s="21" t="s">
        <v>527</v>
      </c>
      <c r="D170" s="104">
        <f>IF(ISERROR(HLOOKUP(J170,$Q$26:$AY$27,2)),0,HLOOKUP(J170,$Q$26:$AY$27,2))</f>
        <v>0</v>
      </c>
      <c r="E170" s="104">
        <f>IF(ISERROR(HLOOKUP(K170,$Q$26:$AY$27,2)),0,HLOOKUP(K170,$Q$26:$AY$27,2))</f>
        <v>0</v>
      </c>
      <c r="F170" s="104">
        <f>IF(ISERROR(HLOOKUP(L170,$Q$26:$AY$27,2)),0,HLOOKUP(L170,$Q$26:$AY$27,2))</f>
        <v>0</v>
      </c>
      <c r="G170" s="396">
        <f>SUM($F$27:$F$33)</f>
        <v>0</v>
      </c>
      <c r="H170" s="103">
        <f>SUM($F$27:$F$33)+$J$51</f>
        <v>0</v>
      </c>
      <c r="I170" s="103">
        <f>SUM($F$27:$F$33)+$J$51+$J$60</f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x14ac:dyDescent="0.15">
      <c r="A171" s="259">
        <v>35</v>
      </c>
      <c r="B171" s="338" t="s">
        <v>620</v>
      </c>
      <c r="C171" s="21" t="s">
        <v>613</v>
      </c>
      <c r="D171" s="104">
        <f>IF(ISERROR(HLOOKUP(J171,$Q$39:$AB$40,2)),0,HLOOKUP(J171,$Q$39:$AB$40,2))</f>
        <v>0</v>
      </c>
      <c r="E171" s="104">
        <f>IF(ISERROR(HLOOKUP(K171,$Q$39:$AB$40,2)),0,HLOOKUP(K171,$Q$39:$AB$40,2))</f>
        <v>0</v>
      </c>
      <c r="F171" s="104">
        <f>IF(ISERROR(HLOOKUP(L171,$Q$39:$AB$40,2)),0,HLOOKUP(L171,$Q$39:$AB$40,2))</f>
        <v>0</v>
      </c>
      <c r="G171" s="396">
        <f>SUM($F$27:$F$32)</f>
        <v>0</v>
      </c>
      <c r="H171" s="103">
        <f>SUM($F$27:$F$32)+$J$51</f>
        <v>0</v>
      </c>
      <c r="I171" s="103">
        <f>SUM($F$27:$F$32)+$J$51+$J$60</f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78" t="s">
        <v>661</v>
      </c>
      <c r="P171" s="44"/>
      <c r="Q171" s="44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</row>
    <row r="172" spans="1:45" ht="12.75" hidden="1" customHeight="1" x14ac:dyDescent="0.15">
      <c r="A172" s="259">
        <v>36</v>
      </c>
      <c r="B172" s="339" t="s">
        <v>621</v>
      </c>
      <c r="C172" s="21" t="s">
        <v>613</v>
      </c>
      <c r="D172" s="104">
        <f>IF(ISERROR(HLOOKUP(J172,$Q$39:$AA$40,2)),0,HLOOKUP(J172,$Q$39:$AA$40,2))</f>
        <v>0</v>
      </c>
      <c r="E172" s="104">
        <f>IF(ISERROR(HLOOKUP(K172,$Q$39:$AA$40,2)),0,HLOOKUP(K172,$Q$39:$AA$40,2))</f>
        <v>0</v>
      </c>
      <c r="F172" s="104">
        <f>IF(ISERROR(HLOOKUP(L172,$Q$39:$AA$40,2)),0,HLOOKUP(L172,$Q$39:$AA$40,2))</f>
        <v>0</v>
      </c>
      <c r="G172" s="396">
        <f>SUM($F$30:$F$32)</f>
        <v>0</v>
      </c>
      <c r="H172" s="103">
        <f>SUM($F$30:$F$32)+$J$51</f>
        <v>0</v>
      </c>
      <c r="I172" s="103">
        <f>SUM($F$30:$F$32)+$J$51+$J$60</f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78" t="s">
        <v>661</v>
      </c>
      <c r="P172" s="44"/>
      <c r="Q172" s="44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</row>
    <row r="173" spans="1:45" ht="12.75" hidden="1" customHeight="1" x14ac:dyDescent="0.15">
      <c r="A173" s="259">
        <v>37</v>
      </c>
      <c r="B173" s="340" t="s">
        <v>622</v>
      </c>
      <c r="C173" s="21" t="s">
        <v>547</v>
      </c>
      <c r="D173" s="104">
        <f t="shared" ref="D173:F174" si="20">IF(ISERROR(HLOOKUP(J173,$Q$73:$AB$74,2)),0,HLOOKUP(J173,$Q$73:$AB$74,2))</f>
        <v>0</v>
      </c>
      <c r="E173" s="104">
        <f t="shared" si="20"/>
        <v>0</v>
      </c>
      <c r="F173" s="104">
        <f t="shared" si="20"/>
        <v>0</v>
      </c>
      <c r="G173" s="396">
        <f>SUM($F$27:$F$32)</f>
        <v>0</v>
      </c>
      <c r="H173" s="103">
        <f>SUM($F$27:$F$32)+$J$51</f>
        <v>0</v>
      </c>
      <c r="I173" s="103">
        <f>SUM($F$27:$F$32)+$J$51+$J$60</f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H173" s="69"/>
      <c r="AI173" s="116"/>
      <c r="AJ173" s="116"/>
      <c r="AK173" s="116"/>
      <c r="AL173" s="69"/>
      <c r="AM173" s="69"/>
      <c r="AN173" s="69"/>
      <c r="AO173" s="69"/>
      <c r="AP173" s="69"/>
      <c r="AQ173" s="69"/>
      <c r="AR173" s="69"/>
      <c r="AS173" s="69"/>
    </row>
    <row r="174" spans="1:45" ht="12.75" hidden="1" customHeight="1" x14ac:dyDescent="0.15">
      <c r="A174" s="259">
        <v>38</v>
      </c>
      <c r="B174" s="340" t="s">
        <v>623</v>
      </c>
      <c r="C174" s="21" t="s">
        <v>547</v>
      </c>
      <c r="D174" s="104">
        <f t="shared" si="20"/>
        <v>0</v>
      </c>
      <c r="E174" s="104">
        <f t="shared" si="20"/>
        <v>0</v>
      </c>
      <c r="F174" s="104">
        <f t="shared" si="20"/>
        <v>0</v>
      </c>
      <c r="G174" s="396">
        <f>SUM($F$30:$F$32)</f>
        <v>0</v>
      </c>
      <c r="H174" s="103">
        <f>SUM($F$30:$F$32)+$J$51</f>
        <v>0</v>
      </c>
      <c r="I174" s="103">
        <f>SUM($F$30:$F$32)+$J$51+$J$60</f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</row>
    <row r="175" spans="1:45" ht="12.75" hidden="1" customHeight="1" thickBot="1" x14ac:dyDescent="0.2">
      <c r="A175" s="259">
        <v>39</v>
      </c>
      <c r="B175" s="340" t="s">
        <v>624</v>
      </c>
      <c r="C175" s="21" t="s">
        <v>613</v>
      </c>
      <c r="D175" s="104">
        <f>IF(ISERROR(HLOOKUP(J175,$Q$48:$Y$49,2)),0,HLOOKUP(J175,$Q$48:$Y$49,2))</f>
        <v>0</v>
      </c>
      <c r="E175" s="104">
        <f>IF(ISERROR(HLOOKUP(K175,$Q$48:$Y$49,2)),0,HLOOKUP(K175,$Q$48:$Y$49,2))</f>
        <v>0</v>
      </c>
      <c r="F175" s="104">
        <f>IF(ISERROR(HLOOKUP(L175,$Q$48:$Y$49,2)),0,HLOOKUP(L175,$Q$48:$Y$49,2))</f>
        <v>0</v>
      </c>
      <c r="G175" s="396">
        <f>SUM($F$30:$F$32)</f>
        <v>0</v>
      </c>
      <c r="H175" s="103">
        <f>SUM($F$30:$F$32)+$J$51</f>
        <v>0</v>
      </c>
      <c r="I175" s="103">
        <f>SUM($F$30:$F$32)+$J$51+$J$60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40</v>
      </c>
      <c r="B176" s="340" t="s">
        <v>625</v>
      </c>
      <c r="C176" s="21" t="s">
        <v>613</v>
      </c>
      <c r="D176" s="104">
        <f>IF(ISERROR(HLOOKUP(J176,$Q$48:$AA$49,2)),0,HLOOKUP(J176,$Q$48:$AA$49,2))</f>
        <v>0</v>
      </c>
      <c r="E176" s="104">
        <f>IF(ISERROR(HLOOKUP(K176,$Q$48:$AA$49,2)),0,HLOOKUP(K176,$Q$48:$AA$49,2))</f>
        <v>0</v>
      </c>
      <c r="F176" s="104">
        <f>IF(ISERROR(HLOOKUP(L176,$Q$48:$AA$49,2)),0,HLOOKUP(L176,$Q$48:$AA$49,2))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N176" s="341" t="s">
        <v>613</v>
      </c>
      <c r="O176" s="256">
        <f>IF(ISERROR(HLOOKUP(J177,$Q$63:$AA$64,2)),0,HLOOKUP(J177,$Q$63:$AA$64,2))</f>
        <v>0</v>
      </c>
      <c r="P176" s="144">
        <f>IF(ISERROR(HLOOKUP(K177,$Q$63:$AA$64,2)),0,HLOOKUP(K177,$Q$63:$AA$64,2))</f>
        <v>0</v>
      </c>
      <c r="Q176" s="144">
        <f>IF(ISERROR(HLOOKUP(L177,$Q$63:$AA$64,2)),0,HLOOKUP(L177,$Q$63:$AA$64,2))</f>
        <v>0</v>
      </c>
      <c r="R176" s="342" t="s">
        <v>695</v>
      </c>
    </row>
    <row r="177" spans="1:20" ht="12.75" hidden="1" customHeight="1" thickBot="1" x14ac:dyDescent="0.2">
      <c r="A177" s="259">
        <v>41</v>
      </c>
      <c r="B177" s="340" t="s">
        <v>626</v>
      </c>
      <c r="C177" s="21" t="str">
        <f>IF($N$8&gt;=$R$177,$P$20,$P$19)</f>
        <v>TRIÊNIO</v>
      </c>
      <c r="D177" s="343">
        <f>IF($C$177=$N$176,$O$176,$O$177)</f>
        <v>0</v>
      </c>
      <c r="E177" s="343">
        <f>IF($C$177=$N$176,$P$176,$P$177)</f>
        <v>0</v>
      </c>
      <c r="F177" s="343">
        <f>IF($C$177=$N$176,$Q$176,$Q$177)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N177" s="344" t="s">
        <v>547</v>
      </c>
      <c r="O177" s="257">
        <f>IF(ISERROR(HLOOKUP(J177,$Q$73:$W$74,2)),0,HLOOKUP(J177,$Q$73:$W$74,2))</f>
        <v>0</v>
      </c>
      <c r="P177" s="145">
        <f>IF(ISERROR(HLOOKUP(K177,$Q$73:$W$74,2)),0,HLOOKUP(K177,$Q$73:$W$74,2))</f>
        <v>0</v>
      </c>
      <c r="Q177" s="145">
        <f>IF(ISERROR(HLOOKUP(L177,$Q$73:$W$74,2)),0,HLOOKUP(L177,$Q$73:$W$74,2))</f>
        <v>0</v>
      </c>
      <c r="R177" s="398">
        <v>36539</v>
      </c>
      <c r="S177" s="103"/>
      <c r="T177" s="103"/>
    </row>
    <row r="178" spans="1:20" ht="12.75" hidden="1" customHeight="1" x14ac:dyDescent="0.15">
      <c r="A178" s="259">
        <v>42</v>
      </c>
      <c r="B178" s="340" t="s">
        <v>627</v>
      </c>
      <c r="C178" s="21"/>
      <c r="D178" s="54"/>
      <c r="E178" s="54"/>
      <c r="F178" s="54"/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</row>
    <row r="179" spans="1:20" ht="12.75" hidden="1" customHeight="1" x14ac:dyDescent="0.15">
      <c r="A179" s="259">
        <v>43</v>
      </c>
      <c r="B179" s="340" t="s">
        <v>628</v>
      </c>
      <c r="C179" s="21" t="s">
        <v>527</v>
      </c>
      <c r="D179" s="104">
        <f>IF(ISERROR(HLOOKUP(J179,$Q$26:$AY$27,2)),0,HLOOKUP(J179,$Q$26:$AY$27,2))</f>
        <v>0</v>
      </c>
      <c r="E179" s="104">
        <f>IF(ISERROR(HLOOKUP(K179,$Q$26:$AY$27,2)),0,HLOOKUP(K179,$Q$26:$AY$27,2))</f>
        <v>0</v>
      </c>
      <c r="F179" s="104">
        <f>IF(ISERROR(HLOOKUP(L179,$Q$26:$AY$27,2)),0,HLOOKUP(L179,$Q$26:$AY$27,2))</f>
        <v>0</v>
      </c>
      <c r="G179" s="396">
        <f>SUM($F$27:$F$33)</f>
        <v>0</v>
      </c>
      <c r="H179" s="103">
        <f>SUM($F$27:$F$33)+$J$51</f>
        <v>0</v>
      </c>
      <c r="I179" s="103">
        <f>SUM($F$27:$F$33)+$J$51+$J$60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</row>
    <row r="180" spans="1:20" ht="12.75" hidden="1" customHeight="1" x14ac:dyDescent="0.15">
      <c r="A180" s="259">
        <v>44</v>
      </c>
      <c r="B180" s="340" t="s">
        <v>629</v>
      </c>
      <c r="C180" s="21" t="s">
        <v>547</v>
      </c>
      <c r="D180" s="104">
        <f t="shared" ref="D180:F181" si="21">IF(ISERROR(HLOOKUP(J180,$Q$73:$W$74,2)),0,HLOOKUP(J180,$Q$73:$W$74,2))</f>
        <v>0</v>
      </c>
      <c r="E180" s="104">
        <f t="shared" si="21"/>
        <v>0</v>
      </c>
      <c r="F180" s="104">
        <f t="shared" si="21"/>
        <v>0</v>
      </c>
      <c r="G180" s="396">
        <f>SUM($F$27:$F$32)</f>
        <v>0</v>
      </c>
      <c r="H180" s="103">
        <f>SUM($F$27:$F$32)+$J$51</f>
        <v>0</v>
      </c>
      <c r="I180" s="103">
        <f>SUM($F$27:$F$32)+$J$51+$J$60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20" ht="12.75" hidden="1" customHeight="1" x14ac:dyDescent="0.15">
      <c r="A181" s="259">
        <v>45</v>
      </c>
      <c r="B181" s="340" t="s">
        <v>630</v>
      </c>
      <c r="C181" s="21" t="s">
        <v>547</v>
      </c>
      <c r="D181" s="104">
        <f t="shared" si="21"/>
        <v>0</v>
      </c>
      <c r="E181" s="104">
        <f t="shared" si="21"/>
        <v>0</v>
      </c>
      <c r="F181" s="104">
        <f t="shared" si="21"/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P181" s="44"/>
      <c r="Q181" s="44"/>
    </row>
    <row r="182" spans="1:20" ht="12.75" hidden="1" customHeight="1" x14ac:dyDescent="0.15">
      <c r="A182" s="259">
        <v>46</v>
      </c>
      <c r="B182" s="340" t="s">
        <v>631</v>
      </c>
      <c r="C182" s="21" t="s">
        <v>527</v>
      </c>
      <c r="D182" s="104">
        <f>IF(ISERROR(HLOOKUP(J182,$Q$26:$AY$27,2)),0,HLOOKUP(J182,$Q$26:$AY$27,2))</f>
        <v>0</v>
      </c>
      <c r="E182" s="104">
        <f>IF(ISERROR(HLOOKUP(K182,$Q$26:$AY$27,2)),0,HLOOKUP(K182,$Q$26:$AY$27,2))</f>
        <v>0</v>
      </c>
      <c r="F182" s="104">
        <f>IF(ISERROR(HLOOKUP(L182,$Q$26:$AY$27,2)),0,HLOOKUP(L182,$Q$26:$AY$27,2))</f>
        <v>0</v>
      </c>
      <c r="G182" s="396">
        <f>SUM($F$27:$F$32)</f>
        <v>0</v>
      </c>
      <c r="H182" s="103">
        <f>SUM($F$27:$F$32)+$J$51</f>
        <v>0</v>
      </c>
      <c r="I182" s="103">
        <f>SUM($F$27:$F$32)+$J$51+$J$60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P182" s="44"/>
      <c r="Q182" s="44"/>
    </row>
    <row r="183" spans="1:20" ht="12.75" hidden="1" customHeight="1" x14ac:dyDescent="0.15">
      <c r="A183" s="259">
        <v>47</v>
      </c>
      <c r="B183" s="340" t="s">
        <v>632</v>
      </c>
      <c r="C183" s="21" t="s">
        <v>613</v>
      </c>
      <c r="D183" s="104">
        <f>IF(ISERROR(HLOOKUP(J183,$Q$48:$Z$49,2)),0,HLOOKUP(J183,$Q$48:$Z$49,2))</f>
        <v>0</v>
      </c>
      <c r="E183" s="104">
        <f>IF(ISERROR(HLOOKUP(K183,$Q$48:$Z$49,2)),0,HLOOKUP(K183,$Q$48:$Z$49,2))</f>
        <v>0</v>
      </c>
      <c r="F183" s="104">
        <f>IF(ISERROR(HLOOKUP(L183,$Q$48:$Z$49,2)),0,HLOOKUP(L183,$Q$48:$Z$49,2))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20" ht="12.75" hidden="1" customHeight="1" x14ac:dyDescent="0.15">
      <c r="A184" s="259">
        <v>48</v>
      </c>
      <c r="B184" s="340" t="s">
        <v>633</v>
      </c>
      <c r="C184" s="21" t="s">
        <v>613</v>
      </c>
      <c r="D184" s="104">
        <f>IF(ISERROR(HLOOKUP(J184,$Q$48:$AJ$49,2)),0,HLOOKUP(J184,$Q$48:$AJ$49,2))</f>
        <v>0</v>
      </c>
      <c r="E184" s="104">
        <f>IF(ISERROR(HLOOKUP(K184,$Q$48:$AJ$49,2)),0,HLOOKUP(K184,$Q$48:$AJ$49,2))</f>
        <v>0</v>
      </c>
      <c r="F184" s="104">
        <f>IF(ISERROR(HLOOKUP(L184,$Q$48:$AJ$49,2)),0,HLOOKUP(L184,$Q$48:$AJ$49,2))</f>
        <v>0</v>
      </c>
      <c r="G184" s="396">
        <f>SUM($F$30:$F$33)</f>
        <v>0</v>
      </c>
      <c r="H184" s="103">
        <f>SUM($F$30:$F$33)+$J$51</f>
        <v>0</v>
      </c>
      <c r="I184" s="103">
        <f>SUM($F$30:$F$33)+$J$51+$J$60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20" ht="12.75" hidden="1" customHeight="1" x14ac:dyDescent="0.15">
      <c r="A185" s="259">
        <v>49</v>
      </c>
      <c r="B185" s="340" t="s">
        <v>634</v>
      </c>
      <c r="C185" s="21" t="s">
        <v>613</v>
      </c>
      <c r="D185" s="104">
        <f>IF(ISERROR(HLOOKUP(J185,$Q$48:$Z$49,2)),0,HLOOKUP(J185,$Q$48:$Z$49,2))</f>
        <v>0</v>
      </c>
      <c r="E185" s="104">
        <f>IF(ISERROR(HLOOKUP(K185,$Q$48:$Z$49,2)),0,HLOOKUP(K185,$Q$48:$Z$49,2))</f>
        <v>0</v>
      </c>
      <c r="F185" s="104">
        <f>IF(ISERROR(HLOOKUP(L185,$Q$48:$Z$49,2)),0,HLOOKUP(L185,$Q$48:$Z$49,2))</f>
        <v>0</v>
      </c>
      <c r="G185" s="396">
        <f>SUM($F$30:$F$33)</f>
        <v>0</v>
      </c>
      <c r="H185" s="103">
        <f>SUM($F$30:$F$33)+$J$51</f>
        <v>0</v>
      </c>
      <c r="I185" s="103">
        <f>SUM($F$30:$F$33)+$J$51+$J$60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20" ht="12.75" hidden="1" customHeight="1" x14ac:dyDescent="0.15">
      <c r="A186" s="259">
        <v>50</v>
      </c>
      <c r="B186" s="340" t="s">
        <v>635</v>
      </c>
      <c r="C186" s="21" t="s">
        <v>613</v>
      </c>
      <c r="D186" s="104">
        <f>IF(ISERROR(HLOOKUP(J186,$Q$39:$AB$40,2)),0,HLOOKUP(J186,$Q$39:$AB$40,2))</f>
        <v>0</v>
      </c>
      <c r="E186" s="104">
        <f>IF(ISERROR(HLOOKUP(K186,$Q$39:$AB$40,2)),0,HLOOKUP(K186,$Q$39:$AB$40,2))</f>
        <v>0</v>
      </c>
      <c r="F186" s="104">
        <f>IF(ISERROR(HLOOKUP(L186,$Q$39:$AB$40,2)),0,HLOOKUP(L186,$Q$39:$AB$40,2))</f>
        <v>0</v>
      </c>
      <c r="G186" s="396">
        <f>SUM($F$30:$F$32)</f>
        <v>0</v>
      </c>
      <c r="H186" s="103">
        <f>SUM($F$30:$F$32)+$J$51</f>
        <v>0</v>
      </c>
      <c r="I186" s="103">
        <f>SUM($F$30:$F$32)+$J$51+$J$60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20" ht="12.75" hidden="1" customHeight="1" x14ac:dyDescent="0.15">
      <c r="A187" s="259">
        <v>51</v>
      </c>
      <c r="B187" s="340" t="s">
        <v>636</v>
      </c>
      <c r="C187" s="21" t="s">
        <v>613</v>
      </c>
      <c r="D187" s="104">
        <f>IF(ISERROR(HLOOKUP(J187,$Q$39:$AA$40,2)),0,HLOOKUP(J187,$Q$39:$AA$40,2))</f>
        <v>0</v>
      </c>
      <c r="E187" s="104">
        <f>IF(ISERROR(HLOOKUP(K187,$Q$39:$AA$40,2)),0,HLOOKUP(K187,$Q$39:$AA$40,2))</f>
        <v>0</v>
      </c>
      <c r="F187" s="104">
        <f>IF(ISERROR(HLOOKUP(L187,$Q$39:$AA$40,2)),0,HLOOKUP(L187,$Q$39:$AA$40,2))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20" ht="12.75" hidden="1" customHeight="1" x14ac:dyDescent="0.15">
      <c r="A188" s="259">
        <v>52</v>
      </c>
      <c r="B188" s="340" t="s">
        <v>637</v>
      </c>
      <c r="C188" s="21" t="s">
        <v>613</v>
      </c>
      <c r="D188" s="104">
        <f>IF(ISERROR(HLOOKUP(J188,$Q$66:$X$67,2)),0,HLOOKUP(J188,$Q$66:$X$67,2))</f>
        <v>0</v>
      </c>
      <c r="E188" s="104">
        <f>IF(ISERROR(HLOOKUP(K188,$Q$66:$X$67,2)),0,HLOOKUP(K188,$Q$66:$X$67,2))</f>
        <v>0</v>
      </c>
      <c r="F188" s="104">
        <f>IF(ISERROR(HLOOKUP(L188,$Q$66:$X$67,2)),0,HLOOKUP(L188,$Q$66:$X$67,2))</f>
        <v>0</v>
      </c>
      <c r="G188" s="396">
        <f>SUM($F$27:$F$32)</f>
        <v>0</v>
      </c>
      <c r="H188" s="103">
        <f>SUM($F$27:$F$32)+$J$51</f>
        <v>0</v>
      </c>
      <c r="I188" s="103">
        <f>SUM($F$27:$F$32)+$J$51+$J$60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20" ht="12.75" hidden="1" customHeight="1" x14ac:dyDescent="0.15">
      <c r="A189" s="259">
        <v>53</v>
      </c>
      <c r="B189" s="340" t="s">
        <v>638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20" ht="12.75" hidden="1" customHeight="1" x14ac:dyDescent="0.15">
      <c r="A190" s="259">
        <v>54</v>
      </c>
      <c r="B190" s="340" t="s">
        <v>639</v>
      </c>
      <c r="C190" s="21" t="s">
        <v>613</v>
      </c>
      <c r="D190" s="104">
        <f>IF(ISERROR(HLOOKUP(J190,$Q$39:$AA$40,2)),0,HLOOKUP(J190,$Q$39:$AA$40,2))</f>
        <v>0</v>
      </c>
      <c r="E190" s="104">
        <f>IF(ISERROR(HLOOKUP(K190,$Q$39:$AA$40,2)),0,HLOOKUP(K190,$Q$39:$AA$40,2))</f>
        <v>0</v>
      </c>
      <c r="F190" s="104">
        <f>IF(ISERROR(HLOOKUP(L190,$Q$39:$AA$40,2)),0,HLOOKUP(L190,$Q$39:$AA$40,2))</f>
        <v>0</v>
      </c>
      <c r="G190" s="396">
        <f>SUM($F$27:$F$32)</f>
        <v>0</v>
      </c>
      <c r="H190" s="103">
        <f>SUM($F$27:$F$32)+$J$51</f>
        <v>0</v>
      </c>
      <c r="I190" s="103">
        <f>SUM($F$27:$F$32)+$J$51+$J$60</f>
        <v>0</v>
      </c>
      <c r="J190" s="21">
        <f t="shared" ref="J190:J221" si="22">ROUNDDOWN(G190/365,0)</f>
        <v>0</v>
      </c>
      <c r="K190" s="21">
        <f t="shared" ref="K190:K221" si="23">ROUNDDOWN(H190/365,0)</f>
        <v>0</v>
      </c>
      <c r="L190" s="21">
        <f t="shared" ref="L190:L221" si="24">ROUNDDOWN(I190/365,0)</f>
        <v>0</v>
      </c>
      <c r="M190" s="78" t="s">
        <v>661</v>
      </c>
      <c r="P190" s="44"/>
      <c r="Q190" s="44"/>
    </row>
    <row r="191" spans="1:20" ht="12.75" hidden="1" customHeight="1" x14ac:dyDescent="0.15">
      <c r="A191" s="259">
        <v>55</v>
      </c>
      <c r="B191" s="340" t="s">
        <v>640</v>
      </c>
      <c r="C191" s="21" t="s">
        <v>613</v>
      </c>
      <c r="D191" s="104">
        <f>IF(ISERROR(HLOOKUP(J191,$Q$60:$AA$61,2)),0,HLOOKUP(J191,$Q$60:$AA$61,2))</f>
        <v>0</v>
      </c>
      <c r="E191" s="104">
        <f>IF(ISERROR(HLOOKUP(K191,$Q$60:$AA$61,2)),0,HLOOKUP(K191,$Q$60:$AA$61,2))</f>
        <v>0</v>
      </c>
      <c r="F191" s="104">
        <f>IF(ISERROR(HLOOKUP(L191,$Q$60:$AA$61,2)),0,HLOOKUP(L191,$Q$60:$AA$61,2))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22"/>
        <v>0</v>
      </c>
      <c r="K191" s="21">
        <f t="shared" si="23"/>
        <v>0</v>
      </c>
      <c r="L191" s="21">
        <f t="shared" si="24"/>
        <v>0</v>
      </c>
      <c r="M191" s="78" t="s">
        <v>661</v>
      </c>
      <c r="P191" s="44"/>
      <c r="Q191" s="44"/>
    </row>
    <row r="192" spans="1:20" ht="12.75" hidden="1" customHeight="1" x14ac:dyDescent="0.15">
      <c r="A192" s="259">
        <v>56</v>
      </c>
      <c r="B192" s="340" t="s">
        <v>683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22"/>
        <v>0</v>
      </c>
      <c r="K192" s="21">
        <f t="shared" si="23"/>
        <v>0</v>
      </c>
      <c r="L192" s="21">
        <f t="shared" si="24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57</v>
      </c>
      <c r="B193" s="340" t="s">
        <v>699</v>
      </c>
      <c r="C193" s="21" t="s">
        <v>613</v>
      </c>
      <c r="D193" s="104">
        <f>IF(ISERROR(HLOOKUP(J193,$Q$48:$AA$49,2)),0,HLOOKUP(J193,$Q$48:$AA$49,2))</f>
        <v>0</v>
      </c>
      <c r="E193" s="104">
        <f>IF(ISERROR(HLOOKUP(K193,$Q$48:$AA$49,2)),0,HLOOKUP(K193,$Q$48:$AA$49,2))</f>
        <v>0</v>
      </c>
      <c r="F193" s="104">
        <f>IF(ISERROR(HLOOKUP(L193,$Q$48:$AA$49,2)),0,HLOOKUP(L193,$Q$48:$AA$49,2))</f>
        <v>0</v>
      </c>
      <c r="G193" s="396">
        <f>SUM($F$30:$F$32)</f>
        <v>0</v>
      </c>
      <c r="H193" s="103">
        <f>SUM($F$30:$F$32)+$J$51</f>
        <v>0</v>
      </c>
      <c r="I193" s="103">
        <f>SUM($F$30:$F$32)+$J$51+$J$60</f>
        <v>0</v>
      </c>
      <c r="J193" s="21">
        <f t="shared" si="22"/>
        <v>0</v>
      </c>
      <c r="K193" s="21">
        <f t="shared" si="23"/>
        <v>0</v>
      </c>
      <c r="L193" s="21">
        <f t="shared" si="24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58</v>
      </c>
      <c r="B194" s="340" t="s">
        <v>641</v>
      </c>
      <c r="C194" s="21" t="s">
        <v>613</v>
      </c>
      <c r="D194" s="104">
        <f>IF(ISERROR(HLOOKUP(J194,$Q$69:$AC$70,2)),0,HLOOKUP(J194,$Q$69:$AC$70,2))</f>
        <v>0</v>
      </c>
      <c r="E194" s="104">
        <f>IF(ISERROR(HLOOKUP(K194,$Q$69:$AC$70,2)),0,HLOOKUP(K194,$Q$69:$AC$70,2))</f>
        <v>0</v>
      </c>
      <c r="F194" s="104">
        <f>IF(ISERROR(HLOOKUP(L194,$Q$69:$AC$70,2)),0,HLOOKUP(L194,$Q$69:$AC$70,2))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22"/>
        <v>0</v>
      </c>
      <c r="K194" s="21">
        <f t="shared" si="23"/>
        <v>0</v>
      </c>
      <c r="L194" s="21">
        <f t="shared" si="24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59</v>
      </c>
      <c r="B195" s="340" t="s">
        <v>642</v>
      </c>
      <c r="C195" s="21" t="s">
        <v>613</v>
      </c>
      <c r="D195" s="104">
        <f>IF(ISERROR(HLOOKUP(J195,$Q$39:$AB$40,2)),0,HLOOKUP(J195,$Q$39:$AB$40,2))</f>
        <v>0</v>
      </c>
      <c r="E195" s="104">
        <f>IF(ISERROR(HLOOKUP(K195,$Q$39:$AB$40,2)),0,HLOOKUP(K195,$Q$39:$AB$40,2))</f>
        <v>0</v>
      </c>
      <c r="F195" s="104">
        <f>IF(ISERROR(HLOOKUP(L195,$Q$39:$AB$40,2)),0,HLOOKUP(L195,$Q$39:$AB$40,2))</f>
        <v>0</v>
      </c>
      <c r="G195" s="396">
        <f>SUM($F$27:$F$33)</f>
        <v>0</v>
      </c>
      <c r="H195" s="103">
        <f>SUM($F$27:$F$33)+$J$51</f>
        <v>0</v>
      </c>
      <c r="I195" s="103">
        <f>SUM($F$27:$F$33)+$J$51+$J$60</f>
        <v>0</v>
      </c>
      <c r="J195" s="21">
        <f t="shared" si="22"/>
        <v>0</v>
      </c>
      <c r="K195" s="21">
        <f t="shared" si="23"/>
        <v>0</v>
      </c>
      <c r="L195" s="21">
        <f t="shared" si="24"/>
        <v>0</v>
      </c>
      <c r="M195" s="78" t="s">
        <v>661</v>
      </c>
      <c r="P195" s="44"/>
      <c r="Q195" s="44"/>
      <c r="AC195" s="69"/>
      <c r="AD195" s="69"/>
      <c r="AE195" s="69"/>
      <c r="AF195" s="69"/>
      <c r="AG195" s="69"/>
    </row>
    <row r="196" spans="1:33" ht="12.75" hidden="1" customHeight="1" x14ac:dyDescent="0.15">
      <c r="A196" s="259">
        <v>60</v>
      </c>
      <c r="B196" s="340" t="s">
        <v>643</v>
      </c>
      <c r="C196" s="21" t="s">
        <v>547</v>
      </c>
      <c r="D196" s="104">
        <f>IF(ISERROR(HLOOKUP(J196,$Q$80:$W$81,2)),0,HLOOKUP(J196,$Q$80:$W$81,2))</f>
        <v>0</v>
      </c>
      <c r="E196" s="104">
        <f>IF(ISERROR(HLOOKUP(K196,$Q$80:$W$81,2)),0,HLOOKUP(K196,$Q$80:$W$81,2))</f>
        <v>0</v>
      </c>
      <c r="F196" s="104">
        <f>IF(ISERROR(HLOOKUP(L196,$Q$80:$W$81,2)),0,HLOOKUP(L196,$Q$80:$W$81,2))</f>
        <v>0</v>
      </c>
      <c r="G196" s="396">
        <f>SUM($F$30:$F$33)</f>
        <v>0</v>
      </c>
      <c r="H196" s="103">
        <f>SUM($F$30:$F$33)+$J$51</f>
        <v>0</v>
      </c>
      <c r="I196" s="103">
        <f>SUM($F$30:$F$33)+$J$51+$J$60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  <c r="AC196" s="69"/>
      <c r="AD196" s="69"/>
      <c r="AE196" s="69"/>
      <c r="AF196" s="69"/>
      <c r="AG196" s="69"/>
    </row>
    <row r="197" spans="1:33" ht="12.75" hidden="1" customHeight="1" x14ac:dyDescent="0.15">
      <c r="A197" s="259">
        <v>61</v>
      </c>
      <c r="B197" s="340" t="s">
        <v>644</v>
      </c>
      <c r="C197" s="21" t="s">
        <v>613</v>
      </c>
      <c r="D197" s="104">
        <f>IF(ISERROR(HLOOKUP(J197,$Q$39:$AA$40,2)),0,HLOOKUP(J197,$Q$39:$AA$40,2))</f>
        <v>0</v>
      </c>
      <c r="E197" s="104">
        <f>IF(ISERROR(HLOOKUP(K197,$Q$39:$AA$40,2)),0,HLOOKUP(K197,$Q$39:$AA$40,2))</f>
        <v>0</v>
      </c>
      <c r="F197" s="104">
        <f>IF(ISERROR(HLOOKUP(L197,$Q$39:$AA$40,2)),0,HLOOKUP(L197,$Q$39:$AA$40,2))</f>
        <v>0</v>
      </c>
      <c r="G197" s="396">
        <f>SUM($F$27:$F$33)</f>
        <v>0</v>
      </c>
      <c r="H197" s="103">
        <f>SUM($F$27:$F$33)+$J$51</f>
        <v>0</v>
      </c>
      <c r="I197" s="103">
        <f>SUM($F$27:$F$33)+$J$51+$J$60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  <c r="AC197" s="69"/>
      <c r="AD197" s="69"/>
      <c r="AE197" s="69"/>
      <c r="AF197" s="69"/>
      <c r="AG197" s="69"/>
    </row>
    <row r="198" spans="1:33" ht="12.75" hidden="1" customHeight="1" x14ac:dyDescent="0.15">
      <c r="A198" s="259">
        <v>62</v>
      </c>
      <c r="B198" s="345" t="s">
        <v>645</v>
      </c>
      <c r="C198" s="21" t="s">
        <v>527</v>
      </c>
      <c r="D198" s="104">
        <f>IF(ISERROR(HLOOKUP(J198,$Q$26:$AY$27,2)),0,HLOOKUP(J198,$Q$26:$AY$27,2))</f>
        <v>0</v>
      </c>
      <c r="E198" s="104">
        <f>IF(ISERROR(HLOOKUP(K198,$Q$26:$AY$27,2)),0,HLOOKUP(K198,$Q$26:$AY$27,2))</f>
        <v>0</v>
      </c>
      <c r="F198" s="104">
        <f>IF(ISERROR(HLOOKUP(L198,$Q$26:$AY$27,2)),0,HLOOKUP(L198,$Q$26:$AY$27,2))</f>
        <v>0</v>
      </c>
      <c r="G198" s="396">
        <f>SUM($F$30:$F$32)</f>
        <v>0</v>
      </c>
      <c r="H198" s="103">
        <f>SUM($F$27:$F$32)+$J$51</f>
        <v>0</v>
      </c>
      <c r="I198" s="103">
        <f>SUM($F$27:$F$32)+$J$51+$J$60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69"/>
    </row>
    <row r="199" spans="1:33" ht="12.75" hidden="1" customHeight="1" x14ac:dyDescent="0.15">
      <c r="A199" s="259">
        <v>63</v>
      </c>
      <c r="B199" s="345" t="s">
        <v>646</v>
      </c>
      <c r="C199" s="21"/>
      <c r="D199" s="54"/>
      <c r="E199" s="54"/>
      <c r="F199" s="54"/>
      <c r="G199" s="54"/>
      <c r="H199" s="54"/>
      <c r="I199" s="347"/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64</v>
      </c>
      <c r="B200" s="349" t="s">
        <v>647</v>
      </c>
      <c r="C200" s="308" t="s">
        <v>613</v>
      </c>
      <c r="D200" s="305">
        <f>IF(ISERROR(HLOOKUP(J200,$Q$48:$AB$49,2)),0,HLOOKUP(J200,$Q$48:$AB$49,2))</f>
        <v>0</v>
      </c>
      <c r="E200" s="305">
        <f>IF(ISERROR(HLOOKUP(K200,$Q$48:$AB$49,2)),0,HLOOKUP(K200,$Q$48:$AB$49,2))</f>
        <v>0</v>
      </c>
      <c r="F200" s="305">
        <f>IF(ISERROR(HLOOKUP(L200,$Q$48:$AB$49,2)),0,HLOOKUP(L200,$Q$48:$AB$49,2))</f>
        <v>0</v>
      </c>
      <c r="G200" s="350">
        <f>SUM($F$30:$F$33)+$O$200</f>
        <v>0</v>
      </c>
      <c r="H200" s="350">
        <f>$G$200+$J$51</f>
        <v>0</v>
      </c>
      <c r="I200" s="350">
        <f>$G$200+$J$51+$J$60</f>
        <v>0</v>
      </c>
      <c r="J200" s="351">
        <f t="shared" si="22"/>
        <v>0</v>
      </c>
      <c r="K200" s="351">
        <f t="shared" si="23"/>
        <v>0</v>
      </c>
      <c r="L200" s="351">
        <f t="shared" si="24"/>
        <v>0</v>
      </c>
      <c r="M200" s="352" t="s">
        <v>662</v>
      </c>
      <c r="N200" s="310">
        <f>SUM($F$27:$F$29)</f>
        <v>0</v>
      </c>
      <c r="O200" s="309">
        <f>IF($N$200&gt;365,365,$N$200)</f>
        <v>0</v>
      </c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65</v>
      </c>
      <c r="B201" s="345" t="s">
        <v>648</v>
      </c>
      <c r="C201" s="21" t="s">
        <v>547</v>
      </c>
      <c r="D201" s="104">
        <f>IF(ISERROR(HLOOKUP(J201,$Q$73:$AB$74,2)),0,HLOOKUP(J201,$Q$73:$AB$74,2))</f>
        <v>0</v>
      </c>
      <c r="E201" s="105">
        <f>IF(ISERROR(HLOOKUP(K201,$Q$73:$AB$74,2)),0,HLOOKUP(K201,$Q$73:$AB$74,2))</f>
        <v>0</v>
      </c>
      <c r="F201" s="106">
        <f>IF(ISERROR(HLOOKUP(L201,$Q$73:$AB$74,2)),0,HLOOKUP(L201,$Q$73:$AB$74,2))</f>
        <v>0</v>
      </c>
      <c r="G201" s="355">
        <f>SUM($F$27:$F$32)</f>
        <v>0</v>
      </c>
      <c r="H201" s="355">
        <f>SUM($F$27:$F$32)+$J$51</f>
        <v>0</v>
      </c>
      <c r="I201" s="355">
        <f>SUM($F$27:$F$32)+$J$51+$J$60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348"/>
    </row>
    <row r="202" spans="1:33" ht="12.75" hidden="1" customHeight="1" x14ac:dyDescent="0.15">
      <c r="A202" s="259">
        <v>66</v>
      </c>
      <c r="B202" s="345" t="s">
        <v>649</v>
      </c>
      <c r="C202" s="21" t="s">
        <v>613</v>
      </c>
      <c r="D202" s="104">
        <f>IF(ISERROR(HLOOKUP(J202,$Q$39:$Z$40,2)),0,HLOOKUP(J202,$Q$39:$Z$40,2))</f>
        <v>0</v>
      </c>
      <c r="E202" s="104">
        <f>IF(ISERROR(HLOOKUP(K202,$Q$39:$Z$40,2)),0,HLOOKUP(K202,$Q$39:$Z$40,2))</f>
        <v>0</v>
      </c>
      <c r="F202" s="104">
        <f>IF(ISERROR(HLOOKUP(L202,$Q$39:$Z$40,2)),0,HLOOKUP(L202,$Q$39:$Z$40,2))</f>
        <v>0</v>
      </c>
      <c r="G202" s="355">
        <f>SUM($F$30:$F$32)</f>
        <v>0</v>
      </c>
      <c r="H202" s="355">
        <f>SUM($F$30:$F$32)+$J$51</f>
        <v>0</v>
      </c>
      <c r="I202" s="355">
        <f>SUM($F$30:$F$32)+$J$51+$J$60</f>
        <v>0</v>
      </c>
      <c r="J202" s="356">
        <f t="shared" si="22"/>
        <v>0</v>
      </c>
      <c r="K202" s="356">
        <f t="shared" si="23"/>
        <v>0</v>
      </c>
      <c r="L202" s="356">
        <f t="shared" si="24"/>
        <v>0</v>
      </c>
      <c r="M202" s="346" t="s">
        <v>662</v>
      </c>
      <c r="P202" s="44"/>
      <c r="Q202" s="44"/>
      <c r="AC202" s="69"/>
      <c r="AD202" s="69"/>
      <c r="AE202" s="69"/>
      <c r="AF202" s="69"/>
      <c r="AG202" s="348"/>
    </row>
    <row r="203" spans="1:33" ht="12.75" hidden="1" customHeight="1" x14ac:dyDescent="0.15">
      <c r="A203" s="259">
        <v>67</v>
      </c>
      <c r="B203" s="345" t="s">
        <v>650</v>
      </c>
      <c r="C203" s="21" t="s">
        <v>613</v>
      </c>
      <c r="D203" s="104">
        <f>IF(ISERROR(HLOOKUP(J203,$Q$51:$Y$52,2)),0,HLOOKUP(J203,$Q$51:$Y$52,2))</f>
        <v>0</v>
      </c>
      <c r="E203" s="104">
        <f>IF(ISERROR(HLOOKUP(K203,$Q$51:$Y$52,2)),0,HLOOKUP(K203,$Q$51:$Y$52,2))</f>
        <v>0</v>
      </c>
      <c r="F203" s="104">
        <f>IF(ISERROR(HLOOKUP(L203,$Q$51:$Y$52,2)),0,HLOOKUP(L203,$Q$51:$Y$52,2))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348"/>
    </row>
    <row r="204" spans="1:33" s="308" customFormat="1" ht="12.75" hidden="1" customHeight="1" x14ac:dyDescent="0.15">
      <c r="A204" s="304">
        <v>68</v>
      </c>
      <c r="B204" s="349" t="s">
        <v>651</v>
      </c>
      <c r="C204" s="308" t="s">
        <v>547</v>
      </c>
      <c r="D204" s="305">
        <f>IF(ISERROR(HLOOKUP(J204,$Q$73:$W$74,2)),0,HLOOKUP(J204,$Q$73:$W$74,2))</f>
        <v>0</v>
      </c>
      <c r="E204" s="305">
        <f>IF(ISERROR(HLOOKUP(K204,$Q$73:$W$74,2)),0,HLOOKUP(K204,$Q$73:$W$74,2))</f>
        <v>0</v>
      </c>
      <c r="F204" s="305">
        <f>IF(ISERROR(HLOOKUP(L204,$Q$73:$W$74,2)),0,HLOOKUP(L204,$Q$73:$W$74,2))</f>
        <v>0</v>
      </c>
      <c r="G204" s="350">
        <f>$N$204</f>
        <v>0</v>
      </c>
      <c r="H204" s="350">
        <f>$G$204+$J$51</f>
        <v>0</v>
      </c>
      <c r="I204" s="350">
        <f>$G$204+$J$51+$J$60</f>
        <v>0</v>
      </c>
      <c r="J204" s="308">
        <f t="shared" si="22"/>
        <v>0</v>
      </c>
      <c r="K204" s="308">
        <f t="shared" si="23"/>
        <v>0</v>
      </c>
      <c r="L204" s="308">
        <f t="shared" si="24"/>
        <v>0</v>
      </c>
      <c r="M204" s="352" t="s">
        <v>662</v>
      </c>
      <c r="N204" s="310">
        <f>SUM(F30:F32)</f>
        <v>0</v>
      </c>
      <c r="O204" s="309"/>
      <c r="P204" s="353"/>
      <c r="Q204" s="353"/>
      <c r="AC204" s="354"/>
      <c r="AD204" s="354"/>
      <c r="AE204" s="354"/>
      <c r="AF204" s="354"/>
      <c r="AG204" s="354"/>
    </row>
    <row r="205" spans="1:33" ht="12.75" hidden="1" customHeight="1" x14ac:dyDescent="0.15">
      <c r="A205" s="259">
        <v>69</v>
      </c>
      <c r="B205" s="345" t="s">
        <v>652</v>
      </c>
      <c r="C205" s="21" t="s">
        <v>613</v>
      </c>
      <c r="D205" s="104">
        <f>IF(ISERROR(HLOOKUP(J205,$Q$39:$Z$40,2)),0,HLOOKUP(J205,$Q$39:$Z$40,2))</f>
        <v>0</v>
      </c>
      <c r="E205" s="104">
        <f>IF(ISERROR(HLOOKUP(K205,$Q$39:$Z$40,2)),0,HLOOKUP(K205,$Q$39:$Z$40,2))</f>
        <v>0</v>
      </c>
      <c r="F205" s="104">
        <f>IF(ISERROR(HLOOKUP(L205,$Q$39:$Z$40,2)),0,HLOOKUP(L205,$Q$39:$Z$40,2))</f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22"/>
        <v>0</v>
      </c>
      <c r="K205" s="21">
        <f t="shared" si="23"/>
        <v>0</v>
      </c>
      <c r="L205" s="21">
        <f t="shared" si="24"/>
        <v>0</v>
      </c>
      <c r="M205" s="346" t="s">
        <v>662</v>
      </c>
      <c r="P205" s="44"/>
      <c r="Q205" s="44"/>
      <c r="AC205" s="69"/>
      <c r="AD205" s="69"/>
      <c r="AE205" s="69"/>
      <c r="AF205" s="69"/>
      <c r="AG205" s="69"/>
    </row>
    <row r="206" spans="1:33" ht="13.5" hidden="1" x14ac:dyDescent="0.15">
      <c r="A206" s="259">
        <v>70</v>
      </c>
      <c r="B206" s="345" t="s">
        <v>653</v>
      </c>
      <c r="C206" s="21" t="s">
        <v>613</v>
      </c>
      <c r="D206" s="104">
        <f>IF(ISERROR(HLOOKUP(J206,$Q$48:$AB$49,2)),0,HLOOKUP(J206,$Q$48:$AB$49,2))</f>
        <v>0</v>
      </c>
      <c r="E206" s="104">
        <f>IF(ISERROR(HLOOKUP(K206,$Q$48:$AB$49,2)),0,HLOOKUP(K206,$Q$48:$AB$49,2))</f>
        <v>0</v>
      </c>
      <c r="F206" s="104">
        <f>IF(ISERROR(HLOOKUP(L206,$Q$48:$AB$49,2)),0,HLOOKUP(L206,$Q$48:$AB$49,2))</f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</row>
    <row r="207" spans="1:33" ht="13.5" hidden="1" x14ac:dyDescent="0.15">
      <c r="A207" s="259">
        <v>71</v>
      </c>
      <c r="B207" s="345" t="s">
        <v>654</v>
      </c>
      <c r="C207" s="21" t="s">
        <v>613</v>
      </c>
      <c r="D207" s="104">
        <f>IF(ISERROR(HLOOKUP(J207,$Q$48:$AA$49,2)),0,HLOOKUP(J207,$Q$48:$AA$49,2))</f>
        <v>0</v>
      </c>
      <c r="E207" s="104">
        <f>IF(ISERROR(HLOOKUP(K207,$Q$48:$AA$49,2)),0,HLOOKUP(K207,$Q$48:$AA$49,2))</f>
        <v>0</v>
      </c>
      <c r="F207" s="104">
        <f>IF(ISERROR(HLOOKUP(L207,$Q$48:$AA$49,2)),0,HLOOKUP(L207,$Q$48:$AA$49,2))</f>
        <v>0</v>
      </c>
      <c r="G207" s="396">
        <f>SUM($F$30:$F$32)</f>
        <v>0</v>
      </c>
      <c r="H207" s="103">
        <f>SUM($F$30:$F$32)+$J$51</f>
        <v>0</v>
      </c>
      <c r="I207" s="103">
        <f>SUM($F$30:$F$32)+$J$51+$J$60</f>
        <v>0</v>
      </c>
      <c r="J207" s="21">
        <f t="shared" si="22"/>
        <v>0</v>
      </c>
      <c r="K207" s="21">
        <f t="shared" si="23"/>
        <v>0</v>
      </c>
      <c r="L207" s="21">
        <f t="shared" si="24"/>
        <v>0</v>
      </c>
      <c r="M207" s="346" t="s">
        <v>662</v>
      </c>
      <c r="P207" s="44"/>
      <c r="Q207" s="44"/>
    </row>
    <row r="208" spans="1:33" ht="13.5" hidden="1" x14ac:dyDescent="0.15">
      <c r="A208" s="259">
        <v>72</v>
      </c>
      <c r="B208" s="345" t="s">
        <v>655</v>
      </c>
      <c r="C208" s="21" t="s">
        <v>527</v>
      </c>
      <c r="D208" s="104">
        <f>IF(ISERROR(HLOOKUP(J208,$Q$54:$AR$55,2)),0,HLOOKUP(J208,$Q$54:$AR$55,2))</f>
        <v>0</v>
      </c>
      <c r="E208" s="104">
        <f>IF(ISERROR(HLOOKUP(K208,$Q$54:$AR$55,2)),0,HLOOKUP(K208,$Q$54:$AR$55,2))</f>
        <v>0</v>
      </c>
      <c r="F208" s="104">
        <f>IF(ISERROR(HLOOKUP(L208,$Q$54:$AR$55,2)),0,HLOOKUP(L208,$Q$54:$AR$55,2))</f>
        <v>0</v>
      </c>
      <c r="G208" s="396">
        <f>SUM($F$27:$F$32)</f>
        <v>0</v>
      </c>
      <c r="H208" s="103">
        <f>SUM($F$27:$F$32)+$J$51</f>
        <v>0</v>
      </c>
      <c r="I208" s="103">
        <f>SUM($F$27:$F$32)+$J$51+$J$60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</row>
    <row r="209" spans="1:32" ht="13.5" hidden="1" x14ac:dyDescent="0.15">
      <c r="A209" s="259">
        <v>73</v>
      </c>
      <c r="B209" s="345" t="s">
        <v>663</v>
      </c>
      <c r="C209" s="21" t="s">
        <v>527</v>
      </c>
      <c r="D209" s="104">
        <f t="shared" ref="D209:F210" si="25">IF(ISERROR(HLOOKUP(J209,$Q$26:$AY$27,2)),0,HLOOKUP(J209,$Q$26:$AY$27,2))</f>
        <v>0</v>
      </c>
      <c r="E209" s="104">
        <f t="shared" si="25"/>
        <v>0</v>
      </c>
      <c r="F209" s="104">
        <f t="shared" si="25"/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22"/>
        <v>0</v>
      </c>
      <c r="K209" s="21">
        <f t="shared" si="23"/>
        <v>0</v>
      </c>
      <c r="L209" s="21">
        <f t="shared" si="24"/>
        <v>0</v>
      </c>
      <c r="M209" s="346" t="s">
        <v>662</v>
      </c>
      <c r="P209" s="44"/>
      <c r="Q209" s="44"/>
    </row>
    <row r="210" spans="1:32" ht="13.5" hidden="1" x14ac:dyDescent="0.15">
      <c r="A210" s="259">
        <v>74</v>
      </c>
      <c r="B210" s="345" t="s">
        <v>664</v>
      </c>
      <c r="C210" s="21" t="s">
        <v>527</v>
      </c>
      <c r="D210" s="104">
        <f t="shared" si="25"/>
        <v>0</v>
      </c>
      <c r="E210" s="104">
        <f t="shared" si="25"/>
        <v>0</v>
      </c>
      <c r="F210" s="104">
        <f t="shared" si="25"/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</row>
    <row r="211" spans="1:32" ht="13.5" hidden="1" x14ac:dyDescent="0.15">
      <c r="A211" s="259">
        <v>75</v>
      </c>
      <c r="B211" s="345" t="s">
        <v>665</v>
      </c>
      <c r="C211" s="21" t="s">
        <v>547</v>
      </c>
      <c r="D211" s="104">
        <f>IF(ISERROR(HLOOKUP(J211,$Q$73:$W$74,2)),0,HLOOKUP(J211,$Q$73:$W$74,2))</f>
        <v>0</v>
      </c>
      <c r="E211" s="104">
        <f>IF(ISERROR(HLOOKUP(K211,$Q$73:$W$74,2)),0,HLOOKUP(K211,$Q$73:$W$74,2))</f>
        <v>0</v>
      </c>
      <c r="F211" s="104">
        <f>IF(ISERROR(HLOOKUP(L211,$Q$73:$W$74,2)),0,HLOOKUP(L211,$Q$73:$W$74,2))</f>
        <v>0</v>
      </c>
      <c r="G211" s="396">
        <f>SUM($F$27:$F$32)</f>
        <v>0</v>
      </c>
      <c r="H211" s="103">
        <f>SUM($F$27:$F$32)+$J$51</f>
        <v>0</v>
      </c>
      <c r="I211" s="103">
        <f>SUM($F$27:$F$32)+$J$51+$J$60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2" ht="13.5" hidden="1" x14ac:dyDescent="0.15">
      <c r="A212" s="259">
        <v>76</v>
      </c>
      <c r="B212" s="345" t="s">
        <v>689</v>
      </c>
      <c r="C212" s="21" t="s">
        <v>613</v>
      </c>
      <c r="D212" s="104">
        <f>IF(ISERROR(HLOOKUP(J212,$Q$48:$AB$49,2)),0,HLOOKUP(J212,$Q$48:$AB$49,2))</f>
        <v>0</v>
      </c>
      <c r="E212" s="104">
        <f>IF(ISERROR(HLOOKUP(K212,$Q$48:$AB$49,2)),0,HLOOKUP(K212,$Q$48:$AB$49,2))</f>
        <v>0</v>
      </c>
      <c r="F212" s="104">
        <f>IF(ISERROR(HLOOKUP(L212,$Q$48:$AB$49,2)),0,HLOOKUP(L212,$Q$48:$AB$49,2))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2" ht="13.5" hidden="1" x14ac:dyDescent="0.15">
      <c r="A213" s="259">
        <v>77</v>
      </c>
      <c r="B213" s="345" t="s">
        <v>666</v>
      </c>
      <c r="C213" s="21" t="s">
        <v>613</v>
      </c>
      <c r="D213" s="104">
        <f>IF(ISERROR(HLOOKUP(J213,$Q$48:$AA$49,2)),0,HLOOKUP(J213,$Q$48:$AA$49,2))</f>
        <v>0</v>
      </c>
      <c r="E213" s="104">
        <f>IF(ISERROR(HLOOKUP(K213,$Q$48:$AA$49,2)),0,HLOOKUP(K213,$Q$48:$AA$49,2))</f>
        <v>0</v>
      </c>
      <c r="F213" s="104">
        <f>IF(ISERROR(HLOOKUP(L213,$Q$48:$AA$49,2)),0,HLOOKUP(L213,$Q$48:$AA$49,2))</f>
        <v>0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2" ht="13.5" hidden="1" x14ac:dyDescent="0.15">
      <c r="A214" s="259">
        <v>78</v>
      </c>
      <c r="B214" s="345" t="s">
        <v>667</v>
      </c>
      <c r="C214" s="21" t="s">
        <v>613</v>
      </c>
      <c r="D214" s="104">
        <f>IF(ISERROR(HLOOKUP(J214,$Q$57:$AA$58,2)),0,HLOOKUP(J214,$Q$57:$AA$58,2))</f>
        <v>0</v>
      </c>
      <c r="E214" s="104">
        <f>IF(ISERROR(HLOOKUP(K214,$Q$57:$AA$58,2)),0,HLOOKUP(K214,$Q$57:$AA$58,2))</f>
        <v>0</v>
      </c>
      <c r="F214" s="104">
        <f>IF(ISERROR(HLOOKUP(L214,$Q$57:$AA$58,2)),0,HLOOKUP(L214,$Q$57:$AA$58,2))</f>
        <v>0</v>
      </c>
      <c r="G214" s="396">
        <f>SUM($F$29:$F$32)</f>
        <v>0</v>
      </c>
      <c r="H214" s="103">
        <f>SUM($F$29:$F$32)+$J$51</f>
        <v>0</v>
      </c>
      <c r="I214" s="103">
        <f>SUM($F$29:$F$32)+$J$51+$J$60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2" s="308" customFormat="1" ht="13.5" hidden="1" x14ac:dyDescent="0.15">
      <c r="A215" s="304">
        <v>79</v>
      </c>
      <c r="B215" s="349" t="s">
        <v>668</v>
      </c>
      <c r="C215" s="308" t="s">
        <v>613</v>
      </c>
      <c r="D215" s="305">
        <f>IF(ISERROR(HLOOKUP(J215,$Q$39:$AA$40,2)),0,HLOOKUP(J215,$Q$39:$AA$40,2))</f>
        <v>0</v>
      </c>
      <c r="E215" s="305">
        <f>IF(ISERROR(HLOOKUP(K215,$Q$39:$AA$40,2)),0,HLOOKUP(K215,$Q$39:$AA$40,2))</f>
        <v>0</v>
      </c>
      <c r="F215" s="305">
        <f>IF(ISERROR(HLOOKUP(L215,$Q$39:$AA$40,2)),0,HLOOKUP(L215,$Q$39:$AA$40,2))</f>
        <v>0</v>
      </c>
      <c r="G215" s="399">
        <f>$N$215+$F$33</f>
        <v>0</v>
      </c>
      <c r="H215" s="307">
        <f>$G$215+$J$51</f>
        <v>0</v>
      </c>
      <c r="I215" s="307">
        <f>$N$215+$J$51+$J$60</f>
        <v>0</v>
      </c>
      <c r="J215" s="308">
        <f t="shared" si="22"/>
        <v>0</v>
      </c>
      <c r="K215" s="308">
        <f t="shared" si="23"/>
        <v>0</v>
      </c>
      <c r="L215" s="308">
        <f t="shared" si="24"/>
        <v>0</v>
      </c>
      <c r="M215" s="352" t="s">
        <v>662</v>
      </c>
      <c r="N215" s="308">
        <f>IF($C$30&gt;=$A$36,$E$30-$C$30+1,IF($C$31&gt;=$A$36,$E$31-$C$31+1,IF($C$32&gt;=$A$36,$E$32-$C$32+1,IF($E$30&lt;&gt;0,$E$30-$A$36+1,IF($E$31&lt;&gt;0,$E$31-$A$36+1,IF($E$32&lt;&gt;0,$E$32-$A$36+1,0))))))</f>
        <v>0</v>
      </c>
      <c r="O215" s="309"/>
      <c r="P215" s="353"/>
      <c r="Q215" s="353"/>
      <c r="AD215" s="310"/>
      <c r="AE215" s="310"/>
      <c r="AF215" s="310"/>
    </row>
    <row r="216" spans="1:32" ht="13.5" hidden="1" x14ac:dyDescent="0.15">
      <c r="A216" s="259">
        <v>80</v>
      </c>
      <c r="B216" s="345" t="s">
        <v>669</v>
      </c>
      <c r="C216" s="21" t="s">
        <v>547</v>
      </c>
      <c r="D216" s="104">
        <f>IF(ISERROR(HLOOKUP(J216,$Q$73:$V$74,2)),0,HLOOKUP(J216,$Q$73:$V$74,2))</f>
        <v>0</v>
      </c>
      <c r="E216" s="104">
        <f>IF(ISERROR(HLOOKUP(K216,$Q$73:$V$74,2)),0,HLOOKUP(K216,$Q$73:$V$74,2))</f>
        <v>0</v>
      </c>
      <c r="F216" s="104">
        <f>IF(ISERROR(HLOOKUP(L216,$Q$73:$V$74,2)),0,HLOOKUP(L216,$Q$73:$V$74,2))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2" ht="13.5" hidden="1" x14ac:dyDescent="0.15">
      <c r="A217" s="259" t="s">
        <v>703</v>
      </c>
      <c r="B217" s="345" t="s">
        <v>701</v>
      </c>
      <c r="C217" s="21" t="s">
        <v>702</v>
      </c>
      <c r="D217" s="148">
        <f>IF(J217&lt;=10,0.1,IF(J217&lt;=20,0.2,0.3))</f>
        <v>0.1</v>
      </c>
      <c r="E217" s="148">
        <f>IF(K217&lt;=10,0.1,IF(K217&lt;=20,0.2,0.3))</f>
        <v>0.1</v>
      </c>
      <c r="F217" s="148">
        <f>IF(L217&lt;=10,0.1,IF(L217&lt;=20,0.2,0.3))</f>
        <v>0.1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2" ht="13.5" hidden="1" x14ac:dyDescent="0.15">
      <c r="A218" s="259">
        <v>81</v>
      </c>
      <c r="B218" s="345" t="s">
        <v>670</v>
      </c>
      <c r="C218" s="21" t="s">
        <v>547</v>
      </c>
      <c r="D218" s="104">
        <f>IF(ISERROR(HLOOKUP(J218,$Q$73:$W$74,2)),0,HLOOKUP(J218,$Q$73:$W$74,2))</f>
        <v>0</v>
      </c>
      <c r="E218" s="104">
        <f>IF(ISERROR(HLOOKUP(K218,$Q$73:$W$74,2)),0,HLOOKUP(K218,$Q$73:$W$74,2))</f>
        <v>0</v>
      </c>
      <c r="F218" s="104">
        <f>IF(ISERROR(HLOOKUP(L218,$Q$73:$W$74,2)),0,HLOOKUP(L218,$Q$73:$W$74,2))</f>
        <v>0</v>
      </c>
      <c r="G218" s="396">
        <f>SUM($F$27:$F$33)</f>
        <v>0</v>
      </c>
      <c r="H218" s="103">
        <f>SUM($F$27:$F$33)+$J$51</f>
        <v>0</v>
      </c>
      <c r="I218" s="103">
        <f>SUM($F$27:$F$33)+$J$51+$J$60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2" ht="13.5" hidden="1" x14ac:dyDescent="0.15">
      <c r="A219" s="259">
        <v>82</v>
      </c>
      <c r="B219" s="345" t="s">
        <v>671</v>
      </c>
      <c r="C219" s="21" t="s">
        <v>613</v>
      </c>
      <c r="D219" s="104">
        <f>IF(ISERROR(HLOOKUP(J219,$Q$42:$AA$43,2)),0,HLOOKUP(J219,$Q$42:$AA$43,2))</f>
        <v>0</v>
      </c>
      <c r="E219" s="104">
        <f>IF(ISERROR(HLOOKUP(K219,$Q$42:$AA$43,2)),0,HLOOKUP(K219,$Q$42:$AA$43,2))</f>
        <v>0</v>
      </c>
      <c r="F219" s="104">
        <f>IF(ISERROR(HLOOKUP(L219,$Q$42:$AA$43,2)),0,HLOOKUP(L219,$Q$42:$AA$43,2))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2" ht="13.5" hidden="1" x14ac:dyDescent="0.15">
      <c r="A220" s="259">
        <v>83</v>
      </c>
      <c r="B220" s="345" t="s">
        <v>672</v>
      </c>
      <c r="C220" s="21"/>
      <c r="E220" s="40"/>
      <c r="J220" s="21">
        <f t="shared" si="22"/>
        <v>0</v>
      </c>
      <c r="K220" s="21">
        <f t="shared" si="23"/>
        <v>0</v>
      </c>
      <c r="L220" s="21">
        <f t="shared" si="24"/>
        <v>0</v>
      </c>
      <c r="M220" s="346" t="s">
        <v>662</v>
      </c>
      <c r="P220" s="44"/>
      <c r="Q220" s="44"/>
    </row>
    <row r="221" spans="1:32" ht="13.5" hidden="1" x14ac:dyDescent="0.15">
      <c r="A221" s="259">
        <v>84</v>
      </c>
      <c r="B221" s="108" t="s">
        <v>673</v>
      </c>
      <c r="C221" s="21" t="s">
        <v>613</v>
      </c>
      <c r="D221" s="104">
        <f>IF(ISERROR(HLOOKUP(J221,$Q$48:$AB$49,2)),0,HLOOKUP(J221,$Q$48:$AB$49,2))</f>
        <v>0</v>
      </c>
      <c r="E221" s="104">
        <f>IF(ISERROR(HLOOKUP(K221,$Q$48:$AB$49,2)),0,HLOOKUP(K221,$Q$48:$AB$49,2))</f>
        <v>0</v>
      </c>
      <c r="F221" s="104">
        <f>IF(ISERROR(HLOOKUP(L221,$Q$48:$AB$49,2)),0,HLOOKUP(L221,$Q$48:$AB$49,2))</f>
        <v>0</v>
      </c>
      <c r="G221" s="396">
        <f>SUM($F$30:$F$32)</f>
        <v>0</v>
      </c>
      <c r="H221" s="103">
        <f>SUM($F$30:$F$32)+$J$51</f>
        <v>0</v>
      </c>
      <c r="I221" s="103">
        <f>SUM($F$30:$F$32)+$J$51+$J$60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N221" s="104">
        <f>IF(ISERROR(HLOOKUP(L221,$Q$48:$AB$49,2)),0,HLOOKUP(L221,$Q$48:$AB$49,2))</f>
        <v>0</v>
      </c>
      <c r="P221" s="44"/>
      <c r="Q221" s="44"/>
    </row>
    <row r="222" spans="1:32" ht="13.5" hidden="1" x14ac:dyDescent="0.15">
      <c r="A222" s="259">
        <v>85</v>
      </c>
      <c r="B222" s="108" t="s">
        <v>674</v>
      </c>
      <c r="C222" s="21" t="s">
        <v>527</v>
      </c>
      <c r="D222" s="104">
        <f>IF(ISERROR(HLOOKUP(J222,$Q$35:$AY$36,2)),0,HLOOKUP(J222,$Q$35:$AY$36,2))</f>
        <v>0</v>
      </c>
      <c r="E222" s="104">
        <f>IF(ISERROR(HLOOKUP(K222,$Q$35:$AY$36,2)),0,HLOOKUP(K222,$Q$35:$AY$36,2))</f>
        <v>0</v>
      </c>
      <c r="F222" s="104">
        <f>IF(ISERROR(HLOOKUP(L222,$Q$35:$AY$36,2)),0,HLOOKUP(L222,$Q$35:$AY$36,2))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ref="J222:J229" si="26">ROUNDDOWN(G222/365,0)</f>
        <v>0</v>
      </c>
      <c r="K222" s="21">
        <f t="shared" ref="K222:K229" si="27">ROUNDDOWN(H222/365,0)</f>
        <v>0</v>
      </c>
      <c r="L222" s="21">
        <f t="shared" ref="L222:L229" si="28">ROUNDDOWN(I222/365,0)</f>
        <v>0</v>
      </c>
      <c r="M222" s="346" t="s">
        <v>662</v>
      </c>
      <c r="P222" s="44"/>
      <c r="Q222" s="44"/>
    </row>
    <row r="223" spans="1:32" ht="13.5" hidden="1" x14ac:dyDescent="0.15">
      <c r="A223" s="259">
        <v>86</v>
      </c>
      <c r="B223" s="108" t="s">
        <v>675</v>
      </c>
      <c r="C223" s="21" t="s">
        <v>613</v>
      </c>
      <c r="D223" s="104">
        <f>IF(ISERROR(HLOOKUP(J223,$Q$60:$AC$61,2)),0,HLOOKUP(J223,$Q$60:$AC$61,2))</f>
        <v>0</v>
      </c>
      <c r="E223" s="104">
        <f>IF(ISERROR(HLOOKUP(K223,$Q$60:$AC$61,2)),0,HLOOKUP(K223,$Q$60:$AC$61,2))</f>
        <v>0</v>
      </c>
      <c r="F223" s="104">
        <f>IF(ISERROR(HLOOKUP(L223,$Q$60:$AC$61,2)),0,HLOOKUP(L223,$Q$60:$AC$61,2))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26"/>
        <v>0</v>
      </c>
      <c r="K223" s="21">
        <f t="shared" si="27"/>
        <v>0</v>
      </c>
      <c r="L223" s="21">
        <f t="shared" si="28"/>
        <v>0</v>
      </c>
      <c r="M223" s="346" t="s">
        <v>662</v>
      </c>
      <c r="P223" s="44"/>
      <c r="Q223" s="44"/>
    </row>
    <row r="224" spans="1:32" ht="13.5" hidden="1" x14ac:dyDescent="0.15">
      <c r="A224" s="259">
        <v>87</v>
      </c>
      <c r="B224" s="108" t="s">
        <v>677</v>
      </c>
      <c r="C224" s="21"/>
      <c r="D224" s="21"/>
      <c r="J224" s="21">
        <f t="shared" si="26"/>
        <v>0</v>
      </c>
      <c r="K224" s="21">
        <f t="shared" si="27"/>
        <v>0</v>
      </c>
      <c r="L224" s="21">
        <f t="shared" si="28"/>
        <v>0</v>
      </c>
      <c r="M224" s="346" t="s">
        <v>662</v>
      </c>
      <c r="P224" s="44"/>
      <c r="Q224" s="44"/>
    </row>
    <row r="225" spans="1:17" ht="13.5" hidden="1" x14ac:dyDescent="0.15">
      <c r="A225" s="259">
        <v>88</v>
      </c>
      <c r="B225" s="108" t="s">
        <v>678</v>
      </c>
      <c r="C225" s="21" t="s">
        <v>613</v>
      </c>
      <c r="D225" s="104">
        <f>IF(ISERROR(HLOOKUP(J225,$Q$39:$AA$40,2)),0,HLOOKUP(J225,$Q$39:$AA$40,2))</f>
        <v>0</v>
      </c>
      <c r="E225" s="104">
        <f>IF(ISERROR(HLOOKUP(K225,$Q$39:$AA$40,2)),0,HLOOKUP(K225,$Q$39:$AA$40,2))</f>
        <v>0</v>
      </c>
      <c r="F225" s="104">
        <f>IF(ISERROR(HLOOKUP(L225,$Q$39:$AA$40,2)),0,HLOOKUP(L225,$Q$39:$AA$40,2))</f>
        <v>0</v>
      </c>
      <c r="G225" s="396">
        <f>SUM($F$27:$F$32)</f>
        <v>0</v>
      </c>
      <c r="H225" s="103">
        <f>SUM($F$27:$F$32)+$J$51</f>
        <v>0</v>
      </c>
      <c r="I225" s="103">
        <f>SUM($F$27:$F$32)+$J$51+$J$60</f>
        <v>0</v>
      </c>
      <c r="J225" s="21">
        <f t="shared" si="26"/>
        <v>0</v>
      </c>
      <c r="K225" s="21">
        <f t="shared" si="27"/>
        <v>0</v>
      </c>
      <c r="L225" s="21">
        <f t="shared" si="28"/>
        <v>0</v>
      </c>
      <c r="M225" s="346" t="s">
        <v>662</v>
      </c>
      <c r="P225" s="44"/>
      <c r="Q225" s="44"/>
    </row>
    <row r="226" spans="1:17" ht="13.5" hidden="1" x14ac:dyDescent="0.15">
      <c r="A226" s="259">
        <v>89</v>
      </c>
      <c r="B226" s="108" t="s">
        <v>679</v>
      </c>
      <c r="C226" s="21" t="s">
        <v>613</v>
      </c>
      <c r="D226" s="104">
        <f>IF(ISERROR(HLOOKUP(J226,$Q$48:$V$49,2)),0,HLOOKUP(J226,$Q$48:$V$49,2))</f>
        <v>0</v>
      </c>
      <c r="E226" s="104">
        <f>IF(ISERROR(HLOOKUP(K226,$Q$48:$V$49,2)),0,HLOOKUP(K226,$Q$48:$V$49,2))</f>
        <v>0</v>
      </c>
      <c r="F226" s="104">
        <f>IF(ISERROR(HLOOKUP(L226,$Q$48:$V$49,2)),0,HLOOKUP(L226,$Q$48:$V$49,2))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6"/>
        <v>0</v>
      </c>
      <c r="K226" s="21">
        <f t="shared" si="27"/>
        <v>0</v>
      </c>
      <c r="L226" s="21">
        <f t="shared" si="28"/>
        <v>0</v>
      </c>
      <c r="M226" s="346" t="s">
        <v>662</v>
      </c>
      <c r="P226" s="44"/>
      <c r="Q226" s="44"/>
    </row>
    <row r="227" spans="1:17" ht="13.5" hidden="1" x14ac:dyDescent="0.15">
      <c r="A227" s="259">
        <v>90</v>
      </c>
      <c r="B227" s="108" t="s">
        <v>680</v>
      </c>
      <c r="C227" s="21" t="s">
        <v>527</v>
      </c>
      <c r="D227" s="104">
        <f>IF(ISERROR(HLOOKUP(J227,$Q$26:$AY$27,2)),0,HLOOKUP(J227,$Q$26:$AY$27,2))</f>
        <v>0</v>
      </c>
      <c r="E227" s="104">
        <f>IF(ISERROR(HLOOKUP(K227,$Q$26:$AY$27,2)),0,HLOOKUP(K227,$Q$26:$AY$27,2))</f>
        <v>0</v>
      </c>
      <c r="F227" s="104">
        <f>IF(ISERROR(HLOOKUP(L227,$Q$26:$AY$27,2)),0,HLOOKUP(L227,$Q$26:$AY$27,2))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si="26"/>
        <v>0</v>
      </c>
      <c r="K227" s="21">
        <f t="shared" si="27"/>
        <v>0</v>
      </c>
      <c r="L227" s="21">
        <f t="shared" si="28"/>
        <v>0</v>
      </c>
      <c r="M227" s="346" t="s">
        <v>662</v>
      </c>
      <c r="P227" s="44"/>
      <c r="Q227" s="44"/>
    </row>
    <row r="228" spans="1:17" ht="13.5" hidden="1" x14ac:dyDescent="0.15">
      <c r="A228" s="259">
        <v>91</v>
      </c>
      <c r="B228" s="108" t="s">
        <v>681</v>
      </c>
      <c r="C228" s="21" t="s">
        <v>613</v>
      </c>
      <c r="D228" s="104">
        <f>IF(ISERROR(HLOOKUP(J228,$Q$42:$AA$43,2)),0,HLOOKUP(J228,$Q$42:$AA$43,2))</f>
        <v>0</v>
      </c>
      <c r="E228" s="104">
        <f>IF(ISERROR(HLOOKUP(K228,$Q$42:$AA$43,2)),0,HLOOKUP(K228,$Q$42:$AA$43,2))</f>
        <v>0</v>
      </c>
      <c r="F228" s="104">
        <f>IF(ISERROR(HLOOKUP(L228,$Q$42:$AA$43,2)),0,HLOOKUP(L228,$Q$42:$AA$43,2))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92</v>
      </c>
      <c r="B229" s="108" t="s">
        <v>682</v>
      </c>
      <c r="C229" s="21" t="s">
        <v>613</v>
      </c>
      <c r="D229" s="104">
        <f>IF(ISERROR(HLOOKUP(J229,$Q$42:$Z$43,2)),0,HLOOKUP(J229,$Q$42:$Z$43,2))</f>
        <v>0</v>
      </c>
      <c r="E229" s="104">
        <f>IF(ISERROR(HLOOKUP(K229,$Q$42:$Z$43,2)),0,HLOOKUP(K229,$Q$42:$Z$43,2))</f>
        <v>0</v>
      </c>
      <c r="F229" s="104">
        <f>IF(ISERROR(HLOOKUP(L229,$Q$42:$Z$43,2)),0,HLOOKUP(L229,$Q$42:$Z$43,2))</f>
        <v>0</v>
      </c>
      <c r="G229" s="396">
        <f>SUM($F$30:$F$32)</f>
        <v>0</v>
      </c>
      <c r="H229" s="103">
        <f>SUM($F$30:$F$32)+$J$51</f>
        <v>0</v>
      </c>
      <c r="I229" s="103">
        <f>SUM($F$30:$F$32)+$J$51+$J$60</f>
        <v>0</v>
      </c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B230" s="10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357"/>
      <c r="N230" s="54"/>
      <c r="O230" s="258"/>
      <c r="P230" s="44"/>
      <c r="Q230" s="44"/>
    </row>
    <row r="231" spans="1:17" ht="13.5" hidden="1" x14ac:dyDescent="0.15">
      <c r="B231" s="248" t="s">
        <v>720</v>
      </c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258"/>
    </row>
    <row r="232" spans="1:17" ht="13.5" hidden="1" x14ac:dyDescent="0.15">
      <c r="A232" s="259">
        <v>1</v>
      </c>
      <c r="B232" s="51" t="s">
        <v>550</v>
      </c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258"/>
    </row>
    <row r="233" spans="1:17" ht="13.5" hidden="1" x14ac:dyDescent="0.15">
      <c r="A233" s="259" t="s">
        <v>721</v>
      </c>
      <c r="B233" s="51" t="s">
        <v>615</v>
      </c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58"/>
    </row>
    <row r="234" spans="1:17" ht="13.5" hidden="1" x14ac:dyDescent="0.15">
      <c r="A234" s="259">
        <v>2</v>
      </c>
      <c r="B234" s="338" t="s">
        <v>617</v>
      </c>
      <c r="C234" s="109"/>
      <c r="D234" s="109"/>
      <c r="E234" s="110"/>
      <c r="F234" s="358"/>
      <c r="G234" s="111"/>
      <c r="H234" s="111"/>
      <c r="I234" s="111"/>
      <c r="J234" s="46"/>
      <c r="K234" s="46"/>
      <c r="L234" s="46"/>
      <c r="M234" s="46"/>
      <c r="N234" s="9"/>
      <c r="O234" s="258"/>
    </row>
    <row r="235" spans="1:17" ht="13.5" hidden="1" x14ac:dyDescent="0.15">
      <c r="A235" s="259">
        <v>3</v>
      </c>
      <c r="B235" s="345" t="s">
        <v>645</v>
      </c>
      <c r="C235" s="104"/>
      <c r="D235" s="105"/>
      <c r="E235" s="106"/>
      <c r="F235" s="47"/>
      <c r="G235" s="47"/>
      <c r="H235" s="47"/>
      <c r="I235" s="47"/>
      <c r="J235" s="46"/>
      <c r="K235" s="46"/>
      <c r="L235" s="46"/>
      <c r="M235" s="46"/>
      <c r="N235" s="46"/>
      <c r="O235" s="258"/>
    </row>
    <row r="236" spans="1:17" ht="13.5" hidden="1" x14ac:dyDescent="0.15">
      <c r="A236" s="259">
        <v>4</v>
      </c>
      <c r="B236" s="338" t="s">
        <v>618</v>
      </c>
      <c r="C236" s="104"/>
      <c r="D236" s="104"/>
      <c r="E236" s="104"/>
      <c r="F236" s="112"/>
      <c r="G236" s="112"/>
      <c r="H236" s="112"/>
      <c r="I236" s="112"/>
      <c r="J236" s="46"/>
      <c r="K236" s="46"/>
      <c r="L236" s="46"/>
      <c r="M236" s="46"/>
      <c r="N236" s="46"/>
      <c r="O236" s="258"/>
    </row>
    <row r="237" spans="1:17" ht="13.5" hidden="1" x14ac:dyDescent="0.15">
      <c r="A237" s="259">
        <v>5</v>
      </c>
      <c r="B237" s="345" t="s">
        <v>646</v>
      </c>
      <c r="C237" s="104"/>
      <c r="D237" s="104"/>
      <c r="E237" s="104"/>
      <c r="F237" s="112"/>
      <c r="G237" s="112"/>
      <c r="H237" s="112"/>
      <c r="I237" s="112"/>
      <c r="J237" s="46"/>
      <c r="K237" s="46"/>
      <c r="L237" s="46"/>
      <c r="M237" s="46"/>
      <c r="N237" s="46"/>
      <c r="O237" s="258"/>
    </row>
    <row r="238" spans="1:17" ht="13.5" hidden="1" x14ac:dyDescent="0.15">
      <c r="A238" s="259">
        <v>6</v>
      </c>
      <c r="B238" s="345" t="s">
        <v>647</v>
      </c>
      <c r="C238" s="104"/>
      <c r="D238" s="104"/>
      <c r="E238" s="104"/>
      <c r="F238" s="112"/>
      <c r="G238" s="112"/>
      <c r="H238" s="112"/>
      <c r="I238" s="112"/>
      <c r="J238" s="46"/>
      <c r="K238" s="46"/>
      <c r="L238" s="46"/>
      <c r="M238" s="46"/>
      <c r="N238" s="46"/>
      <c r="O238" s="258"/>
    </row>
    <row r="239" spans="1:17" ht="13.5" hidden="1" x14ac:dyDescent="0.15">
      <c r="A239" s="259">
        <v>7</v>
      </c>
      <c r="B239" s="51" t="s">
        <v>551</v>
      </c>
      <c r="C239" s="104"/>
      <c r="D239" s="104"/>
      <c r="E239" s="104"/>
      <c r="F239" s="112"/>
      <c r="G239" s="112"/>
      <c r="H239" s="112"/>
      <c r="I239" s="112"/>
      <c r="J239" s="46"/>
      <c r="K239" s="46"/>
      <c r="L239" s="46"/>
      <c r="M239" s="46"/>
      <c r="N239" s="46"/>
      <c r="O239" s="258"/>
    </row>
    <row r="240" spans="1:17" ht="13.5" hidden="1" x14ac:dyDescent="0.15">
      <c r="A240" s="259">
        <v>8</v>
      </c>
      <c r="B240" s="51" t="s">
        <v>552</v>
      </c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9</v>
      </c>
      <c r="B241" s="51" t="s">
        <v>553</v>
      </c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 t="s">
        <v>722</v>
      </c>
      <c r="B242" s="51" t="s">
        <v>616</v>
      </c>
      <c r="C242" s="109"/>
      <c r="D242" s="109"/>
      <c r="E242" s="110"/>
      <c r="F242" s="358"/>
      <c r="G242" s="111"/>
      <c r="H242" s="111"/>
      <c r="I242" s="111"/>
      <c r="J242" s="46"/>
      <c r="K242" s="46"/>
      <c r="L242" s="46"/>
      <c r="M242" s="46"/>
      <c r="N242" s="9"/>
      <c r="O242" s="258"/>
      <c r="AH242" s="69"/>
      <c r="AI242" s="69"/>
      <c r="AJ242" s="69"/>
      <c r="AK242" s="69"/>
      <c r="AL242" s="69"/>
      <c r="AM242" s="69"/>
      <c r="AN242" s="69"/>
    </row>
    <row r="243" spans="1:40" ht="13.5" hidden="1" x14ac:dyDescent="0.15">
      <c r="A243" s="259">
        <v>10</v>
      </c>
      <c r="B243" s="338" t="s">
        <v>619</v>
      </c>
      <c r="C243" s="104"/>
      <c r="D243" s="105"/>
      <c r="E243" s="106"/>
      <c r="F243" s="46"/>
      <c r="G243" s="46"/>
      <c r="H243" s="46"/>
      <c r="I243" s="46"/>
      <c r="J243" s="46"/>
      <c r="K243" s="46"/>
      <c r="L243" s="46"/>
      <c r="M243" s="46"/>
      <c r="N243" s="46"/>
      <c r="O243" s="258"/>
      <c r="AH243" s="69"/>
      <c r="AI243" s="69"/>
      <c r="AJ243" s="69"/>
      <c r="AK243" s="69"/>
      <c r="AL243" s="69"/>
      <c r="AM243" s="69"/>
      <c r="AN243" s="69"/>
    </row>
    <row r="244" spans="1:40" ht="13.5" hidden="1" x14ac:dyDescent="0.15">
      <c r="A244" s="259">
        <v>11</v>
      </c>
      <c r="B244" s="345" t="s">
        <v>648</v>
      </c>
      <c r="C244" s="104"/>
      <c r="D244" s="105"/>
      <c r="E244" s="106"/>
      <c r="F244" s="47"/>
      <c r="G244" s="47"/>
      <c r="H244" s="47"/>
      <c r="I244" s="47"/>
      <c r="J244" s="46"/>
      <c r="K244" s="46"/>
      <c r="L244" s="46"/>
      <c r="M244" s="46"/>
      <c r="N244" s="46"/>
      <c r="O244" s="258"/>
      <c r="AH244" s="69"/>
      <c r="AI244" s="69"/>
      <c r="AJ244" s="69"/>
      <c r="AK244" s="69"/>
      <c r="AL244" s="69"/>
      <c r="AM244" s="69"/>
      <c r="AN244" s="69"/>
    </row>
    <row r="245" spans="1:40" ht="13.5" hidden="1" x14ac:dyDescent="0.15">
      <c r="A245" s="259">
        <v>12</v>
      </c>
      <c r="B245" s="345" t="s">
        <v>649</v>
      </c>
      <c r="C245" s="104"/>
      <c r="D245" s="105"/>
      <c r="E245" s="106"/>
      <c r="F245" s="47"/>
      <c r="G245" s="111"/>
      <c r="H245" s="47"/>
      <c r="I245" s="47"/>
      <c r="J245" s="46"/>
      <c r="K245" s="46"/>
      <c r="L245" s="46"/>
      <c r="M245" s="46"/>
      <c r="N245" s="46"/>
      <c r="O245" s="258"/>
      <c r="AH245" s="69"/>
      <c r="AI245" s="69"/>
      <c r="AJ245" s="69"/>
      <c r="AK245" s="69"/>
      <c r="AL245" s="69"/>
      <c r="AM245" s="69"/>
      <c r="AN245" s="69"/>
    </row>
    <row r="246" spans="1:40" ht="13.5" hidden="1" x14ac:dyDescent="0.15">
      <c r="A246" s="259">
        <v>13</v>
      </c>
      <c r="B246" s="338" t="s">
        <v>620</v>
      </c>
      <c r="C246" s="104"/>
      <c r="D246" s="105"/>
      <c r="E246" s="106"/>
      <c r="F246" s="47"/>
      <c r="G246" s="111"/>
      <c r="H246" s="47"/>
      <c r="I246" s="47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14</v>
      </c>
      <c r="B247" s="345" t="s">
        <v>650</v>
      </c>
      <c r="C247" s="104"/>
      <c r="D247" s="105"/>
      <c r="E247" s="106"/>
      <c r="F247" s="47"/>
      <c r="G247" s="111"/>
      <c r="H247" s="47"/>
      <c r="I247" s="47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15</v>
      </c>
      <c r="B248" s="345" t="s">
        <v>651</v>
      </c>
      <c r="C248" s="104"/>
      <c r="D248" s="105"/>
      <c r="E248" s="106"/>
      <c r="F248" s="47"/>
      <c r="G248" s="111"/>
      <c r="H248" s="47"/>
      <c r="I248" s="47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16</v>
      </c>
      <c r="B249" s="339" t="s">
        <v>621</v>
      </c>
      <c r="C249" s="104"/>
      <c r="D249" s="105"/>
      <c r="E249" s="106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17</v>
      </c>
      <c r="B250" s="345" t="s">
        <v>652</v>
      </c>
      <c r="C250" s="104"/>
      <c r="D250" s="105"/>
      <c r="E250" s="106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18</v>
      </c>
      <c r="B251" s="345" t="s">
        <v>653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19</v>
      </c>
      <c r="B252" s="340" t="s">
        <v>622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20</v>
      </c>
      <c r="B253" s="345" t="s">
        <v>654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21</v>
      </c>
      <c r="B254" s="340" t="s">
        <v>623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22</v>
      </c>
      <c r="B255" s="345" t="s">
        <v>655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23</v>
      </c>
      <c r="B256" s="340" t="s">
        <v>624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24</v>
      </c>
      <c r="B257" s="340" t="s">
        <v>625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25</v>
      </c>
      <c r="B258" s="340" t="s">
        <v>626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26</v>
      </c>
      <c r="B259" s="51" t="s">
        <v>556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27</v>
      </c>
      <c r="B260" s="107" t="s">
        <v>549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28</v>
      </c>
      <c r="B261" s="340" t="s">
        <v>627</v>
      </c>
      <c r="C261" s="359"/>
      <c r="D261" s="111"/>
      <c r="E261" s="360"/>
      <c r="F261" s="112"/>
      <c r="G261" s="112"/>
      <c r="H261" s="112"/>
      <c r="I261" s="112"/>
      <c r="J261" s="46"/>
      <c r="K261" s="46"/>
      <c r="L261" s="46"/>
      <c r="M261" s="46"/>
      <c r="N261" s="361"/>
      <c r="O261" s="258"/>
    </row>
    <row r="262" spans="1:15" ht="13.5" hidden="1" x14ac:dyDescent="0.15">
      <c r="A262" s="259">
        <v>29</v>
      </c>
      <c r="B262" s="345" t="s">
        <v>663</v>
      </c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58"/>
    </row>
    <row r="263" spans="1:15" ht="13.5" hidden="1" x14ac:dyDescent="0.15">
      <c r="A263" s="259">
        <v>30</v>
      </c>
      <c r="B263" s="340" t="s">
        <v>628</v>
      </c>
      <c r="C263" s="109"/>
      <c r="D263" s="109"/>
      <c r="E263" s="110"/>
      <c r="F263" s="358"/>
      <c r="G263" s="111"/>
      <c r="H263" s="111"/>
      <c r="I263" s="111"/>
      <c r="J263" s="46"/>
      <c r="K263" s="46"/>
      <c r="L263" s="46"/>
      <c r="M263" s="46"/>
      <c r="N263" s="9"/>
      <c r="O263" s="258"/>
    </row>
    <row r="264" spans="1:15" ht="13.5" hidden="1" x14ac:dyDescent="0.15">
      <c r="A264" s="259">
        <v>31</v>
      </c>
      <c r="B264" s="51" t="s">
        <v>557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 t="s">
        <v>723</v>
      </c>
      <c r="B265" s="51" t="s">
        <v>614</v>
      </c>
      <c r="C265" s="104"/>
      <c r="D265" s="105"/>
      <c r="E265" s="106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32</v>
      </c>
      <c r="B266" s="345" t="s">
        <v>664</v>
      </c>
      <c r="C266" s="104"/>
      <c r="D266" s="105"/>
      <c r="E266" s="106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33</v>
      </c>
      <c r="B267" s="340" t="s">
        <v>629</v>
      </c>
      <c r="C267" s="104"/>
      <c r="D267" s="105"/>
      <c r="E267" s="106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34</v>
      </c>
      <c r="B268" s="345" t="s">
        <v>665</v>
      </c>
      <c r="C268" s="104"/>
      <c r="D268" s="105"/>
      <c r="E268" s="106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35</v>
      </c>
      <c r="B269" s="51" t="s">
        <v>559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36</v>
      </c>
      <c r="B270" s="51" t="s">
        <v>560</v>
      </c>
      <c r="C270" s="104"/>
      <c r="D270" s="104"/>
      <c r="E270" s="104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37</v>
      </c>
      <c r="B271" s="345" t="s">
        <v>689</v>
      </c>
      <c r="C271" s="104"/>
      <c r="D271" s="104"/>
      <c r="E271" s="104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38</v>
      </c>
      <c r="B272" s="345" t="s">
        <v>666</v>
      </c>
      <c r="C272" s="104"/>
      <c r="D272" s="104"/>
      <c r="E272" s="104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39</v>
      </c>
      <c r="B273" s="340" t="s">
        <v>630</v>
      </c>
      <c r="C273" s="104"/>
      <c r="D273" s="104"/>
      <c r="E273" s="104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40</v>
      </c>
      <c r="B274" s="340" t="s">
        <v>631</v>
      </c>
      <c r="C274" s="9"/>
      <c r="D274" s="9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41</v>
      </c>
      <c r="B275" s="51" t="s">
        <v>561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42</v>
      </c>
      <c r="B276" s="345" t="s">
        <v>667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43</v>
      </c>
      <c r="B277" s="51" t="s">
        <v>562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44</v>
      </c>
      <c r="B278" s="51" t="s">
        <v>563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45</v>
      </c>
      <c r="B279" s="51" t="s">
        <v>686</v>
      </c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46</v>
      </c>
      <c r="B280" s="345" t="s">
        <v>668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47</v>
      </c>
      <c r="B281" s="345" t="s">
        <v>669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 t="s">
        <v>724</v>
      </c>
      <c r="B282" s="345" t="s">
        <v>701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48</v>
      </c>
      <c r="B283" s="51" t="s">
        <v>564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49</v>
      </c>
      <c r="B284" s="345" t="s">
        <v>670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50</v>
      </c>
      <c r="B285" s="340" t="s">
        <v>632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51</v>
      </c>
      <c r="B286" s="51" t="s">
        <v>565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52</v>
      </c>
      <c r="B287" s="51" t="s">
        <v>566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53</v>
      </c>
      <c r="B288" s="51" t="s">
        <v>567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54</v>
      </c>
      <c r="B289" s="51" t="s">
        <v>568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55</v>
      </c>
      <c r="B290" s="51" t="s">
        <v>569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56</v>
      </c>
      <c r="B291" s="340" t="s">
        <v>633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57</v>
      </c>
      <c r="B292" s="51" t="s">
        <v>570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58</v>
      </c>
      <c r="B293" s="51" t="s">
        <v>571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59</v>
      </c>
      <c r="B294" s="345" t="s">
        <v>671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60</v>
      </c>
      <c r="B295" s="51" t="s">
        <v>572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61</v>
      </c>
      <c r="B296" s="51" t="s">
        <v>573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62</v>
      </c>
      <c r="B297" s="51" t="s">
        <v>574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63</v>
      </c>
      <c r="B298" s="345" t="s">
        <v>672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64</v>
      </c>
      <c r="B299" s="51" t="s">
        <v>580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65</v>
      </c>
      <c r="B300" s="51" t="s">
        <v>583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66</v>
      </c>
      <c r="B301" s="340" t="s">
        <v>634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67</v>
      </c>
      <c r="B302" s="51" t="s">
        <v>581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 t="s">
        <v>725</v>
      </c>
      <c r="B303" s="51" t="s">
        <v>684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68</v>
      </c>
      <c r="B304" s="108" t="s">
        <v>673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69</v>
      </c>
      <c r="B305" s="340" t="s">
        <v>635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70</v>
      </c>
      <c r="B306" s="108" t="s">
        <v>674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71</v>
      </c>
      <c r="B307" s="108" t="s">
        <v>675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72</v>
      </c>
      <c r="B308" s="108" t="s">
        <v>677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73</v>
      </c>
      <c r="B309" s="340" t="s">
        <v>636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74</v>
      </c>
      <c r="B310" s="108" t="s">
        <v>678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75</v>
      </c>
      <c r="B311" s="340" t="s">
        <v>637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76</v>
      </c>
      <c r="B312" s="108" t="s">
        <v>679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77</v>
      </c>
      <c r="B313" s="340" t="s">
        <v>638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78</v>
      </c>
      <c r="B314" s="108" t="s">
        <v>680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79</v>
      </c>
      <c r="B315" s="340" t="s">
        <v>639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80</v>
      </c>
      <c r="B316" s="340" t="s">
        <v>640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81</v>
      </c>
      <c r="B317" s="108" t="s">
        <v>681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82</v>
      </c>
      <c r="B318" s="51" t="s">
        <v>584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83</v>
      </c>
      <c r="B319" s="340" t="s">
        <v>683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84</v>
      </c>
      <c r="B320" s="340" t="s">
        <v>699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85</v>
      </c>
      <c r="B321" s="340" t="s">
        <v>641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86</v>
      </c>
      <c r="B322" s="340" t="s">
        <v>642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87</v>
      </c>
      <c r="B323" s="340" t="s">
        <v>643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88</v>
      </c>
      <c r="B324" s="340" t="s">
        <v>644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89</v>
      </c>
      <c r="B325" s="51" t="s">
        <v>585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90</v>
      </c>
      <c r="B326" s="108" t="s">
        <v>682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91</v>
      </c>
      <c r="B327" s="51" t="s">
        <v>586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 t="s">
        <v>726</v>
      </c>
      <c r="B328" s="51" t="s">
        <v>685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92</v>
      </c>
      <c r="B329" s="51" t="s">
        <v>588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</sheetData>
  <sheetProtection password="F44E" sheet="1" objects="1" scenarios="1"/>
  <mergeCells count="30">
    <mergeCell ref="B101:E101"/>
    <mergeCell ref="B130:N130"/>
    <mergeCell ref="C123:E123"/>
    <mergeCell ref="F123:H123"/>
    <mergeCell ref="K110:S110"/>
    <mergeCell ref="B110:J110"/>
    <mergeCell ref="I123:J123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J100">
    <cfRule type="cellIs" dxfId="207" priority="1" stopIfTrue="1" operator="equal">
      <formula>"ATENDE TEMPO NO CARGO"</formula>
    </cfRule>
    <cfRule type="cellIs" dxfId="206" priority="2" stopIfTrue="1" operator="equal">
      <formula>"NÃO CUMPRE TEMPO NO CARGO"</formula>
    </cfRule>
  </conditionalFormatting>
  <conditionalFormatting sqref="M243:M261 M233:M239 M264:M287 C221:C223 C132:C177 N176:N177 C179:C198 C218:C219 C225:C229 C200:C216">
    <cfRule type="cellIs" dxfId="205" priority="3" stopIfTrue="1" operator="equal">
      <formula>"ANUÊNIO"</formula>
    </cfRule>
    <cfRule type="cellIs" dxfId="204" priority="4" stopIfTrue="1" operator="equal">
      <formula>"TRIÊNIO"</formula>
    </cfRule>
    <cfRule type="cellIs" dxfId="203" priority="5" stopIfTrue="1" operator="equal">
      <formula>"QUINQUÊNIO"</formula>
    </cfRule>
  </conditionalFormatting>
  <conditionalFormatting sqref="F72:F74">
    <cfRule type="cellIs" dxfId="202" priority="6" stopIfTrue="1" operator="equal">
      <formula>"NADA A CUMPRIR"</formula>
    </cfRule>
    <cfRule type="cellIs" dxfId="201" priority="7" stopIfTrue="1" operator="equal">
      <formula>"NÃO CABE"</formula>
    </cfRule>
    <cfRule type="cellIs" dxfId="200" priority="8" stopIfTrue="1" operator="greaterThanOrEqual">
      <formula>0</formula>
    </cfRule>
  </conditionalFormatting>
  <conditionalFormatting sqref="E71">
    <cfRule type="cellIs" dxfId="199" priority="9" stopIfTrue="1" operator="equal">
      <formula>"NÃO ATENDE LIMITE MÍNIMO DE IDADE"</formula>
    </cfRule>
    <cfRule type="cellIs" dxfId="198" priority="10" stopIfTrue="1" operator="equal">
      <formula>"REANALISAR FUNDAMENTAÇÃO E/OU MODALIDADE"</formula>
    </cfRule>
    <cfRule type="cellIs" dxfId="197" priority="11" stopIfTrue="1" operator="equal">
      <formula>"ATENDE LIMITE MÍNIMO DE IDADE"</formula>
    </cfRule>
  </conditionalFormatting>
  <conditionalFormatting sqref="N69 N71">
    <cfRule type="cellIs" dxfId="196" priority="12" stopIfTrue="1" operator="equal">
      <formula>0</formula>
    </cfRule>
  </conditionalFormatting>
  <conditionalFormatting sqref="K8">
    <cfRule type="expression" dxfId="195" priority="13" stopIfTrue="1">
      <formula>"SE($N$8=0)"</formula>
    </cfRule>
  </conditionalFormatting>
  <conditionalFormatting sqref="C73">
    <cfRule type="cellIs" dxfId="194" priority="14" stopIfTrue="1" operator="equal">
      <formula>"FALTA DATA"</formula>
    </cfRule>
  </conditionalFormatting>
  <conditionalFormatting sqref="M74">
    <cfRule type="cellIs" dxfId="193" priority="15" stopIfTrue="1" operator="equal">
      <formula>"ATENDE"</formula>
    </cfRule>
    <cfRule type="cellIs" dxfId="192" priority="16" stopIfTrue="1" operator="equal">
      <formula>"NÃO ATENDE"</formula>
    </cfRule>
    <cfRule type="cellIs" dxfId="191" priority="17" stopIfTrue="1" operator="equal">
      <formula>"NÃO CABE"</formula>
    </cfRule>
  </conditionalFormatting>
  <conditionalFormatting sqref="M73">
    <cfRule type="cellIs" dxfId="190" priority="18" stopIfTrue="1" operator="equal">
      <formula>"ATENDE"</formula>
    </cfRule>
    <cfRule type="cellIs" dxfId="189" priority="19" stopIfTrue="1" operator="equal">
      <formula>"NÃO ATENDE"</formula>
    </cfRule>
    <cfRule type="cellIs" dxfId="188" priority="20" stopIfTrue="1" operator="equal">
      <formula>"NÃO CABE"</formula>
    </cfRule>
  </conditionalFormatting>
  <conditionalFormatting sqref="M75 L77:M77 L78:L86">
    <cfRule type="cellIs" dxfId="187" priority="21" stopIfTrue="1" operator="equal">
      <formula>"ATENDE"</formula>
    </cfRule>
    <cfRule type="cellIs" dxfId="186" priority="22" stopIfTrue="1" operator="equal">
      <formula>"NÃO ATENDE"</formula>
    </cfRule>
    <cfRule type="cellIs" dxfId="185" priority="23" stopIfTrue="1" operator="equal">
      <formula>"OK"</formula>
    </cfRule>
  </conditionalFormatting>
  <conditionalFormatting sqref="K42">
    <cfRule type="expression" dxfId="184" priority="24" stopIfTrue="1">
      <formula>$E$42&lt;=0</formula>
    </cfRule>
  </conditionalFormatting>
  <conditionalFormatting sqref="M42">
    <cfRule type="expression" dxfId="183" priority="25" stopIfTrue="1">
      <formula>$E$42&lt;=0</formula>
    </cfRule>
  </conditionalFormatting>
  <conditionalFormatting sqref="O70 I67">
    <cfRule type="cellIs" dxfId="182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0E00-000000000000}">
      <formula1>$O$2:$O$7</formula1>
    </dataValidation>
    <dataValidation type="list" allowBlank="1" showInputMessage="1" showErrorMessage="1" sqref="E2:I2" xr:uid="{00000000-0002-0000-0E00-000001000000}">
      <formula1>$B$90:$B$98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824"/>
  <sheetViews>
    <sheetView showGridLines="0" zoomScale="75" zoomScaleNormal="75" workbookViewId="0" xr3:uid="{D624DF06-3800-545C-AC8D-BADC89115800}">
      <selection activeCell="O9" sqref="O9"/>
    </sheetView>
  </sheetViews>
  <sheetFormatPr defaultColWidth="0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9.16796875" style="21" hidden="1"/>
  </cols>
  <sheetData>
    <row r="1" spans="1:53" ht="6" customHeight="1" x14ac:dyDescent="0.15">
      <c r="A1" s="295"/>
      <c r="O1" s="362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467</v>
      </c>
      <c r="F2" s="1850"/>
      <c r="G2" s="1850"/>
      <c r="H2" s="1850"/>
      <c r="I2" s="1850"/>
      <c r="J2" s="652" t="s">
        <v>462</v>
      </c>
      <c r="K2" s="1953" t="s">
        <v>485</v>
      </c>
      <c r="L2" s="1940"/>
      <c r="M2" s="1940"/>
      <c r="N2" s="1941"/>
      <c r="O2" s="364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364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364" t="s">
        <v>476</v>
      </c>
      <c r="P4" s="17" t="s">
        <v>529</v>
      </c>
      <c r="Q4" s="21" t="str">
        <f>IF(OR($E$2=$B$90,$E$2=$B$91,E2=B92),IF($M$13&gt;=5,"ATENDE","NÃO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365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366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366" t="s">
        <v>466</v>
      </c>
      <c r="P7" s="18" t="s">
        <v>531</v>
      </c>
      <c r="Q7" s="40" t="str">
        <f>IF(OR($E$2=$B$90,$E$2=$B$91,E2=B92),IF($M$15&gt;=10,"ATENDE","NÃO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54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54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>
        <f>CRÍTICA_IGP1!D14</f>
        <v>0</v>
      </c>
      <c r="E14" s="1835" t="s">
        <v>728</v>
      </c>
      <c r="F14" s="1872"/>
      <c r="G14" s="656" t="str">
        <f>CRÍTICA_IGP1!G14</f>
        <v>x</v>
      </c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">
        <v>613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168" t="s">
        <v>335</v>
      </c>
      <c r="C26" s="674">
        <f>CRÍTICA_IGP1!C26</f>
        <v>0</v>
      </c>
      <c r="D26" s="169" t="s">
        <v>336</v>
      </c>
      <c r="E26" s="674">
        <f>CRÍTICA_IGP1!E26</f>
        <v>0</v>
      </c>
      <c r="F26" s="171">
        <f>CRÍTICA_IGP1!F26</f>
        <v>0</v>
      </c>
      <c r="G26" s="149" t="s">
        <v>337</v>
      </c>
      <c r="H26" s="5"/>
      <c r="I26" s="5"/>
      <c r="J26" s="740">
        <f>CRÍTICA_IGP1!J26</f>
        <v>0</v>
      </c>
      <c r="K26" s="150"/>
      <c r="L26" s="150" t="s">
        <v>524</v>
      </c>
      <c r="M26" s="5"/>
      <c r="N26" s="740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149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0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149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0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149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676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149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298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149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0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149" t="s">
        <v>606</v>
      </c>
      <c r="C32" s="674">
        <f>CRÍTICA_IGP1!C32</f>
        <v>0</v>
      </c>
      <c r="D32" s="170" t="s">
        <v>336</v>
      </c>
      <c r="E32" s="677">
        <f>CRÍTICA_IGP1!E32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243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149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32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149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1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37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IF(E2=B98,IF(D12="X",IF(G10="X",ROUNDDOWN(SUM(F26:F34)*0.2,0),ROUNDDOWN(SUM(F26:F34)*0.17,0)),0),0)</f>
        <v>0</v>
      </c>
      <c r="N35" s="380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IF($E$37&lt;=$A$37,IF($F$38&lt;&gt;0,SUM($F$26:$F$35),0),0)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IF(E41&gt;0,IF(E2=B90,E41,IF(E2=B91,E41,IF(E2=B97,E41,))),0)</f>
        <v>0</v>
      </c>
      <c r="D41" s="178" t="b">
        <f>IF(E41&gt;0,IF(K2=O5,IF(E2=B98,E41,0)),0)</f>
        <v>0</v>
      </c>
      <c r="E41" s="179">
        <f>IF($E$2=B97,IF($G$10="X",(25*365)-$F$37,(30*365)-$F$37),IF($G$10="X",(30*365)-$F$37,(35*365)-$F$37))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CUMPRIR",IF(K2=O5,IF(E2=B98,"HÁ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IF(E42&gt;0,IF(E2=B97,ROUNDUP(E42*0.4,0),ROUNDUP(E42*0.2,0)),0)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IF(AND(N8&gt;=36145,F47&lt;&gt;0),F46,IF(K2=O2,0,IF(K2=O3,A42,IF(K2=O4,A43,A44))))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234"/>
      <c r="C46" s="1066"/>
      <c r="D46" s="1262"/>
      <c r="F46" s="1257">
        <f>SUM($F$47:$F$50)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CRÍTICA_IGP1!E50</f>
        <v>25567</v>
      </c>
      <c r="F50" s="1268">
        <f>'MTS - MAPA DE TEMPO DE SERVIÇO'!$H$40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0.95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1265"/>
      <c r="C58" s="1066" t="str">
        <f>IF(C54&gt;0,C54,IF(C55&gt;0,C55,IF(C56&gt;0,C56,IF(C57&gt;0,C57,"REVER"))))</f>
        <v>REVER</v>
      </c>
      <c r="D58" s="387"/>
      <c r="E58" s="1210" t="str">
        <f>IF(E57&gt;0,E57,IF(E56&gt;0,E56,IF(E55&gt;0,E55,IF(E54&gt;0,E54,"REVER"))))</f>
        <v>REVER</v>
      </c>
      <c r="F58" s="389"/>
      <c r="G58" s="385"/>
      <c r="H58" s="385"/>
      <c r="I58" s="389"/>
      <c r="J58" s="391"/>
      <c r="K58" s="1266"/>
      <c r="L58" s="74"/>
      <c r="M58" s="1267"/>
      <c r="N58" s="7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 t="str">
        <f>IF(E2=B92,"NÃO CABE",IF(E2=B94,"NÃO CABE",IF(E2=B95,"NÃO CABE",IF(E2=B96,"NÃO CABE",IF(C65&gt;0,C65,"NADA A CUMPRIR")))))</f>
        <v>NÃO CABE</v>
      </c>
      <c r="D64" s="198"/>
      <c r="E64" s="199"/>
      <c r="F64" s="200"/>
      <c r="G64" s="198"/>
      <c r="H64" s="201">
        <f>IF($C$64="NÃO CABE",0,IF($C$65&gt;0,ROUNDDOWN($C$65/365,0),0))</f>
        <v>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>
        <f>IF(K2=O2,IF(E2=B97,R123,R122),IF(K2=O3,Q121,IF(K2=O6,Q121,IF(K2=O4,Q120,IF(K2=O5,Q120,IF($K$2=O7,Q124,0))))))</f>
        <v>12775</v>
      </c>
      <c r="D65" s="205"/>
      <c r="E65" s="206"/>
      <c r="F65" s="207"/>
      <c r="G65" s="205"/>
      <c r="H65" s="207">
        <f>IF($C$64="NÃO CABE",0,IF($C$65&gt;0,ROUNDDOWN($C$65/365,0),0))</f>
        <v>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IF($O$10&lt;$D$131,VLOOKUP($E$6,$B$132:$Q$229,3,FALSE),IF($O$10&lt;$E$131,VLOOKUP($E$6,$B$132:$Q$229,4,FALSE),VLOOKUP($E$6,$B$132:$Q$229,5,FALSE)))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$90&lt;=$BC$88,VLOOKUP($C$8,$BB$91:$BH$130,2,FALSE),IF($BC$90&lt;=$BD$88,VLOOKUP($C$8,$BB$91:$BH$130,3,FALSE),IF($BC$90&lt;=$BE$88,VLOOKUP($C$8,$BB$91:$BH$130,4,FALSE),IF($BC$90&lt;=$BF$88,VLOOKUP($C$8,$BB$91:$BH$130,5,FALSE),IF($BC$90&lt;=$BG$88,VLOOKUP($C$8,$BB$91:$BH$130,6,FALSE),VLOOKUP($C$8,$BB$91:$BH$130,7,FALSE))))))</f>
        <v>#N/A</v>
      </c>
      <c r="F68" s="150"/>
      <c r="G68" s="150"/>
      <c r="H68" s="150"/>
      <c r="I68" s="221"/>
      <c r="J68" s="222" t="e">
        <f>IF($BC$87&lt;=$BC$88,VLOOKUP($C$8,$BB$91:$BH$130,2,FALSE),IF($BC$87&lt;=$BD$88,VLOOKUP($C$8,$BB$91:$BH$130,3,FALSE),IF($BC$87&lt;=$BE$88,VLOOKUP($C$8,$BB$91:$BH$130,4,FALSE),IF($BC$87&lt;=$BF$88,VLOOKUP($C$8,$BB$91:$BH$130,5,FALSE),IF($BC$87&lt;=$BG$88,VLOOKUP($C$8,$BB$91:$BH$130,6,FALSE),VLOOKUP($C$8,$BB$91:$BH$130,7,FALSE))))))</f>
        <v>#N/A</v>
      </c>
      <c r="K68" s="150" t="s">
        <v>448</v>
      </c>
      <c r="L68" s="153"/>
      <c r="M68" s="150"/>
      <c r="N68" s="223">
        <f>IF($K$2=$O$2,J102,IF($K$2=$O$3,J103,IF($K$2=$O$4,J104,IF($K$2=$O$5,J105,"NÃO CABE"))))</f>
        <v>0</v>
      </c>
      <c r="O68" s="254" t="str">
        <f>VLOOKUP($E$6,$B$132:$C$229,2,FALSE)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REGRA PERMANENTE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PROPORCIONAL POR IDADE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IF(K2=O3,IF(M104&gt;=N104,N103,"NÃO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IF($E$2=$L$111,$O$111,IF($E$2=$L$112,$O$112,IF($E$2=$L$113,$O$113,IF($E$2=$L$114,$O$114,IF($E$2=$L$115,$O$115,$O$116)))))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 t="str">
        <f>C64</f>
        <v>NÃO CABE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IF(OR(E6=B200,E6=B212,E6=B223),IF(L212&gt;=25,"FAZ JUS A 1/6 DA REMUNERAÇÃO",IF(L223&gt;=25,"FAZ JUS A 1/6 DA REMUNERAÇÃO",IF(L200&gt;=25,"FAZ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CABE</v>
      </c>
      <c r="P75" s="129" t="s">
        <v>359</v>
      </c>
      <c r="Q75" s="130"/>
      <c r="R75" s="131"/>
      <c r="S75" s="132">
        <f>IF(ISERROR(HLOOKUP($J$177,$Q$73:$W$74,2)),0,HLOOKUP($J$177,$Q$73:$W$74,2))</f>
        <v>0</v>
      </c>
      <c r="T75" s="133" t="s">
        <v>451</v>
      </c>
      <c r="U75" s="132"/>
      <c r="V75" s="133"/>
      <c r="W75" s="132">
        <f>IF(ISERROR(HLOOKUP($K$177,$Q$73:$W$74,2)),0,HLOOKUP($K$177,$Q$73:$W$74,2))</f>
        <v>0</v>
      </c>
      <c r="X75" s="134" t="s">
        <v>507</v>
      </c>
      <c r="Y75" s="135"/>
      <c r="Z75" s="136"/>
      <c r="AA75" s="134"/>
      <c r="AB75" s="137">
        <f>IF(ISERROR(HLOOKUP($L$177,$Q$73:$W$74,2)),0,HLOOKUP($L$177,$Q$73:$W$74,2))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391" t="str">
        <f>IF($F$72="NADA A CUMPRIR","OK",IF($F$72="NÃO CABE","NÃO CABE","NÃO CUMPRE"))</f>
        <v>NÃO CABE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6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6" si="1">IF(OR($F$72="NADA A CUMPRIR",$F$72="NÃO CABE"),"SIM","NÃO")</f>
        <v>SIM</v>
      </c>
      <c r="I78" s="413" t="str">
        <f>IF(N78="SIM","SIM","NÃO")</f>
        <v>NÃO</v>
      </c>
      <c r="J78" s="414" t="str">
        <f t="shared" ref="J78:J86" si="2">IF(OR($M$73="NÃO CABE",$M$73="ATENDE"),"SIM","NÃO")</f>
        <v>NÃO</v>
      </c>
      <c r="K78" s="414" t="str">
        <f t="shared" ref="K78:K86" si="3">IF(OR($M$74="NÃO CABE",$M$74="ATENDE"),"SIM","NÃO")</f>
        <v>SIM</v>
      </c>
      <c r="L78" s="412"/>
      <c r="M78" s="414" t="str">
        <f t="shared" ref="M78:M86" si="4">IF(OR($M$75="ATENDE",$M$75="OK"),"SIM","NÃO")</f>
        <v>NÃO</v>
      </c>
      <c r="N78" s="414" t="str">
        <f t="shared" ref="N78:N84" si="5">IF(AND(C78="SIM",H78="SIM",J78="SIM",K78="SIM",M78="SIM"),"SIM","NÃO")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SIM</v>
      </c>
      <c r="I79" s="413" t="str">
        <f>IF($D$14="X",IF($N$79="SIM","SIM","NÃO"),"NÃO")</f>
        <v>NÃO</v>
      </c>
      <c r="J79" s="414" t="str">
        <f t="shared" si="2"/>
        <v>NÃO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SIM</v>
      </c>
      <c r="I80" s="413" t="str">
        <f t="shared" ref="I80:I85" si="6">IF(N80="SIM","SIM","NÃO")</f>
        <v>NÃO</v>
      </c>
      <c r="J80" s="414" t="str">
        <f t="shared" si="2"/>
        <v>NÃO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69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SIM</v>
      </c>
      <c r="I81" s="413" t="str">
        <f t="shared" si="6"/>
        <v>NÃO</v>
      </c>
      <c r="J81" s="414" t="str">
        <f t="shared" si="2"/>
        <v>NÃO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SIM</v>
      </c>
      <c r="I82" s="413" t="str">
        <f t="shared" si="6"/>
        <v>NÃO</v>
      </c>
      <c r="J82" s="414" t="str">
        <f t="shared" si="2"/>
        <v>NÃO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55"/>
      <c r="AC82" s="69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X82" s="11"/>
      <c r="AY82" s="11"/>
      <c r="AZ82" s="11"/>
      <c r="BA82" s="85"/>
    </row>
    <row r="83" spans="1:64" ht="13.5" hidden="1" x14ac:dyDescent="0.15"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SIM</v>
      </c>
      <c r="I83" s="413" t="str">
        <f t="shared" si="6"/>
        <v>NÃO</v>
      </c>
      <c r="J83" s="414" t="str">
        <f t="shared" si="2"/>
        <v>NÃO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55"/>
      <c r="AC83" s="69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X83" s="11"/>
      <c r="AY83" s="11"/>
      <c r="AZ83" s="11"/>
      <c r="BA83" s="85"/>
    </row>
    <row r="84" spans="1:64" ht="13.5" hidden="1" x14ac:dyDescent="0.15">
      <c r="B84" s="616" t="s">
        <v>487</v>
      </c>
      <c r="C84" s="414" t="str">
        <f t="shared" si="0"/>
        <v>NÃO</v>
      </c>
      <c r="D84" s="415"/>
      <c r="E84" s="18" t="s">
        <v>754</v>
      </c>
      <c r="F84" s="631"/>
      <c r="G84" s="18"/>
      <c r="H84" s="414" t="str">
        <f t="shared" si="1"/>
        <v>SIM</v>
      </c>
      <c r="I84" s="413" t="str">
        <f t="shared" si="6"/>
        <v>NÃO</v>
      </c>
      <c r="J84" s="414" t="str">
        <f t="shared" si="2"/>
        <v>NÃO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55"/>
      <c r="AC84" s="69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X84" s="11"/>
      <c r="AY84" s="11"/>
      <c r="AZ84" s="11"/>
      <c r="BA84" s="85"/>
    </row>
    <row r="85" spans="1:64" ht="13.5" hidden="1" x14ac:dyDescent="0.15">
      <c r="B85" s="412" t="s">
        <v>467</v>
      </c>
      <c r="C85" s="414" t="str">
        <f t="shared" si="0"/>
        <v>NÃO</v>
      </c>
      <c r="D85" s="415"/>
      <c r="E85" s="18" t="s">
        <v>463</v>
      </c>
      <c r="F85" s="416"/>
      <c r="G85" s="18"/>
      <c r="H85" s="414" t="str">
        <f t="shared" si="1"/>
        <v>SIM</v>
      </c>
      <c r="I85" s="413" t="str">
        <f t="shared" si="6"/>
        <v>NÃO</v>
      </c>
      <c r="J85" s="414" t="str">
        <f t="shared" si="2"/>
        <v>NÃO</v>
      </c>
      <c r="K85" s="414" t="str">
        <f t="shared" si="3"/>
        <v>SIM</v>
      </c>
      <c r="L85" s="412"/>
      <c r="M85" s="414" t="str">
        <f t="shared" si="4"/>
        <v>NÃO</v>
      </c>
      <c r="N85" s="414" t="str">
        <f>IF($N$8&gt;=36145,"NÃO",IF(AND(C85="SIM",H85="SIM",J85="SIM",K85="SIM",M85="SIM"),"SIM","NÃO"))</f>
        <v>NÃO</v>
      </c>
      <c r="O85" s="255"/>
      <c r="AC85" s="69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X85" s="11"/>
      <c r="AY85" s="11"/>
      <c r="AZ85" s="11"/>
      <c r="BA85" s="85"/>
    </row>
    <row r="86" spans="1:64" hidden="1" thickBot="1" x14ac:dyDescent="0.2">
      <c r="B86" s="624" t="s">
        <v>467</v>
      </c>
      <c r="C86" s="619" t="str">
        <f t="shared" si="0"/>
        <v>NÃO</v>
      </c>
      <c r="D86" s="620"/>
      <c r="E86" s="621" t="s">
        <v>485</v>
      </c>
      <c r="F86" s="630">
        <f>I67</f>
        <v>0</v>
      </c>
      <c r="G86" s="621"/>
      <c r="H86" s="619" t="str">
        <f t="shared" si="1"/>
        <v>SIM</v>
      </c>
      <c r="I86" s="623" t="str">
        <f>IF($D$14="X",IF($N$79="SIM","SIM","NÃO"),"NÃO")</f>
        <v>NÃO</v>
      </c>
      <c r="J86" s="619" t="str">
        <f t="shared" si="2"/>
        <v>NÃO</v>
      </c>
      <c r="K86" s="619" t="str">
        <f t="shared" si="3"/>
        <v>SIM</v>
      </c>
      <c r="L86" s="624"/>
      <c r="M86" s="619" t="str">
        <f t="shared" si="4"/>
        <v>NÃO</v>
      </c>
      <c r="N86" s="619" t="str">
        <f>IF(AND(D14="X",N8&gt;=38037),"NÃO",IF(AND(C86="SIM",H86="SIM",J86="SIM",K86="SIM",M86="SIM"),"SIM","NÃO"))</f>
        <v>NÃO</v>
      </c>
      <c r="O86" s="255"/>
      <c r="AC86" s="69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X86" s="11"/>
      <c r="AY86" s="11"/>
      <c r="AZ86" s="11"/>
      <c r="BA86" s="85"/>
    </row>
    <row r="87" spans="1:64" ht="15.95" hidden="1" customHeight="1" thickTop="1" x14ac:dyDescent="0.15">
      <c r="C87" s="21"/>
      <c r="D87" s="21"/>
      <c r="F87" s="5"/>
      <c r="G87" s="5"/>
      <c r="H87" s="5"/>
      <c r="I87" s="5"/>
      <c r="J87" s="5"/>
      <c r="K87" s="5"/>
      <c r="L87" s="5"/>
      <c r="M87" s="2"/>
      <c r="N87" s="5"/>
      <c r="O87" s="255"/>
      <c r="AC87" s="69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Z87" s="11"/>
      <c r="BA87" s="85"/>
      <c r="BB87" s="686"/>
      <c r="BC87" s="687">
        <f>SUM(F30:F32)</f>
        <v>0</v>
      </c>
      <c r="BD87" s="687"/>
      <c r="BE87" s="687"/>
      <c r="BF87" s="688"/>
      <c r="BG87" s="688"/>
      <c r="BH87" s="688"/>
      <c r="BI87" s="688" t="s">
        <v>361</v>
      </c>
      <c r="BJ87" s="689" t="s">
        <v>362</v>
      </c>
      <c r="BK87" s="690" t="s">
        <v>362</v>
      </c>
      <c r="BL87" s="691" t="s">
        <v>363</v>
      </c>
    </row>
    <row r="88" spans="1:64" ht="15.95" hidden="1" customHeight="1" thickBot="1" x14ac:dyDescent="0.2">
      <c r="C88" s="21"/>
      <c r="D88" s="21"/>
      <c r="G88" s="5"/>
      <c r="H88" s="5"/>
      <c r="I88" s="5"/>
      <c r="J88" s="5"/>
      <c r="K88" s="5"/>
      <c r="L88" s="5"/>
      <c r="M88" s="2"/>
      <c r="N88" s="5"/>
      <c r="O88" s="255"/>
      <c r="AC88" s="69"/>
      <c r="AD88" s="70"/>
      <c r="AE88" s="70"/>
      <c r="AF88" s="70"/>
      <c r="AG88" s="69"/>
      <c r="AZ88" s="11"/>
      <c r="BA88" s="85"/>
      <c r="BB88" s="692" t="s">
        <v>364</v>
      </c>
      <c r="BC88" s="693">
        <v>5</v>
      </c>
      <c r="BD88" s="693">
        <v>10</v>
      </c>
      <c r="BE88" s="693">
        <v>15</v>
      </c>
      <c r="BF88" s="693">
        <v>20</v>
      </c>
      <c r="BG88" s="694">
        <v>25</v>
      </c>
      <c r="BH88" s="694" t="s">
        <v>365</v>
      </c>
      <c r="BI88" s="695" t="s">
        <v>366</v>
      </c>
      <c r="BJ88" s="696" t="s">
        <v>367</v>
      </c>
      <c r="BK88" s="697">
        <v>34820</v>
      </c>
      <c r="BL88" s="698">
        <v>34851</v>
      </c>
    </row>
    <row r="89" spans="1:64" ht="15.95" hidden="1" customHeight="1" thickBot="1" x14ac:dyDescent="0.2">
      <c r="B89" s="88" t="s">
        <v>449</v>
      </c>
      <c r="C89" s="89"/>
      <c r="D89" s="97" t="s">
        <v>546</v>
      </c>
      <c r="E89" s="98"/>
      <c r="F89" s="99"/>
      <c r="G89" s="5"/>
      <c r="H89" s="5"/>
      <c r="I89" s="5"/>
      <c r="J89" s="5"/>
      <c r="K89" s="5"/>
      <c r="L89" s="5"/>
      <c r="M89" s="2"/>
      <c r="N89" s="5"/>
      <c r="O89" s="255"/>
      <c r="AC89" s="69"/>
      <c r="AD89" s="70"/>
      <c r="AE89" s="70"/>
      <c r="AF89" s="70"/>
      <c r="AG89" s="69"/>
      <c r="AZ89" s="11"/>
      <c r="BA89" s="85"/>
      <c r="BB89" s="692"/>
      <c r="BC89" s="693"/>
      <c r="BD89" s="693"/>
      <c r="BE89" s="693"/>
      <c r="BF89" s="693"/>
      <c r="BG89" s="694"/>
      <c r="BH89" s="694"/>
      <c r="BI89" s="695"/>
      <c r="BJ89" s="696"/>
      <c r="BK89" s="697"/>
      <c r="BL89" s="698"/>
    </row>
    <row r="90" spans="1:64" ht="15.95" hidden="1" customHeight="1" thickBot="1" x14ac:dyDescent="0.2">
      <c r="B90" s="91" t="s">
        <v>450</v>
      </c>
      <c r="C90" s="90"/>
      <c r="D90" s="90"/>
      <c r="E90" s="90"/>
      <c r="F90" s="92"/>
      <c r="G90" s="5"/>
      <c r="H90" s="5"/>
      <c r="I90" s="5"/>
      <c r="J90" s="5"/>
      <c r="K90" s="5"/>
      <c r="L90" s="5"/>
      <c r="M90" s="2"/>
      <c r="N90" s="5"/>
      <c r="O90" s="255"/>
      <c r="AC90" s="69"/>
      <c r="AD90" s="21"/>
      <c r="AE90" s="21"/>
      <c r="AF90" s="21"/>
      <c r="AZ90" s="11"/>
      <c r="BA90" s="85"/>
      <c r="BB90" s="699"/>
      <c r="BC90" s="700">
        <f>(BC87+F45+F59)/365</f>
        <v>0</v>
      </c>
      <c r="BD90" s="701"/>
      <c r="BE90" s="701"/>
      <c r="BF90" s="701"/>
      <c r="BG90" s="701"/>
      <c r="BH90" s="701"/>
      <c r="BI90" s="702">
        <v>0.45</v>
      </c>
      <c r="BJ90" s="703"/>
      <c r="BK90" s="704"/>
      <c r="BL90" s="705" t="s">
        <v>368</v>
      </c>
    </row>
    <row r="91" spans="1:64" ht="15.95" hidden="1" customHeight="1" x14ac:dyDescent="0.15">
      <c r="B91" s="91" t="s">
        <v>455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D91" s="70"/>
      <c r="AE91" s="70"/>
      <c r="AF91" s="70"/>
      <c r="AG91" s="69"/>
      <c r="AZ91" s="11"/>
      <c r="BA91" s="85"/>
      <c r="BB91" s="706" t="s">
        <v>369</v>
      </c>
      <c r="BC91" s="707" t="s">
        <v>370</v>
      </c>
      <c r="BD91" s="708" t="s">
        <v>371</v>
      </c>
      <c r="BE91" s="708" t="s">
        <v>372</v>
      </c>
      <c r="BF91" s="708" t="s">
        <v>373</v>
      </c>
      <c r="BG91" s="708" t="s">
        <v>374</v>
      </c>
      <c r="BH91" s="709" t="s">
        <v>375</v>
      </c>
      <c r="BI91" s="710" t="e">
        <f>#REF!*1.45</f>
        <v>#REF!</v>
      </c>
      <c r="BJ91" s="711">
        <v>80.64</v>
      </c>
      <c r="BK91" s="712">
        <v>100</v>
      </c>
      <c r="BL91" s="713">
        <v>112</v>
      </c>
    </row>
    <row r="92" spans="1:64" ht="15.95" hidden="1" customHeight="1" x14ac:dyDescent="0.15">
      <c r="B92" s="91" t="s">
        <v>467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14" t="s">
        <v>376</v>
      </c>
      <c r="BC92" s="715" t="s">
        <v>370</v>
      </c>
      <c r="BD92" s="716" t="s">
        <v>371</v>
      </c>
      <c r="BE92" s="716" t="s">
        <v>372</v>
      </c>
      <c r="BF92" s="716" t="s">
        <v>373</v>
      </c>
      <c r="BG92" s="716" t="s">
        <v>374</v>
      </c>
      <c r="BH92" s="717" t="s">
        <v>375</v>
      </c>
      <c r="BI92" s="718" t="e">
        <f>#REF!*1.45</f>
        <v>#REF!</v>
      </c>
      <c r="BJ92" s="719">
        <v>90.32</v>
      </c>
      <c r="BK92" s="720">
        <v>100</v>
      </c>
      <c r="BL92" s="721">
        <v>125.44</v>
      </c>
    </row>
    <row r="93" spans="1:64" ht="15.95" hidden="1" customHeight="1" x14ac:dyDescent="0.15">
      <c r="B93" s="91" t="s">
        <v>468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377</v>
      </c>
      <c r="BC93" s="715" t="s">
        <v>371</v>
      </c>
      <c r="BD93" s="716" t="s">
        <v>372</v>
      </c>
      <c r="BE93" s="716" t="s">
        <v>373</v>
      </c>
      <c r="BF93" s="716" t="s">
        <v>374</v>
      </c>
      <c r="BG93" s="716" t="s">
        <v>375</v>
      </c>
      <c r="BH93" s="717" t="s">
        <v>378</v>
      </c>
      <c r="BI93" s="718" t="e">
        <f>#REF!*1.45</f>
        <v>#REF!</v>
      </c>
      <c r="BJ93" s="719">
        <v>101.15</v>
      </c>
      <c r="BK93" s="720">
        <v>101.15</v>
      </c>
      <c r="BL93" s="721">
        <v>140.4</v>
      </c>
    </row>
    <row r="94" spans="1:64" ht="15.95" hidden="1" customHeight="1" x14ac:dyDescent="0.15">
      <c r="B94" s="91" t="s">
        <v>470</v>
      </c>
      <c r="C94" s="90"/>
      <c r="D94" s="90"/>
      <c r="E94" s="90"/>
      <c r="F94" s="92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379</v>
      </c>
      <c r="BC94" s="715" t="s">
        <v>371</v>
      </c>
      <c r="BD94" s="716" t="s">
        <v>372</v>
      </c>
      <c r="BE94" s="716" t="s">
        <v>373</v>
      </c>
      <c r="BF94" s="716" t="s">
        <v>374</v>
      </c>
      <c r="BG94" s="716" t="s">
        <v>375</v>
      </c>
      <c r="BH94" s="717" t="s">
        <v>378</v>
      </c>
      <c r="BI94" s="718" t="e">
        <f>#REF!*1.45</f>
        <v>#REF!</v>
      </c>
      <c r="BJ94" s="719">
        <v>113.29</v>
      </c>
      <c r="BK94" s="720">
        <v>113.29</v>
      </c>
      <c r="BL94" s="721">
        <v>157.35</v>
      </c>
    </row>
    <row r="95" spans="1:64" ht="15.95" hidden="1" customHeight="1" x14ac:dyDescent="0.15">
      <c r="B95" s="91" t="s">
        <v>471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380</v>
      </c>
      <c r="BC95" s="715" t="s">
        <v>372</v>
      </c>
      <c r="BD95" s="716" t="s">
        <v>373</v>
      </c>
      <c r="BE95" s="716" t="s">
        <v>374</v>
      </c>
      <c r="BF95" s="716" t="s">
        <v>375</v>
      </c>
      <c r="BG95" s="716" t="s">
        <v>378</v>
      </c>
      <c r="BH95" s="717" t="s">
        <v>381</v>
      </c>
      <c r="BI95" s="718" t="e">
        <f>#REF!*1.45</f>
        <v>#REF!</v>
      </c>
      <c r="BJ95" s="719">
        <v>126.89</v>
      </c>
      <c r="BK95" s="720">
        <v>129.88999999999999</v>
      </c>
      <c r="BL95" s="721">
        <v>176.23</v>
      </c>
    </row>
    <row r="96" spans="1:64" ht="15.95" hidden="1" customHeight="1" x14ac:dyDescent="0.15">
      <c r="B96" s="93" t="s">
        <v>472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328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>
        <f>A129*1.45</f>
        <v>0</v>
      </c>
      <c r="BJ96" s="719">
        <v>80.64</v>
      </c>
      <c r="BK96" s="720">
        <v>100</v>
      </c>
      <c r="BL96" s="721">
        <v>112</v>
      </c>
    </row>
    <row r="97" spans="2:64" ht="15.95" hidden="1" customHeight="1" x14ac:dyDescent="0.15">
      <c r="B97" s="93" t="s">
        <v>487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382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A130*1.45</f>
        <v>0</v>
      </c>
      <c r="BJ97" s="719">
        <v>90.32</v>
      </c>
      <c r="BK97" s="720">
        <v>100</v>
      </c>
      <c r="BL97" s="721">
        <v>125.44</v>
      </c>
    </row>
    <row r="98" spans="2:64" ht="15.95" hidden="1" customHeight="1" thickBot="1" x14ac:dyDescent="0.2">
      <c r="B98" s="94" t="s">
        <v>484</v>
      </c>
      <c r="C98" s="95"/>
      <c r="D98" s="95"/>
      <c r="E98" s="95"/>
      <c r="F98" s="96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383</v>
      </c>
      <c r="BC98" s="715" t="s">
        <v>372</v>
      </c>
      <c r="BD98" s="716" t="s">
        <v>373</v>
      </c>
      <c r="BE98" s="716" t="s">
        <v>374</v>
      </c>
      <c r="BF98" s="716" t="s">
        <v>375</v>
      </c>
      <c r="BG98" s="716" t="s">
        <v>378</v>
      </c>
      <c r="BH98" s="717" t="s">
        <v>381</v>
      </c>
      <c r="BI98" s="718">
        <f>A131*1.45</f>
        <v>0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30"/>
      <c r="C99" s="5"/>
      <c r="D99" s="5"/>
      <c r="E99" s="5"/>
      <c r="F99" s="5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384</v>
      </c>
      <c r="BC99" s="715" t="s">
        <v>372</v>
      </c>
      <c r="BD99" s="716" t="s">
        <v>373</v>
      </c>
      <c r="BE99" s="716" t="s">
        <v>374</v>
      </c>
      <c r="BF99" s="716" t="s">
        <v>375</v>
      </c>
      <c r="BG99" s="716" t="s">
        <v>378</v>
      </c>
      <c r="BH99" s="717" t="s">
        <v>381</v>
      </c>
      <c r="BI99" s="718">
        <f>A132*1.45</f>
        <v>1.45</v>
      </c>
      <c r="BJ99" s="719">
        <v>113.29</v>
      </c>
      <c r="BK99" s="720">
        <v>113.29</v>
      </c>
      <c r="BL99" s="721">
        <v>157.35</v>
      </c>
    </row>
    <row r="100" spans="2:64" ht="13.5" hidden="1" x14ac:dyDescent="0.15">
      <c r="B100" s="30"/>
      <c r="C100" s="5"/>
      <c r="D100" s="5"/>
      <c r="E100" s="5"/>
      <c r="F100" s="5"/>
      <c r="G100" s="5"/>
      <c r="H100" s="5"/>
      <c r="I100" s="5"/>
      <c r="J100" s="74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385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>
        <f>A132*1.45</f>
        <v>1.45</v>
      </c>
      <c r="BJ100" s="719">
        <v>126.89</v>
      </c>
      <c r="BK100" s="720">
        <v>126.89</v>
      </c>
      <c r="BL100" s="721">
        <v>176.23</v>
      </c>
    </row>
    <row r="101" spans="2:64" ht="13.5" hidden="1" x14ac:dyDescent="0.15">
      <c r="B101" s="1849" t="s">
        <v>508</v>
      </c>
      <c r="C101" s="1849"/>
      <c r="D101" s="1849"/>
      <c r="E101" s="1849"/>
      <c r="H101" s="5"/>
      <c r="I101" s="37"/>
      <c r="J101" s="5"/>
      <c r="K101" s="27"/>
      <c r="L101" s="6"/>
      <c r="M101" s="27"/>
      <c r="N101" s="60"/>
      <c r="O101" s="255"/>
      <c r="AD101" s="70"/>
      <c r="AE101" s="70"/>
      <c r="AF101" s="70"/>
      <c r="AG101" s="69"/>
      <c r="AZ101" s="11"/>
      <c r="BA101" s="85"/>
      <c r="BB101" s="714" t="s">
        <v>386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A133*1.45</f>
        <v>2.9</v>
      </c>
      <c r="BJ101" s="719">
        <v>126.89</v>
      </c>
      <c r="BK101" s="720">
        <v>126.89</v>
      </c>
      <c r="BL101" s="721">
        <v>176.23</v>
      </c>
    </row>
    <row r="102" spans="2:64" hidden="1" thickBot="1" x14ac:dyDescent="0.2">
      <c r="B102" s="34" t="s">
        <v>463</v>
      </c>
      <c r="C102" s="17"/>
      <c r="D102" s="21"/>
      <c r="E102" s="36"/>
      <c r="F102" s="5"/>
      <c r="G102" s="28"/>
      <c r="H102" s="5"/>
      <c r="I102" s="17" t="s">
        <v>463</v>
      </c>
      <c r="J102" s="5">
        <f>IF(E2=B92,H103,IF(E2=B94,H103,IF(E2=B96,H103,IF(E2=B97,H103,"NÃO CABE"))))</f>
        <v>0</v>
      </c>
      <c r="K102" s="27"/>
      <c r="L102" s="6" t="s">
        <v>510</v>
      </c>
      <c r="M102" s="27"/>
      <c r="N102" s="60"/>
      <c r="O102" s="255"/>
      <c r="X102" s="11"/>
      <c r="Y102" s="11"/>
      <c r="Z102" s="11"/>
      <c r="AA102" s="11"/>
      <c r="AB102" s="11"/>
      <c r="AC102" s="69"/>
      <c r="AD102" s="70"/>
      <c r="AE102" s="70"/>
      <c r="AF102" s="70"/>
      <c r="AG102" s="69"/>
      <c r="AZ102" s="11"/>
      <c r="BA102" s="85"/>
      <c r="BB102" s="714" t="s">
        <v>387</v>
      </c>
      <c r="BC102" s="715" t="s">
        <v>373</v>
      </c>
      <c r="BD102" s="716" t="s">
        <v>374</v>
      </c>
      <c r="BE102" s="716" t="s">
        <v>375</v>
      </c>
      <c r="BF102" s="716" t="s">
        <v>378</v>
      </c>
      <c r="BG102" s="716" t="s">
        <v>381</v>
      </c>
      <c r="BH102" s="717" t="s">
        <v>388</v>
      </c>
      <c r="BI102" s="718" t="e">
        <f>A134*1.45</f>
        <v>#VALUE!</v>
      </c>
      <c r="BJ102" s="719">
        <v>142.12</v>
      </c>
      <c r="BK102" s="720">
        <v>142.12</v>
      </c>
      <c r="BL102" s="721">
        <v>197.38</v>
      </c>
    </row>
    <row r="103" spans="2:64" hidden="1" thickBot="1" x14ac:dyDescent="0.2">
      <c r="B103" s="34" t="s">
        <v>485</v>
      </c>
      <c r="C103" s="17"/>
      <c r="D103" s="16"/>
      <c r="E103" s="57">
        <f>IF($F$103="NÃO CABE","NÃO CABE",IF($G$10="X",$F$103/30,$F$103/35))</f>
        <v>0</v>
      </c>
      <c r="F103" s="10">
        <f>IF(E2="VOLUNTÁRIA ESPECIAL","NÃO CABE",IF(E2="VOLUNTÁRIA INTEGRAL","NÃO CABE",IF(E2="COMPULSÓRIA INTEGRAL","NÃO CABE",IF(E2="INVALIDEZ INTEGRAL","NÃO CABE",ROUNDDOWN(F61/365,0)))))</f>
        <v>0</v>
      </c>
      <c r="G103" s="28"/>
      <c r="H103" s="14">
        <f>IF(E103&gt;1,1,E103)</f>
        <v>0</v>
      </c>
      <c r="I103" s="17" t="s">
        <v>485</v>
      </c>
      <c r="J103" s="5">
        <f>IF($E$2=$B$92,H103,IF($E$2=$B$94,H103,IF($E$2=$B$96,H103,"NÃO CABE")))</f>
        <v>0</v>
      </c>
      <c r="K103" s="27"/>
      <c r="L103" s="57">
        <f>IF($F$103="NÃO CABE","NÃO CABE",IF($G$10="X",$F$61/10950,$F$61/12775))</f>
        <v>0</v>
      </c>
      <c r="M103" s="14">
        <f>IF(L103&gt;1,1,L103)</f>
        <v>0</v>
      </c>
      <c r="N103" s="5">
        <f>IF($E$2=$B$92,M103,IF($E$2=$B$94,M103,IF($E$2=$B$96,M103,"NÃO CABE")))</f>
        <v>0</v>
      </c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Z103" s="11"/>
      <c r="BA103" s="85"/>
      <c r="BB103" s="714" t="s">
        <v>389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>
        <f>A136*1.45</f>
        <v>5.8</v>
      </c>
      <c r="BJ103" s="719">
        <v>90.32</v>
      </c>
      <c r="BK103" s="720">
        <v>100</v>
      </c>
      <c r="BL103" s="721">
        <v>125.44</v>
      </c>
    </row>
    <row r="104" spans="2:64" hidden="1" thickBot="1" x14ac:dyDescent="0.2">
      <c r="B104" s="34" t="s">
        <v>476</v>
      </c>
      <c r="C104" s="17"/>
      <c r="D104" s="16"/>
      <c r="E104" s="58" t="str">
        <f>IF(E2=B97,IF(C65&gt;0,"TEMPO A CUMPRIR",IF(F104=1,75%,IF(F104=2,80%,IF(F104=3,85%,IF(F104=4,90%,IF(F104=5,95%,IF(F104&gt;=6,100%,70%))))))),"NÃO CABE")</f>
        <v>NÃO CABE</v>
      </c>
      <c r="F104" s="10">
        <f>IF(G10="X",ROUNDDOWN((F61-(25*365+E43))/365,0),ROUNDDOWN((F61-(30*365+E43))/365,0))</f>
        <v>-30</v>
      </c>
      <c r="G104" s="28"/>
      <c r="I104" s="17" t="s">
        <v>476</v>
      </c>
      <c r="J104" s="5" t="str">
        <f>IF(E2=B97,E104,"NÃO CABE")</f>
        <v>NÃO CABE</v>
      </c>
      <c r="K104" s="27"/>
      <c r="L104" s="65"/>
      <c r="M104" s="66">
        <f>O10</f>
        <v>0</v>
      </c>
      <c r="N104" s="60">
        <v>38037</v>
      </c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Z104" s="11"/>
      <c r="BA104" s="85"/>
      <c r="BB104" s="714" t="s">
        <v>390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/>
      <c r="BJ104" s="719"/>
      <c r="BK104" s="720"/>
      <c r="BL104" s="721"/>
    </row>
    <row r="105" spans="2:64" hidden="1" thickBot="1" x14ac:dyDescent="0.2">
      <c r="B105" s="35" t="s">
        <v>464</v>
      </c>
      <c r="C105" s="33"/>
      <c r="D105" s="16"/>
      <c r="E105" s="36" t="s">
        <v>457</v>
      </c>
      <c r="F105" s="5">
        <f>IF($D$12="X",50-$N$11,55-$N$11)</f>
        <v>55</v>
      </c>
      <c r="G105" s="28"/>
      <c r="H105" s="59" t="str">
        <f>IF($G$10="X",IF($O$9&gt;=17532,IF($O$10&gt;=38718,1-($F$105*0.05),1-($F$105*0.035)),"NÃO CABE"),IF($O$9&gt;=19359,IF($O$10&gt;=38718,1-($F$106*0.05),1-($F$106*0.035)),"NÃO CABE"))</f>
        <v>NÃO CABE</v>
      </c>
      <c r="I105" s="33" t="s">
        <v>464</v>
      </c>
      <c r="J105" s="61" t="str">
        <f>IF(E2=B98,H106,"NÃO CABE")</f>
        <v>NÃO CABE</v>
      </c>
      <c r="K105" s="27"/>
      <c r="L105" s="6"/>
      <c r="M105" s="27"/>
      <c r="N105" s="60"/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X105" s="11"/>
      <c r="AY105" s="11"/>
      <c r="AZ105" s="11"/>
      <c r="BA105" s="85"/>
      <c r="BB105" s="714" t="s">
        <v>391</v>
      </c>
      <c r="BC105" s="715" t="s">
        <v>373</v>
      </c>
      <c r="BD105" s="716" t="s">
        <v>374</v>
      </c>
      <c r="BE105" s="716" t="s">
        <v>375</v>
      </c>
      <c r="BF105" s="716" t="s">
        <v>378</v>
      </c>
      <c r="BG105" s="716" t="s">
        <v>381</v>
      </c>
      <c r="BH105" s="717" t="s">
        <v>388</v>
      </c>
      <c r="BI105" s="718" t="e">
        <f>A138*1.45</f>
        <v>#VALUE!</v>
      </c>
      <c r="BJ105" s="719">
        <v>101.15</v>
      </c>
      <c r="BK105" s="720">
        <v>101.15</v>
      </c>
      <c r="BL105" s="721">
        <v>140.4</v>
      </c>
    </row>
    <row r="106" spans="2:64" ht="13.5" hidden="1" x14ac:dyDescent="0.15">
      <c r="B106" s="39">
        <v>38717</v>
      </c>
      <c r="C106" s="11">
        <v>38717</v>
      </c>
      <c r="D106" s="16"/>
      <c r="E106" s="36" t="s">
        <v>456</v>
      </c>
      <c r="F106" s="5">
        <f>IF($D$12="X",55-$N$11,60-$N$11)</f>
        <v>60</v>
      </c>
      <c r="G106" s="28"/>
      <c r="H106" s="14">
        <f>IF(H105="NÃO CABE",0,IF(H105&gt;1,1,H105))</f>
        <v>0</v>
      </c>
      <c r="I106" s="18"/>
      <c r="J106" s="5"/>
      <c r="K106" s="27"/>
      <c r="L106" s="6"/>
      <c r="M106" s="27"/>
      <c r="N106" s="60"/>
      <c r="O106" s="255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S106" s="69"/>
      <c r="AX106" s="11"/>
      <c r="AY106" s="11"/>
      <c r="AZ106" s="11"/>
      <c r="BA106" s="85"/>
      <c r="BB106" s="714" t="s">
        <v>392</v>
      </c>
      <c r="BC106" s="715" t="s">
        <v>373</v>
      </c>
      <c r="BD106" s="716" t="s">
        <v>374</v>
      </c>
      <c r="BE106" s="716" t="s">
        <v>375</v>
      </c>
      <c r="BF106" s="716" t="s">
        <v>378</v>
      </c>
      <c r="BG106" s="716" t="s">
        <v>381</v>
      </c>
      <c r="BH106" s="717" t="s">
        <v>388</v>
      </c>
      <c r="BI106" s="718"/>
      <c r="BJ106" s="719"/>
      <c r="BK106" s="720"/>
      <c r="BL106" s="721"/>
    </row>
    <row r="107" spans="2:64" ht="13.5" hidden="1" x14ac:dyDescent="0.15">
      <c r="B107" s="39">
        <v>38718</v>
      </c>
      <c r="C107" s="11">
        <v>38718</v>
      </c>
      <c r="D107" s="8"/>
      <c r="E107" s="63"/>
      <c r="F107" s="6"/>
      <c r="G107" s="6"/>
      <c r="H107" s="6"/>
      <c r="I107" s="18"/>
      <c r="J107" s="9"/>
      <c r="K107" s="5"/>
      <c r="L107" s="6"/>
      <c r="M107" s="10"/>
      <c r="N107" s="11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X107" s="11"/>
      <c r="AY107" s="11"/>
      <c r="AZ107" s="11"/>
      <c r="BA107" s="85"/>
      <c r="BB107" s="714" t="s">
        <v>393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>
        <f>A139*1.45</f>
        <v>8.6999999999999993</v>
      </c>
      <c r="BJ107" s="719">
        <v>113.29</v>
      </c>
      <c r="BK107" s="720">
        <v>113.29</v>
      </c>
      <c r="BL107" s="721">
        <v>157.35</v>
      </c>
    </row>
    <row r="108" spans="2:64" ht="13.5" hidden="1" x14ac:dyDescent="0.15">
      <c r="B108" s="62"/>
      <c r="C108" s="38">
        <v>38097</v>
      </c>
      <c r="D108" s="8"/>
      <c r="E108" s="5"/>
      <c r="F108" s="6"/>
      <c r="G108" s="6"/>
      <c r="H108" s="6"/>
      <c r="I108" s="6"/>
      <c r="J108" s="9"/>
      <c r="K108" s="5"/>
      <c r="L108" s="6"/>
      <c r="M108" s="10"/>
      <c r="N108" s="11"/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394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A140*1.45</f>
        <v>10.15</v>
      </c>
      <c r="BJ108" s="719">
        <v>113.29</v>
      </c>
      <c r="BK108" s="720">
        <v>113.29</v>
      </c>
      <c r="BL108" s="721">
        <v>157.35</v>
      </c>
    </row>
    <row r="109" spans="2:64" ht="13.5" hidden="1" x14ac:dyDescent="0.15">
      <c r="B109" s="6"/>
      <c r="C109" s="38"/>
      <c r="D109" s="8"/>
      <c r="E109" s="5"/>
      <c r="F109" s="6"/>
      <c r="G109" s="6"/>
      <c r="H109" s="6"/>
      <c r="I109" s="6"/>
      <c r="J109" s="9"/>
      <c r="K109" s="5"/>
      <c r="L109" s="6"/>
      <c r="M109" s="10"/>
      <c r="N109" s="11"/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14" t="s">
        <v>395</v>
      </c>
      <c r="BC109" s="715" t="s">
        <v>396</v>
      </c>
      <c r="BD109" s="716" t="s">
        <v>397</v>
      </c>
      <c r="BE109" s="716" t="s">
        <v>397</v>
      </c>
      <c r="BF109" s="716" t="s">
        <v>398</v>
      </c>
      <c r="BG109" s="716" t="s">
        <v>398</v>
      </c>
      <c r="BH109" s="716" t="s">
        <v>398</v>
      </c>
      <c r="BI109" s="718"/>
      <c r="BJ109" s="719"/>
      <c r="BK109" s="720"/>
      <c r="BL109" s="721"/>
    </row>
    <row r="110" spans="2:64" ht="13.5" hidden="1" x14ac:dyDescent="0.15">
      <c r="B110" s="1849" t="s">
        <v>477</v>
      </c>
      <c r="C110" s="1849"/>
      <c r="D110" s="1849"/>
      <c r="E110" s="1849"/>
      <c r="F110" s="1849"/>
      <c r="G110" s="1849"/>
      <c r="H110" s="1849"/>
      <c r="I110" s="1849"/>
      <c r="J110" s="1849"/>
      <c r="K110" s="1849" t="s">
        <v>477</v>
      </c>
      <c r="L110" s="1849"/>
      <c r="M110" s="1849"/>
      <c r="N110" s="1849"/>
      <c r="O110" s="1849"/>
      <c r="P110" s="1849"/>
      <c r="Q110" s="1849"/>
      <c r="R110" s="1849"/>
      <c r="S110" s="1849"/>
      <c r="T110" s="11"/>
      <c r="U110" s="11"/>
      <c r="V110" s="11"/>
      <c r="W110" s="11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399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>
        <f>A143*1.45</f>
        <v>13.049999999999999</v>
      </c>
      <c r="BJ110" s="719">
        <v>126.89</v>
      </c>
      <c r="BK110" s="720">
        <v>126.89</v>
      </c>
      <c r="BL110" s="721">
        <v>176.23</v>
      </c>
    </row>
    <row r="111" spans="2:64" ht="13.5" hidden="1" x14ac:dyDescent="0.15">
      <c r="B111" s="19" t="s">
        <v>480</v>
      </c>
      <c r="C111" s="8"/>
      <c r="D111" s="8"/>
      <c r="E111" s="5"/>
      <c r="F111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1" s="6"/>
      <c r="H111" s="6"/>
      <c r="I111" s="6"/>
      <c r="J111" s="9"/>
      <c r="K111" s="5"/>
      <c r="L111" s="41" t="s">
        <v>450</v>
      </c>
      <c r="M111" s="10"/>
      <c r="N111" s="11"/>
      <c r="O111" s="255" t="b">
        <f>IF(E2=L111,IF(K2=O3,F111,IF(K2=O4,F113,IF(K2=O6,F111,IF(K2=O7,F112,IF(K2=O2,"NADA A CRITICAR","REANALISAR FUNDAMENTAÇÃO E/OU MODALIDADE"))))))</f>
        <v>0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400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/>
      <c r="BJ111" s="719"/>
      <c r="BK111" s="720"/>
      <c r="BL111" s="721"/>
    </row>
    <row r="112" spans="2:64" ht="13.5" hidden="1" x14ac:dyDescent="0.15">
      <c r="B112" s="6" t="s">
        <v>481</v>
      </c>
      <c r="D112" s="10"/>
      <c r="E112" s="11"/>
      <c r="F112" s="6" t="str">
        <f>IF(G10="X",IF(O9&gt;=I125,"ATENDE LIMITE MÍNIMO DE IDADE","NÃO ATENDE LIMITE MÍNIMO DE IDADE"),IF(O9&gt;=J125,"ATENDE LIMITE MÍNIMO DE IDADE","NÃO ATENDE LIMITE MÍNIMO DE IDADE"))</f>
        <v>NÃO ATENDE LIMITE MÍNIMO DE IDADE</v>
      </c>
      <c r="G112" s="6"/>
      <c r="H112" s="6"/>
      <c r="I112" s="6"/>
      <c r="J112" s="9"/>
      <c r="L112" s="41" t="s">
        <v>455</v>
      </c>
      <c r="O112" s="255" t="str">
        <f>IF(E2=L112,IF(K2=O3,F114,IF(K2=O4,F117,IF(K2=O6,F114,IF(K2=O2,"NADA A CRITICAR","REANALISAR FUNDAMENTAÇÃO E/OU MODALIDADE")))),"REANALISAR FUNDAMENTAÇÃO E/OU MODALIDADE")</f>
        <v>REANALISAR FUNDAMENTAÇÃO E/OU MODALIDADE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401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>
        <f>A145*1.45</f>
        <v>15.95</v>
      </c>
      <c r="BJ112" s="719">
        <v>142.12</v>
      </c>
      <c r="BK112" s="720">
        <v>142.12</v>
      </c>
      <c r="BL112" s="721">
        <v>197.38</v>
      </c>
    </row>
    <row r="113" spans="2:64" ht="13.5" hidden="1" x14ac:dyDescent="0.15">
      <c r="B113" s="20" t="s">
        <v>482</v>
      </c>
      <c r="F113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3" s="5"/>
      <c r="L113" s="41" t="s">
        <v>467</v>
      </c>
      <c r="O113" s="254" t="str">
        <f>IF(E2=L113,IF(K2=O3,F115,IF(K2=O2,F115,"REANALISAR FUNDAMENTAÇÃO E/OU MODALIDADE")),"REANALISAR FUNDAMENTAÇÃO E/OU MODALIDADE")</f>
        <v>NÃO ATENDE LIMITE MÍNIMO DE IDADE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22" t="s">
        <v>402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/>
      <c r="BJ113" s="719"/>
      <c r="BK113" s="720"/>
      <c r="BL113" s="721"/>
    </row>
    <row r="114" spans="2:64" ht="13.5" hidden="1" x14ac:dyDescent="0.15">
      <c r="B114" s="6" t="s">
        <v>478</v>
      </c>
      <c r="C114" s="8"/>
      <c r="D114" s="8"/>
      <c r="E114" s="5"/>
      <c r="F114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4" s="6"/>
      <c r="H114" s="6"/>
      <c r="I114" s="6"/>
      <c r="J114" s="9"/>
      <c r="K114" s="5"/>
      <c r="L114" s="11" t="s">
        <v>487</v>
      </c>
      <c r="M114" s="10"/>
      <c r="N114" s="11"/>
      <c r="O114" s="255" t="str">
        <f>IF(E2=L114,IF(K2=O4,F116,IF(K2=O2,"NADA A CRITICAR","REANALISAR FUNDAMENTAÇÃO E/OU MODALIDADE")),"REANALISAR FUNDAMENTAÇÃO E/OU MODALIDADE")</f>
        <v>REANALISAR FUNDAMENTAÇÃO E/OU MODALIDADE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403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>
        <f>A147*1.45</f>
        <v>18.849999999999998</v>
      </c>
      <c r="BJ114" s="719">
        <v>159.16999999999999</v>
      </c>
      <c r="BK114" s="720">
        <v>159.16999999999999</v>
      </c>
      <c r="BL114" s="721">
        <v>221.06</v>
      </c>
    </row>
    <row r="115" spans="2:64" ht="13.5" hidden="1" x14ac:dyDescent="0.15">
      <c r="B115" s="6" t="s">
        <v>479</v>
      </c>
      <c r="C115" s="8"/>
      <c r="D115" s="8"/>
      <c r="E115" s="5"/>
      <c r="F115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5" s="6"/>
      <c r="H115" s="6"/>
      <c r="I115" s="6"/>
      <c r="J115" s="9"/>
      <c r="K115" s="5"/>
      <c r="L115" s="42" t="s">
        <v>484</v>
      </c>
      <c r="M115" s="10"/>
      <c r="N115" s="11"/>
      <c r="O115" s="255" t="str">
        <f>IF(E2=L115,IF(K2=O5,F113,"REANALISAR FUNDAMENTAÇÃO E/OU MODALIDADE"),"REANALISAR FUNDAMENTAÇÃO E/OU MODALIDADE")</f>
        <v>REANALISAR FUNDAMENTAÇÃO E/OU MODALIDADE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404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20.3</v>
      </c>
      <c r="BJ115" s="719">
        <v>101.15</v>
      </c>
      <c r="BK115" s="720">
        <v>101.15</v>
      </c>
      <c r="BL115" s="721">
        <v>140.4</v>
      </c>
    </row>
    <row r="116" spans="2:64" hidden="1" x14ac:dyDescent="0.15">
      <c r="B116" s="20" t="s">
        <v>483</v>
      </c>
      <c r="C116" s="43"/>
      <c r="D116" s="43"/>
      <c r="E116" s="44"/>
      <c r="F116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6" s="44"/>
      <c r="H116" s="44"/>
      <c r="I116" s="44"/>
      <c r="J116" s="44"/>
      <c r="K116" s="45"/>
      <c r="L116" s="46" t="s">
        <v>488</v>
      </c>
      <c r="M116" s="46"/>
      <c r="N116" s="47"/>
      <c r="O116" s="255" t="str">
        <f>IF($K$2=$O$2,IF($E$2=$B$93,$F$118,IF(E2=$B$94,$F$118,IF($E$2=$B$95,"EX OFFICIO",IF($E$2=$B$96,"EX OFFICIO","REANALISAR FUNDAMENTAÇÃO E/OU MODALIDADE")))),IF($K$2=$O$3,IF($E$2=$B$93,$F$118,IF($E$2=$B$94,$F$118,IF($E$2=$B$95,"EX OFFICIO",IF($E$2=$B$96,"EX OFFICIO","REANALISAR FUNDAMENTAÇÃO E/OU MODADALIDADE"))))))</f>
        <v>REANALISAR FUNDAMENTAÇÃO E/OU MODADALIDADE</v>
      </c>
      <c r="P116" s="3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405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20" t="s">
        <v>486</v>
      </c>
      <c r="C117" s="43"/>
      <c r="D117" s="43"/>
      <c r="E117" s="44"/>
      <c r="F117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7" s="44"/>
      <c r="H117" s="44"/>
      <c r="I117" s="44"/>
      <c r="J117" s="44"/>
      <c r="K117" s="46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23" t="s">
        <v>406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2:64" ht="13.5" hidden="1" x14ac:dyDescent="0.15">
      <c r="B118" s="44" t="s">
        <v>503</v>
      </c>
      <c r="C118" s="43"/>
      <c r="D118" s="43"/>
      <c r="E118" s="44"/>
      <c r="F118" s="44" t="str">
        <f>IF($N$11&gt;=70,"ATENDE LIMITE MÍNIMO DE IDADE","NÃO ATENDE LIMITE MÍNIMO DE IDADE")</f>
        <v>NÃO ATENDE LIMITE MÍNIMO DE IDADE</v>
      </c>
      <c r="G118" s="44"/>
      <c r="H118" s="44"/>
      <c r="I118" s="44"/>
      <c r="J118" s="44"/>
      <c r="K118" s="46"/>
      <c r="L118" s="48"/>
      <c r="M118" s="48"/>
      <c r="N118" s="47"/>
      <c r="O118" s="255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3" t="s">
        <v>407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44"/>
      <c r="C119" s="43"/>
      <c r="D119" s="43"/>
      <c r="E119" s="44"/>
      <c r="F119" s="44"/>
      <c r="G119" s="44"/>
      <c r="H119" s="44"/>
      <c r="I119" s="44"/>
      <c r="J119" s="44"/>
      <c r="K119" s="46"/>
      <c r="L119" s="49" t="s">
        <v>498</v>
      </c>
      <c r="M119" s="11"/>
      <c r="N119" s="11"/>
      <c r="O119" s="255"/>
      <c r="P119" s="79"/>
      <c r="Q119" s="79"/>
      <c r="R119" s="79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23" t="s">
        <v>408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2:64" ht="13.5" hidden="1" x14ac:dyDescent="0.15">
      <c r="B120" s="50"/>
      <c r="C120" s="50"/>
      <c r="D120" s="50"/>
      <c r="E120" s="50"/>
      <c r="F120" s="50"/>
      <c r="G120" s="50"/>
      <c r="H120" s="50"/>
      <c r="I120" s="50"/>
      <c r="J120" s="50"/>
      <c r="K120" s="51"/>
      <c r="L120" s="11" t="s">
        <v>499</v>
      </c>
      <c r="M120" s="11"/>
      <c r="N120" s="11"/>
      <c r="O120" s="255"/>
      <c r="P120" s="79"/>
      <c r="Q120" s="86" t="b">
        <f>IF(K2=O4,IF(E2=B90,R120,IF(E2=B91,R120,IF(E2=B97,R120,IF(G10="X",(30*365)-F61,(35*365)-F61)))),IF(K2=O5,IF(E2=B98,R120,IF(G10="X",(30*365)-F61,(35*365)-F61))))</f>
        <v>0</v>
      </c>
      <c r="R120" s="86" t="b">
        <f>IF($K$2=$O$4,IF($F$61&gt;=($F$37+$E$44),0,($F$37+$E$44)-$F$61),IF($K$2=$O$5,IF($F$61&gt;=($F$37+$E$44),0,($F$37+$E$44)-$F$61)))</f>
        <v>0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23" t="s">
        <v>409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2:64" ht="13.5" hidden="1" x14ac:dyDescent="0.15">
      <c r="B121" s="52"/>
      <c r="C121" s="52"/>
      <c r="D121" s="52"/>
      <c r="E121" s="52"/>
      <c r="F121" s="52"/>
      <c r="G121" s="52"/>
      <c r="H121" s="52"/>
      <c r="I121" s="52"/>
      <c r="J121" s="52"/>
      <c r="K121" s="53"/>
      <c r="L121" s="42" t="s">
        <v>500</v>
      </c>
      <c r="M121" s="11"/>
      <c r="N121" s="11"/>
      <c r="O121" s="255"/>
      <c r="P121" s="79"/>
      <c r="Q121" s="86">
        <f>IF(E2="VOLUNTÁRIA ESPECIAL",IF(D12="X",IF(G10="X",(25*365)-F61,(30*365)-F61)),IF(G10="X",(30*365)-F61,(35*365)-F61))</f>
        <v>12775</v>
      </c>
      <c r="R121" s="79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23" t="s">
        <v>410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17" t="s">
        <v>463</v>
      </c>
      <c r="M122" s="11"/>
      <c r="N122" s="11"/>
      <c r="O122" s="255" t="s">
        <v>504</v>
      </c>
      <c r="P122" s="79"/>
      <c r="Q122" s="87"/>
      <c r="R122" s="86">
        <f>IF(E2="VOLUNTÁRIA ESPECIAL",IF(D12="X",IF(G10="X",(25*365)-$F$37,(30*365)-$F$37)),IF(G10="X",(30*365)-$F$37,(35*365)-$F$37))</f>
        <v>12775</v>
      </c>
      <c r="S122" s="11"/>
      <c r="T122" s="5"/>
      <c r="U122" s="5"/>
      <c r="V122" s="5"/>
      <c r="W122" s="5"/>
      <c r="X122" s="5"/>
      <c r="Y122" s="5"/>
      <c r="Z122" s="5"/>
      <c r="AA122" s="5"/>
      <c r="AB122" s="5"/>
      <c r="AC122" s="69"/>
      <c r="AD122" s="70"/>
      <c r="AE122" s="70"/>
      <c r="AF122" s="70"/>
      <c r="AG122" s="69"/>
      <c r="AX122" s="11"/>
      <c r="AY122" s="11"/>
      <c r="AZ122" s="5"/>
      <c r="BA122" s="724"/>
      <c r="BB122" s="723" t="s">
        <v>411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customHeight="1" x14ac:dyDescent="0.15">
      <c r="B123" s="6"/>
      <c r="C123" s="1943" t="s">
        <v>459</v>
      </c>
      <c r="D123" s="1943"/>
      <c r="E123" s="1943"/>
      <c r="F123" s="1943" t="s">
        <v>460</v>
      </c>
      <c r="G123" s="1943"/>
      <c r="H123" s="1943"/>
      <c r="I123" s="1943" t="s">
        <v>461</v>
      </c>
      <c r="J123" s="1943"/>
      <c r="K123" s="51"/>
      <c r="L123" s="51"/>
      <c r="M123" s="54"/>
      <c r="N123" s="54"/>
      <c r="O123" s="255" t="s">
        <v>487</v>
      </c>
      <c r="P123" s="78"/>
      <c r="Q123" s="78"/>
      <c r="R123" s="86">
        <f>IF(E2=B97,IF(G10="X",(25*365)-$F$37,(30*365)-$F$37),IF(G10="X",(30*365)-$F$37,(35*365)-$F$37))</f>
        <v>12775</v>
      </c>
      <c r="AX123" s="11"/>
      <c r="AY123" s="11"/>
      <c r="BB123" s="723" t="s">
        <v>412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2.75" hidden="1" customHeight="1" x14ac:dyDescent="0.15">
      <c r="B124" s="40" t="s">
        <v>454</v>
      </c>
      <c r="C124" s="40" t="s">
        <v>457</v>
      </c>
      <c r="D124" s="8"/>
      <c r="E124" s="5" t="s">
        <v>456</v>
      </c>
      <c r="F124" s="6" t="s">
        <v>457</v>
      </c>
      <c r="G124" s="6"/>
      <c r="H124" s="6" t="s">
        <v>456</v>
      </c>
      <c r="I124" s="8" t="s">
        <v>457</v>
      </c>
      <c r="J124" s="8" t="s">
        <v>456</v>
      </c>
      <c r="K124" s="51"/>
      <c r="L124" s="18" t="s">
        <v>466</v>
      </c>
      <c r="M124" s="54"/>
      <c r="N124" s="54"/>
      <c r="O124" s="255" t="s">
        <v>509</v>
      </c>
      <c r="P124" s="78"/>
      <c r="Q124" s="86">
        <f>IF(K2=O7,IF($E$2=B90,IF($G$10="X",(30*365)-$F$61,(35*365)-$F$61)),IF($G$10="X",(30*365)-$F$61,(35*365)-$F$61))</f>
        <v>12775</v>
      </c>
      <c r="R124" s="78"/>
      <c r="AX124" s="11"/>
      <c r="AY124" s="11"/>
      <c r="BB124" s="723" t="s">
        <v>413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customHeight="1" x14ac:dyDescent="0.15">
      <c r="B125" s="16" t="s">
        <v>450</v>
      </c>
      <c r="C125" s="55">
        <f>30*365</f>
        <v>10950</v>
      </c>
      <c r="D125" s="55"/>
      <c r="E125" s="55">
        <f>35*365</f>
        <v>12775</v>
      </c>
      <c r="F125" s="55">
        <v>20089</v>
      </c>
      <c r="G125" s="55"/>
      <c r="H125" s="55">
        <v>21914</v>
      </c>
      <c r="I125" s="55">
        <f>F125-C128</f>
        <v>31039</v>
      </c>
      <c r="J125" s="55">
        <f>H125-E128</f>
        <v>34689</v>
      </c>
      <c r="K125" s="51"/>
      <c r="L125" s="51"/>
      <c r="M125" s="54"/>
      <c r="N125" s="54"/>
      <c r="P125" s="78"/>
      <c r="Q125" s="78"/>
      <c r="R125" s="78"/>
      <c r="AX125" s="11"/>
      <c r="AY125" s="11"/>
      <c r="BB125" s="723" t="s">
        <v>414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2.75" hidden="1" customHeight="1" x14ac:dyDescent="0.15">
      <c r="B126" s="16" t="s">
        <v>455</v>
      </c>
      <c r="C126" s="47">
        <f>25*365</f>
        <v>9125</v>
      </c>
      <c r="D126" s="47"/>
      <c r="E126" s="47">
        <f>30*365</f>
        <v>10950</v>
      </c>
      <c r="F126" s="55">
        <v>18264</v>
      </c>
      <c r="G126" s="55"/>
      <c r="H126" s="55">
        <v>20089</v>
      </c>
      <c r="I126" s="47">
        <f>ROUNDDOWN(I125/365,0)</f>
        <v>85</v>
      </c>
      <c r="J126" s="47">
        <f>ROUNDDOWN(J125/365,0)</f>
        <v>95</v>
      </c>
      <c r="K126" s="51"/>
      <c r="L126" s="51"/>
      <c r="M126" s="54"/>
      <c r="N126" s="54"/>
      <c r="P126" s="78"/>
      <c r="Q126" s="78"/>
      <c r="R126" s="78"/>
      <c r="AX126" s="11"/>
      <c r="AY126" s="11"/>
      <c r="BB126" s="723" t="s">
        <v>415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2.75" hidden="1" customHeight="1" x14ac:dyDescent="0.15">
      <c r="B127" s="48"/>
      <c r="C127" s="48"/>
      <c r="D127" s="48"/>
      <c r="E127" s="46"/>
      <c r="F127" s="48"/>
      <c r="G127" s="48"/>
      <c r="H127" s="48"/>
      <c r="I127" s="48"/>
      <c r="J127" s="46"/>
      <c r="K127" s="51"/>
      <c r="L127" s="51"/>
      <c r="M127" s="54"/>
      <c r="N127" s="54"/>
      <c r="AX127" s="5"/>
      <c r="AY127" s="5"/>
      <c r="BB127" s="723" t="s">
        <v>416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2.75" hidden="1" customHeight="1" x14ac:dyDescent="0.15">
      <c r="B128" s="48" t="s">
        <v>458</v>
      </c>
      <c r="C128" s="56">
        <f>ROUNDDOWN((F61-C125),0)</f>
        <v>-10950</v>
      </c>
      <c r="D128" s="48"/>
      <c r="E128" s="56">
        <f>ROUNDDOWN((F61-E125),0)</f>
        <v>-12775</v>
      </c>
      <c r="F128" s="48"/>
      <c r="G128" s="48"/>
      <c r="H128" s="48"/>
      <c r="I128" s="48"/>
      <c r="J128" s="46"/>
      <c r="K128" s="51"/>
      <c r="L128" s="51"/>
      <c r="M128" s="54"/>
      <c r="N128" s="54"/>
      <c r="BB128" s="723" t="s">
        <v>417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4"/>
      <c r="N129" s="54"/>
      <c r="BB129" s="723" t="s">
        <v>418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2.75" hidden="1" customHeight="1" thickBot="1" x14ac:dyDescent="0.2">
      <c r="B130" s="1848" t="s">
        <v>548</v>
      </c>
      <c r="C130" s="1848"/>
      <c r="D130" s="1848"/>
      <c r="E130" s="1848"/>
      <c r="F130" s="1848"/>
      <c r="G130" s="1848"/>
      <c r="H130" s="1848"/>
      <c r="I130" s="1848"/>
      <c r="J130" s="1848"/>
      <c r="K130" s="1848"/>
      <c r="L130" s="1848"/>
      <c r="M130" s="1848"/>
      <c r="N130" s="1848"/>
      <c r="BB130" s="312"/>
      <c r="BC130" s="313"/>
      <c r="BD130" s="314"/>
      <c r="BE130" s="314"/>
      <c r="BF130" s="315"/>
      <c r="BG130" s="315"/>
      <c r="BH130" s="316"/>
      <c r="BI130" s="317">
        <f>A150*1.45</f>
        <v>23.2</v>
      </c>
      <c r="BJ130" s="318">
        <v>113.29</v>
      </c>
      <c r="BK130" s="319">
        <v>113.29</v>
      </c>
      <c r="BL130" s="320">
        <v>157.35</v>
      </c>
    </row>
    <row r="131" spans="1:64" ht="12.75" hidden="1" customHeight="1" x14ac:dyDescent="0.15">
      <c r="B131" s="51" t="s">
        <v>656</v>
      </c>
      <c r="C131" s="21" t="s">
        <v>657</v>
      </c>
      <c r="D131" s="101">
        <v>36145</v>
      </c>
      <c r="E131" s="101">
        <v>37986</v>
      </c>
      <c r="F131" s="102">
        <v>37986</v>
      </c>
      <c r="G131" s="246" t="s">
        <v>608</v>
      </c>
      <c r="H131" s="51" t="s">
        <v>609</v>
      </c>
      <c r="I131" s="51" t="s">
        <v>610</v>
      </c>
      <c r="J131" s="21" t="s">
        <v>612</v>
      </c>
      <c r="M131" s="40" t="s">
        <v>658</v>
      </c>
      <c r="P131" s="109"/>
      <c r="Q131" s="110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BB131" s="321"/>
      <c r="BC131" s="322"/>
      <c r="BD131" s="322"/>
      <c r="BE131" s="322"/>
      <c r="BF131" s="323"/>
      <c r="BG131" s="323"/>
      <c r="BH131" s="323"/>
      <c r="BI131" s="324"/>
      <c r="BJ131" s="325"/>
      <c r="BK131" s="326"/>
      <c r="BL131" s="327"/>
    </row>
    <row r="132" spans="1:64" ht="12.75" hidden="1" customHeight="1" x14ac:dyDescent="0.15">
      <c r="A132" s="259">
        <v>1</v>
      </c>
      <c r="B132" s="107" t="s">
        <v>549</v>
      </c>
      <c r="C132" s="21" t="s">
        <v>613</v>
      </c>
      <c r="D132" s="104">
        <f>IF(ISERROR(HLOOKUP($N$34,$Q$39:$AA$40,2)),0,HLOOKUP($N$34,$Q$39:$AA$40,2))</f>
        <v>0</v>
      </c>
      <c r="E132" s="105">
        <f>IF(ISERROR(HLOOKUP($O$34,$Q$39:$AA$40,2)),0,HLOOKUP($O$34,$Q$39:$AA$40,2))</f>
        <v>0</v>
      </c>
      <c r="F132" s="106">
        <f>IF(ISERROR(HLOOKUP($O$60,$Q$39:$AA$40,2)),0,HLOOKUP($O$60,$Q$39:$AA$40,2))</f>
        <v>0</v>
      </c>
      <c r="G132" s="21" t="s">
        <v>611</v>
      </c>
      <c r="J132" s="21" t="s">
        <v>611</v>
      </c>
      <c r="M132" s="21" t="s">
        <v>659</v>
      </c>
      <c r="P132" s="328"/>
      <c r="Q132" s="328"/>
      <c r="R132" s="5"/>
      <c r="S132" s="8"/>
      <c r="T132" s="5"/>
      <c r="U132" s="5"/>
      <c r="V132" s="5"/>
      <c r="W132" s="27"/>
      <c r="X132" s="5"/>
      <c r="Y132" s="5"/>
      <c r="Z132" s="100"/>
      <c r="AA132" s="5"/>
      <c r="AB132" s="5"/>
      <c r="BB132" s="321"/>
      <c r="BC132" s="322"/>
      <c r="BD132" s="322"/>
      <c r="BE132" s="322"/>
      <c r="BF132" s="323"/>
      <c r="BG132" s="323"/>
      <c r="BH132" s="323"/>
      <c r="BI132" s="324"/>
      <c r="BJ132" s="325"/>
      <c r="BK132" s="326"/>
      <c r="BL132" s="327"/>
    </row>
    <row r="133" spans="1:64" ht="12.75" hidden="1" customHeight="1" x14ac:dyDescent="0.15">
      <c r="A133" s="259">
        <v>2</v>
      </c>
      <c r="B133" s="51" t="s">
        <v>550</v>
      </c>
      <c r="C133" s="21" t="s">
        <v>527</v>
      </c>
      <c r="D133" s="104">
        <f>IF(ISERROR(HLOOKUP($J$133,$Q$26:$AT$27,2)),0,HLOOKUP($J$133,$Q$26:$AT$27,2))</f>
        <v>0</v>
      </c>
      <c r="E133" s="105">
        <f>IF(ISERROR(HLOOKUP($K$133,$Q$26:$AT$27,2)),0,HLOOKUP($K$133,$Q$26:$AT$27,2))</f>
        <v>0</v>
      </c>
      <c r="F133" s="106">
        <f>IF(ISERROR(HLOOKUP($L$133,$Q$26:$AT$27,2)),0,HLOOKUP($L$133,$Q$26:$AT$27,2))</f>
        <v>0</v>
      </c>
      <c r="G133" s="67">
        <f>SUM($F$27:$F$32)</f>
        <v>0</v>
      </c>
      <c r="H133" s="67">
        <f>SUM($F$27:$F$32)+$J$51</f>
        <v>0</v>
      </c>
      <c r="I133" s="67">
        <f>SUM($F$27:$F$32)+$J$51+$J$60</f>
        <v>0</v>
      </c>
      <c r="J133" s="21">
        <f t="shared" ref="J133:J155" si="7">ROUNDDOWN(G133/365,0)</f>
        <v>0</v>
      </c>
      <c r="K133" s="21">
        <f t="shared" ref="K133:K155" si="8">ROUNDDOWN(H133/365,0)</f>
        <v>0</v>
      </c>
      <c r="L133" s="21">
        <f t="shared" ref="L133:L155" si="9">ROUNDDOWN(I133/365,0)</f>
        <v>0</v>
      </c>
      <c r="M133" s="21" t="s">
        <v>660</v>
      </c>
      <c r="P133" s="328"/>
      <c r="Q133" s="328"/>
      <c r="BB133" s="321"/>
      <c r="BC133" s="322"/>
      <c r="BD133" s="322"/>
      <c r="BE133" s="322"/>
      <c r="BF133" s="323"/>
      <c r="BG133" s="323"/>
      <c r="BH133" s="323"/>
      <c r="BI133" s="324"/>
      <c r="BJ133" s="325"/>
      <c r="BK133" s="326"/>
      <c r="BL133" s="327"/>
    </row>
    <row r="134" spans="1:64" ht="12.75" hidden="1" customHeight="1" x14ac:dyDescent="0.15">
      <c r="A134" s="259" t="s">
        <v>554</v>
      </c>
      <c r="B134" s="51" t="s">
        <v>615</v>
      </c>
      <c r="C134" s="21" t="s">
        <v>613</v>
      </c>
      <c r="D134" s="104">
        <f>IF(ISERROR(HLOOKUP($J$134,$Q$45:$AB$46,2)),0,HLOOKUP($J$134,$Q$45:$AB$46,2))</f>
        <v>0</v>
      </c>
      <c r="E134" s="105">
        <f>IF(ISERROR(HLOOKUP($K$134,$Q$45:$AB$46,2)),0,HLOOKUP($K$134,$Q$45:$AB$46,2))</f>
        <v>0</v>
      </c>
      <c r="F134" s="106">
        <f>IF(ISERROR(HLOOKUP($L$134,$Q$45:$AB$46,2)),0,HLOOKUP($L$134,$Q$45:$AB$46,2))</f>
        <v>0</v>
      </c>
      <c r="G134" s="67">
        <f>SUM($F$27:$F$32)</f>
        <v>0</v>
      </c>
      <c r="H134" s="67">
        <f>SUM($F$27:$F$32)+$J$51</f>
        <v>0</v>
      </c>
      <c r="I134" s="67">
        <f>SUM($F$27:$F$32)+$J$51+$J$60</f>
        <v>0</v>
      </c>
      <c r="J134" s="21">
        <f t="shared" si="7"/>
        <v>0</v>
      </c>
      <c r="K134" s="21">
        <f t="shared" si="8"/>
        <v>0</v>
      </c>
      <c r="L134" s="21">
        <f t="shared" si="9"/>
        <v>0</v>
      </c>
      <c r="M134" s="21" t="s">
        <v>660</v>
      </c>
      <c r="P134" s="328"/>
      <c r="Q134" s="328"/>
      <c r="BB134" s="321"/>
      <c r="BC134" s="322"/>
      <c r="BD134" s="322"/>
      <c r="BE134" s="322"/>
      <c r="BF134" s="323"/>
      <c r="BG134" s="323"/>
      <c r="BH134" s="323"/>
      <c r="BI134" s="324"/>
      <c r="BJ134" s="325"/>
      <c r="BK134" s="326"/>
      <c r="BL134" s="327"/>
    </row>
    <row r="135" spans="1:64" ht="12.75" hidden="1" customHeight="1" x14ac:dyDescent="0.15">
      <c r="A135" s="259">
        <v>3</v>
      </c>
      <c r="B135" s="51" t="s">
        <v>551</v>
      </c>
      <c r="C135" s="21" t="s">
        <v>613</v>
      </c>
      <c r="D135" s="104">
        <f>IF(ISERROR(HLOOKUP($J$135,$Q$48:$AB$49,2)),0,HLOOKUP($J$135,$Q$48:$AB$49,2))</f>
        <v>0</v>
      </c>
      <c r="E135" s="105">
        <f>IF(ISERROR(HLOOKUP($K$135,$Q$48:$AB$49,2)),0,HLOOKUP($K$135,$Q$48:$AB$49,2))</f>
        <v>0</v>
      </c>
      <c r="F135" s="106">
        <f>IF(ISERROR(HLOOKUP($L$135,$Q$48:$AB$49,2)),0,HLOOKUP($L$135,$Q$48:$AB$49,2))</f>
        <v>0</v>
      </c>
      <c r="G135" s="67">
        <f>SUM($F$30:$F$32)</f>
        <v>0</v>
      </c>
      <c r="H135" s="67">
        <f>SUM($F$30:$F$32)+$J$51</f>
        <v>0</v>
      </c>
      <c r="I135" s="67">
        <f>SUM($F$30:$F$32)+$J$51+$J$60</f>
        <v>0</v>
      </c>
      <c r="J135" s="21">
        <f t="shared" si="7"/>
        <v>0</v>
      </c>
      <c r="K135" s="21">
        <f t="shared" si="8"/>
        <v>0</v>
      </c>
      <c r="L135" s="21">
        <f t="shared" si="9"/>
        <v>0</v>
      </c>
      <c r="M135" s="21" t="s">
        <v>660</v>
      </c>
      <c r="P135" s="328"/>
      <c r="Q135" s="328"/>
      <c r="BB135" s="69"/>
      <c r="BC135" s="69"/>
      <c r="BD135" s="69"/>
      <c r="BE135" s="69"/>
      <c r="BF135" s="69"/>
      <c r="BG135" s="69"/>
      <c r="BH135" s="69"/>
      <c r="BI135" s="69"/>
      <c r="BJ135" s="69"/>
      <c r="BK135" s="326"/>
      <c r="BL135" s="327"/>
    </row>
    <row r="136" spans="1:64" ht="12.75" hidden="1" customHeight="1" x14ac:dyDescent="0.15">
      <c r="A136" s="259">
        <v>4</v>
      </c>
      <c r="B136" s="51" t="s">
        <v>552</v>
      </c>
      <c r="C136" s="21" t="s">
        <v>613</v>
      </c>
      <c r="D136" s="104">
        <f>IF(ISERROR(HLOOKUP($J$136,$Q$48:$Z$49,2)),0,HLOOKUP($J$136,$Q$48:$Z$49,2))</f>
        <v>0</v>
      </c>
      <c r="E136" s="105">
        <f>IF(ISERROR(HLOOKUP($K$136,$Q$48:$Z$49,2)),0,HLOOKUP($K$136,$Q$48:$Z$49,2))</f>
        <v>0</v>
      </c>
      <c r="F136" s="106">
        <f>IF(ISERROR(HLOOKUP($L$136,$Q$48:$Z$49,2)),0,HLOOKUP($L$136,$Q$48:$Z$49,2))</f>
        <v>0</v>
      </c>
      <c r="G136" s="67">
        <f>SUM($F$27:$F$32)</f>
        <v>0</v>
      </c>
      <c r="H136" s="67">
        <f>SUM($F$27:$F$32)+$J$51</f>
        <v>0</v>
      </c>
      <c r="I136" s="67">
        <f>SUM($F$27:$F$32)+$J$51+$J$60</f>
        <v>0</v>
      </c>
      <c r="J136" s="21">
        <f t="shared" si="7"/>
        <v>0</v>
      </c>
      <c r="K136" s="21">
        <f t="shared" si="8"/>
        <v>0</v>
      </c>
      <c r="L136" s="21">
        <f t="shared" si="9"/>
        <v>0</v>
      </c>
      <c r="M136" s="21" t="s">
        <v>660</v>
      </c>
      <c r="P136" s="328"/>
      <c r="Q136" s="328"/>
      <c r="BB136" s="69"/>
      <c r="BC136" s="69"/>
      <c r="BD136" s="69" t="s">
        <v>349</v>
      </c>
      <c r="BE136" s="70">
        <v>5</v>
      </c>
      <c r="BF136" s="70">
        <v>10</v>
      </c>
      <c r="BG136" s="70">
        <v>15</v>
      </c>
      <c r="BH136" s="70">
        <v>20</v>
      </c>
      <c r="BI136" s="70">
        <v>25</v>
      </c>
      <c r="BJ136" s="329" t="s">
        <v>365</v>
      </c>
      <c r="BK136" s="326"/>
      <c r="BL136" s="327"/>
    </row>
    <row r="137" spans="1:64" ht="12.75" hidden="1" customHeight="1" x14ac:dyDescent="0.15">
      <c r="A137" s="259">
        <v>5</v>
      </c>
      <c r="B137" s="51" t="s">
        <v>553</v>
      </c>
      <c r="C137" s="21" t="s">
        <v>613</v>
      </c>
      <c r="D137" s="104">
        <f>IF(ISERROR(HLOOKUP($J$137,$Q$48:$AB$49,2)),0,HLOOKUP($J$137,$Q$48:$AB$49,2))</f>
        <v>0</v>
      </c>
      <c r="E137" s="105">
        <f>IF(ISERROR(HLOOKUP($K$137,$Q$48:$AB$49,2)),0,HLOOKUP($K$137,$Q$48:$AB$49,2))</f>
        <v>0</v>
      </c>
      <c r="F137" s="106">
        <f>IF(ISERROR(HLOOKUP($L$137,$Q$48:$AB$49,2)),0,HLOOKUP($L$137,$Q$48:$AB$49,2))</f>
        <v>0</v>
      </c>
      <c r="G137" s="67">
        <f>SUM($F$30:$F$32)</f>
        <v>0</v>
      </c>
      <c r="H137" s="67">
        <f>SUM($F$30:$F$32)+$J$51</f>
        <v>0</v>
      </c>
      <c r="I137" s="67">
        <f>SUM($F$30:$F$32)+$J$51+$J$60</f>
        <v>0</v>
      </c>
      <c r="J137" s="21">
        <f t="shared" si="7"/>
        <v>0</v>
      </c>
      <c r="K137" s="21">
        <f t="shared" si="8"/>
        <v>0</v>
      </c>
      <c r="L137" s="21">
        <f t="shared" si="9"/>
        <v>0</v>
      </c>
      <c r="M137" s="21" t="s">
        <v>660</v>
      </c>
      <c r="P137" s="328"/>
      <c r="Q137" s="328"/>
      <c r="BB137" s="69"/>
      <c r="BC137" s="330" t="s">
        <v>419</v>
      </c>
      <c r="BD137" s="330" t="s">
        <v>420</v>
      </c>
      <c r="BE137" s="69" t="s">
        <v>421</v>
      </c>
      <c r="BF137" s="69" t="s">
        <v>422</v>
      </c>
      <c r="BG137" s="69" t="s">
        <v>423</v>
      </c>
      <c r="BH137" s="69" t="s">
        <v>424</v>
      </c>
      <c r="BI137" s="69" t="s">
        <v>425</v>
      </c>
      <c r="BJ137" s="69" t="s">
        <v>426</v>
      </c>
      <c r="BK137" s="326"/>
      <c r="BL137" s="327"/>
    </row>
    <row r="138" spans="1:64" ht="12.75" hidden="1" customHeight="1" x14ac:dyDescent="0.15">
      <c r="A138" s="259" t="s">
        <v>555</v>
      </c>
      <c r="B138" s="51" t="s">
        <v>616</v>
      </c>
      <c r="C138" s="21" t="s">
        <v>613</v>
      </c>
      <c r="D138" s="104">
        <f>IF(ISERROR(HLOOKUP($J$138,$Q$48:$V$49,2)),0,HLOOKUP($J$138,$Q$48:$V$49,2))</f>
        <v>0</v>
      </c>
      <c r="E138" s="105">
        <f>IF(ISERROR(HLOOKUP($K$138,$Q$48:$V$49,2)),0,HLOOKUP($K$138,$Q$48:$V$49,2))</f>
        <v>0</v>
      </c>
      <c r="F138" s="106">
        <f>IF(ISERROR(HLOOKUP($L$138,$Q$48:$V$49,2)),0,HLOOKUP($L$138,$Q$48:$V$49,2))</f>
        <v>0</v>
      </c>
      <c r="G138" s="67">
        <f>SUM($F$30:$F$32)</f>
        <v>0</v>
      </c>
      <c r="H138" s="67">
        <f>SUM($F$30:$F$32)+$J$51</f>
        <v>0</v>
      </c>
      <c r="I138" s="67">
        <f>SUM($F$30:$F$32)+$J$51+$J$60</f>
        <v>0</v>
      </c>
      <c r="J138" s="21">
        <f t="shared" si="7"/>
        <v>0</v>
      </c>
      <c r="K138" s="21">
        <f t="shared" si="8"/>
        <v>0</v>
      </c>
      <c r="L138" s="21">
        <f t="shared" si="9"/>
        <v>0</v>
      </c>
      <c r="M138" s="21" t="s">
        <v>660</v>
      </c>
      <c r="P138" s="328"/>
      <c r="Q138" s="328"/>
      <c r="BB138" s="69"/>
      <c r="BC138" s="330" t="s">
        <v>427</v>
      </c>
      <c r="BD138" s="330" t="s">
        <v>428</v>
      </c>
      <c r="BE138" s="69" t="s">
        <v>421</v>
      </c>
      <c r="BF138" s="69" t="s">
        <v>422</v>
      </c>
      <c r="BG138" s="69" t="s">
        <v>423</v>
      </c>
      <c r="BH138" s="69" t="s">
        <v>424</v>
      </c>
      <c r="BI138" s="69" t="s">
        <v>425</v>
      </c>
      <c r="BJ138" s="69" t="s">
        <v>426</v>
      </c>
      <c r="BK138" s="326"/>
      <c r="BL138" s="327"/>
    </row>
    <row r="139" spans="1:64" ht="12.75" hidden="1" customHeight="1" x14ac:dyDescent="0.15">
      <c r="A139" s="259">
        <v>6</v>
      </c>
      <c r="B139" s="51" t="s">
        <v>556</v>
      </c>
      <c r="C139" s="21" t="s">
        <v>613</v>
      </c>
      <c r="D139" s="104">
        <f>IF(ISERROR(HLOOKUP($J$139,$Q$48:$AA$49,2)),0,HLOOKUP($J$139,$Q$48:$AA$49,2))</f>
        <v>0</v>
      </c>
      <c r="E139" s="105">
        <f>IF(ISERROR(HLOOKUP(K139,$Q$48:$AA$49,2)),0,HLOOKUP(K139,$Q$48:$AA$49,2))</f>
        <v>0</v>
      </c>
      <c r="F139" s="106">
        <f>IF(ISERROR(HLOOKUP(L139,$Q$48:$AA$49,2)),0,HLOOKUP(L139,$Q$48:$AA$49,2))</f>
        <v>0</v>
      </c>
      <c r="G139" s="396">
        <f>SUM($F$27:$F$33)</f>
        <v>0</v>
      </c>
      <c r="H139" s="103">
        <f>SUM($F$27:$F$33)+$J$51</f>
        <v>0</v>
      </c>
      <c r="I139" s="103">
        <f>SUM($F$27:$F$33)+$J$51+$J$60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69"/>
      <c r="BC139" s="330" t="s">
        <v>429</v>
      </c>
      <c r="BD139" s="330" t="s">
        <v>430</v>
      </c>
      <c r="BE139" s="69" t="s">
        <v>421</v>
      </c>
      <c r="BF139" s="69" t="s">
        <v>422</v>
      </c>
      <c r="BG139" s="69" t="s">
        <v>423</v>
      </c>
      <c r="BH139" s="69" t="s">
        <v>424</v>
      </c>
      <c r="BI139" s="69" t="s">
        <v>425</v>
      </c>
      <c r="BJ139" s="69" t="s">
        <v>426</v>
      </c>
      <c r="BK139" s="7"/>
      <c r="BL139" s="7"/>
    </row>
    <row r="140" spans="1:64" ht="12.75" hidden="1" customHeight="1" x14ac:dyDescent="0.15">
      <c r="A140" s="259">
        <v>7</v>
      </c>
      <c r="B140" s="51" t="s">
        <v>557</v>
      </c>
      <c r="C140" s="21" t="s">
        <v>547</v>
      </c>
      <c r="D140" s="104">
        <f>IF(ISERROR(HLOOKUP($J$140,$Q$77:$W$78,2)),0,HLOOKUP($J$140,$Q$77:$W$78,2))</f>
        <v>0</v>
      </c>
      <c r="E140" s="105">
        <f>IF(ISERROR(HLOOKUP(K140,$Q$77:$W$78,2)),0,HLOOKUP(K140,$Q$77:$W$78,2))</f>
        <v>0</v>
      </c>
      <c r="F140" s="106">
        <f>IF(ISERROR(HLOOKUP(L140,$Q$77:$W$78,2)),0,HLOOKUP(L140,$Q$77:$W$78,2))</f>
        <v>0</v>
      </c>
      <c r="G140" s="396">
        <f>SUM($F$30:$F$32)</f>
        <v>0</v>
      </c>
      <c r="H140" s="103">
        <f>SUM($F$30:$F$32)+$J$51</f>
        <v>0</v>
      </c>
      <c r="I140" s="103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330" t="s">
        <v>431</v>
      </c>
      <c r="BD140" s="330" t="s">
        <v>430</v>
      </c>
      <c r="BE140" s="69" t="s">
        <v>421</v>
      </c>
      <c r="BF140" s="69" t="s">
        <v>422</v>
      </c>
      <c r="BG140" s="69" t="s">
        <v>423</v>
      </c>
      <c r="BH140" s="69" t="s">
        <v>424</v>
      </c>
      <c r="BI140" s="69" t="s">
        <v>425</v>
      </c>
      <c r="BJ140" s="69" t="s">
        <v>426</v>
      </c>
      <c r="BK140" s="5"/>
      <c r="BL140" s="5"/>
    </row>
    <row r="141" spans="1:64" ht="12.75" hidden="1" customHeight="1" x14ac:dyDescent="0.15">
      <c r="A141" s="259" t="s">
        <v>558</v>
      </c>
      <c r="B141" s="51" t="s">
        <v>614</v>
      </c>
      <c r="C141" s="21" t="s">
        <v>547</v>
      </c>
      <c r="D141" s="104">
        <f>IF(ISERROR(HLOOKUP($J$141,$Q$77:$W$78,2)),0,HLOOKUP($J$141,$Q$77:$W$78,2))</f>
        <v>0</v>
      </c>
      <c r="E141" s="105">
        <f>IF(ISERROR(HLOOKUP(K141,$Q$77:$W$78,2)),0,HLOOKUP(K141,$Q$77:$W$78,2))</f>
        <v>0</v>
      </c>
      <c r="F141" s="106">
        <f>IF(ISERROR(HLOOKUP(L141,$Q$77:$W$78,2)),0,HLOOKUP(L141,$Q$77:$W$78,2))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 t="s">
        <v>400</v>
      </c>
      <c r="BD141" s="69"/>
      <c r="BE141" s="69" t="s">
        <v>329</v>
      </c>
      <c r="BF141" s="69" t="s">
        <v>356</v>
      </c>
      <c r="BG141" s="69" t="s">
        <v>432</v>
      </c>
      <c r="BH141" s="69" t="s">
        <v>432</v>
      </c>
      <c r="BI141" s="69" t="s">
        <v>432</v>
      </c>
      <c r="BJ141" s="69" t="s">
        <v>432</v>
      </c>
      <c r="BK141" s="5"/>
      <c r="BL141" s="5"/>
    </row>
    <row r="142" spans="1:64" ht="12.75" hidden="1" customHeight="1" x14ac:dyDescent="0.15">
      <c r="A142" s="259">
        <v>8</v>
      </c>
      <c r="B142" s="51" t="s">
        <v>559</v>
      </c>
      <c r="C142" s="21" t="s">
        <v>547</v>
      </c>
      <c r="D142" s="104">
        <f>IF(ISERROR(HLOOKUP($J$142,$Q$73:$W$74,2)),0,HLOOKUP($J$142,$Q$73:$W$74,2))</f>
        <v>0</v>
      </c>
      <c r="E142" s="105">
        <f>IF(ISERROR(HLOOKUP(K142,$Q$73:$W$74,2)),0,HLOOKUP(K142,$Q$73:$W$74,2))</f>
        <v>0</v>
      </c>
      <c r="F142" s="106">
        <f>IF(ISERROR(HLOOKUP(L142,$Q$73:$W$74,2)),0,HLOOKUP(L142,$Q$73:$W$74,2))</f>
        <v>0</v>
      </c>
      <c r="G142" s="396">
        <f>SUM($F$27:$F$32)</f>
        <v>0</v>
      </c>
      <c r="H142" s="103">
        <f>SUM($F$27:$F$32)+$J$51</f>
        <v>0</v>
      </c>
      <c r="I142" s="103">
        <f>SUM($F$27:$F$32)+$J$51+$J$60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>
        <v>26</v>
      </c>
      <c r="BC142" s="69"/>
      <c r="BD142" s="69"/>
      <c r="BE142" s="69"/>
      <c r="BF142" s="69"/>
      <c r="BG142" s="69"/>
      <c r="BH142" s="69"/>
      <c r="BI142" s="69"/>
      <c r="BJ142" s="69"/>
      <c r="BK142" s="5"/>
      <c r="BL142" s="5"/>
    </row>
    <row r="143" spans="1:64" ht="12.75" hidden="1" customHeight="1" x14ac:dyDescent="0.15">
      <c r="A143" s="259">
        <v>9</v>
      </c>
      <c r="B143" s="51" t="s">
        <v>560</v>
      </c>
      <c r="C143" s="21" t="s">
        <v>547</v>
      </c>
      <c r="D143" s="104">
        <f>IF(ISERROR(HLOOKUP($J$143,$Q$77:$W$78,2)),0,HLOOKUP($J$143,$Q$77:$W$78,2))</f>
        <v>0</v>
      </c>
      <c r="E143" s="105">
        <f>IF(ISERROR(HLOOKUP(K143,$Q$77:$W$78,2)),0,HLOOKUP(K143,$Q$77:$W$78,2))</f>
        <v>0</v>
      </c>
      <c r="F143" s="106">
        <f>IF(ISERROR(HLOOKUP(L143,$Q$77:$W$78,2)),0,HLOOKUP(L143,$Q$77:$W$78,2))</f>
        <v>0</v>
      </c>
      <c r="G143" s="396">
        <f>SUM($F$27:$F$32)</f>
        <v>0</v>
      </c>
      <c r="H143" s="103">
        <f>SUM($F$27:$F$32)+$J$51</f>
        <v>0</v>
      </c>
      <c r="I143" s="103">
        <f>SUM($F$27:$F$32)+$J$51+$J$60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1"/>
      <c r="BD143" s="116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10</v>
      </c>
      <c r="B144" s="51" t="s">
        <v>561</v>
      </c>
      <c r="C144" s="21" t="s">
        <v>613</v>
      </c>
      <c r="D144" s="104">
        <f>IF(ISERROR(HLOOKUP($J$144,$Q$39:$Y$40,2)),0,HLOOKUP($J$144,$Q$39:$Y$40,2))</f>
        <v>0</v>
      </c>
      <c r="E144" s="105">
        <f>IF(ISERROR(HLOOKUP(K144,$Q$39:$Y$40,2)),0,HLOOKUP(K144,$Q$39:$Y$40,2))</f>
        <v>0</v>
      </c>
      <c r="F144" s="106">
        <f>IF(ISERROR(HLOOKUP(L144,$Q$39:$Y$40,2)),0,HLOOKUP(L144,$Q$39:$Y$40,2))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69"/>
      <c r="BD144" s="69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11</v>
      </c>
      <c r="B145" s="51" t="s">
        <v>562</v>
      </c>
      <c r="C145" s="21" t="s">
        <v>547</v>
      </c>
      <c r="D145" s="104">
        <f>IF(ISERROR(HLOOKUP($J$145,$Q$73:$AB$74,2)),0,HLOOKUP($J$145,$Q$73:$AB$74,2))</f>
        <v>0</v>
      </c>
      <c r="E145" s="105">
        <f>IF(ISERROR(HLOOKUP(K145,$Q$73:$AB$74,2)),0,HLOOKUP(K145,$Q$73:$AB$74,2))</f>
        <v>0</v>
      </c>
      <c r="F145" s="106">
        <f>IF(ISERROR(HLOOKUP(L145,$Q$73:$AB$74,2)),0,HLOOKUP(L145,$Q$73:$AB$74,2))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69"/>
      <c r="BD145" s="69"/>
      <c r="BE145" s="69"/>
      <c r="BF145" s="69"/>
      <c r="BG145" s="69"/>
      <c r="BH145" s="69"/>
      <c r="BI145" s="69"/>
      <c r="BJ145" s="69"/>
      <c r="BK145" s="5"/>
      <c r="BL145" s="5"/>
    </row>
    <row r="146" spans="1:64" ht="12.75" hidden="1" customHeight="1" x14ac:dyDescent="0.15">
      <c r="A146" s="259">
        <v>12</v>
      </c>
      <c r="B146" s="51" t="s">
        <v>563</v>
      </c>
      <c r="C146" s="21"/>
      <c r="D146" s="104"/>
      <c r="E146" s="105"/>
      <c r="F146" s="106"/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/>
      <c r="BD146" s="69"/>
      <c r="BE146" s="69"/>
      <c r="BF146" s="69"/>
      <c r="BG146" s="69"/>
      <c r="BH146" s="69"/>
      <c r="BI146" s="69"/>
      <c r="BJ146" s="69"/>
      <c r="BK146" s="5"/>
      <c r="BL146" s="5"/>
    </row>
    <row r="147" spans="1:64" ht="12.75" hidden="1" customHeight="1" x14ac:dyDescent="0.15">
      <c r="A147" s="259">
        <v>13</v>
      </c>
      <c r="B147" s="51" t="s">
        <v>686</v>
      </c>
      <c r="C147" s="21" t="s">
        <v>527</v>
      </c>
      <c r="D147" s="104">
        <f>IF(ISERROR(HLOOKUP($J$147,$Q$26:$AT$27,2)),0,HLOOKUP($J$147,$Q$26:$AT$27,2))</f>
        <v>0</v>
      </c>
      <c r="E147" s="104">
        <f>IF(ISERROR(HLOOKUP(K147,$Q$26:$AT$27,2)),0,HLOOKUP(K147,$Q$26:$AT$27,2))</f>
        <v>0</v>
      </c>
      <c r="F147" s="104">
        <f>IF(ISERROR(HLOOKUP(L147,$Q$26:$AT$27,2)),0,HLOOKUP(L147,$Q$26:$AT$27,2))</f>
        <v>0</v>
      </c>
      <c r="G147" s="396">
        <f>SUM($F$30:$F$32)</f>
        <v>0</v>
      </c>
      <c r="H147" s="103">
        <f>SUM($F$30:$F$32)+$J$51</f>
        <v>0</v>
      </c>
      <c r="I147" s="103">
        <f>SUM($F$30:$F$32)+$J$51+$J$60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/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14</v>
      </c>
      <c r="B148" s="51" t="s">
        <v>564</v>
      </c>
      <c r="C148" s="21" t="s">
        <v>613</v>
      </c>
      <c r="D148" s="104">
        <f>IF(ISERROR(HLOOKUP(J148,$Q$48:$AB$49,2)),0,HLOOKUP(J148,$Q$48:$AB$49,2))</f>
        <v>0</v>
      </c>
      <c r="E148" s="104">
        <f>IF(ISERROR(HLOOKUP(K148,$Q$48:$AB$49,2)),0,HLOOKUP(K148,$Q$48:$AB$49,2))</f>
        <v>0</v>
      </c>
      <c r="F148" s="104">
        <f>IF(ISERROR(HLOOKUP(L148,$Q$48:$AB$49,2)),0,HLOOKUP(L148,$Q$48:$AB$49,2))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AS148" s="5"/>
      <c r="BB148" s="69"/>
      <c r="BC148" s="69"/>
      <c r="BD148" s="69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15</v>
      </c>
      <c r="B149" s="51" t="s">
        <v>565</v>
      </c>
      <c r="C149" s="21" t="s">
        <v>613</v>
      </c>
      <c r="D149" s="104">
        <f>IF(ISERROR(HLOOKUP(J149,$Q$42:$AG$43,2)),0,HLOOKUP(J149,$Q$42:$AG$43,2))</f>
        <v>0</v>
      </c>
      <c r="E149" s="104">
        <f>IF(ISERROR(HLOOKUP(K149,$Q$42:$AG$43,2)),0,HLOOKUP(K149,$Q$42:$AG$43,2))</f>
        <v>0</v>
      </c>
      <c r="F149" s="104">
        <f>IF(ISERROR(HLOOKUP(L149,$Q$42:$AG$43,2)),0,HLOOKUP(L149,$Q$42:$AG$43,2))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AS149" s="5"/>
      <c r="BB149" s="69" t="s">
        <v>427</v>
      </c>
      <c r="BC149" s="69"/>
      <c r="BD149" s="69"/>
      <c r="BE149" s="69"/>
      <c r="BF149" s="69"/>
      <c r="BG149" s="69"/>
      <c r="BH149" s="69"/>
      <c r="BI149" s="69"/>
      <c r="BJ149" s="69"/>
      <c r="BK149" s="116"/>
      <c r="BL149" s="332"/>
    </row>
    <row r="150" spans="1:64" ht="12.75" hidden="1" customHeight="1" x14ac:dyDescent="0.15">
      <c r="A150" s="259">
        <v>16</v>
      </c>
      <c r="B150" s="51" t="s">
        <v>566</v>
      </c>
      <c r="C150" s="21" t="s">
        <v>527</v>
      </c>
      <c r="D150" s="104">
        <f>IF(ISERROR(HLOOKUP(J150,$Q$26:$AT$27,2)),0,HLOOKUP(J150,$Q$26:$AT$27,2))</f>
        <v>0</v>
      </c>
      <c r="E150" s="104">
        <f>IF(ISERROR(HLOOKUP(K150,$Q$26:$AT$27,2)),0,HLOOKUP(K150,$Q$26:$AT$27,2))</f>
        <v>0</v>
      </c>
      <c r="F150" s="104">
        <f>IF(ISERROR(HLOOKUP(L150,$Q$26:$AT$27,2)),0,HLOOKUP(L150,$Q$26:$AT$27,2))</f>
        <v>0</v>
      </c>
      <c r="G150" s="396">
        <f t="shared" ref="G150:G155" si="10">SUM($F$30:$F$32)</f>
        <v>0</v>
      </c>
      <c r="H150" s="103">
        <f t="shared" ref="H150:H155" si="11">SUM($F$30:$F$32)+$J$51</f>
        <v>0</v>
      </c>
      <c r="I150" s="103">
        <f t="shared" ref="I150:I155" si="12"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AS150" s="5"/>
      <c r="BB150" s="69"/>
      <c r="BC150" s="69"/>
      <c r="BD150" s="69"/>
      <c r="BE150" s="333"/>
      <c r="BF150" s="69"/>
      <c r="BG150" s="69"/>
      <c r="BH150" s="69"/>
      <c r="BI150" s="69"/>
      <c r="BJ150" s="69"/>
      <c r="BK150" s="69"/>
      <c r="BL150" s="69"/>
    </row>
    <row r="151" spans="1:64" ht="12.75" hidden="1" customHeight="1" x14ac:dyDescent="0.15">
      <c r="A151" s="259">
        <v>17</v>
      </c>
      <c r="B151" s="51" t="s">
        <v>567</v>
      </c>
      <c r="C151" s="21" t="s">
        <v>547</v>
      </c>
      <c r="D151" s="104">
        <f>IF(ISERROR(HLOOKUP(J151,$Q$73:$V$74,2)),0,HLOOKUP(J151,$Q$73:$V$74,2))</f>
        <v>0</v>
      </c>
      <c r="E151" s="104">
        <f>IF(ISERROR(HLOOKUP(K151,$Q$73:$V$74,2)),0,HLOOKUP(K151,$Q$73:$V$74,2))</f>
        <v>0</v>
      </c>
      <c r="F151" s="104">
        <f>IF(ISERROR(HLOOKUP(L151,$Q$73:$V$74,2)),0,HLOOKUP(L151,$Q$73:$V$74,2))</f>
        <v>0</v>
      </c>
      <c r="G151" s="396">
        <f t="shared" si="10"/>
        <v>0</v>
      </c>
      <c r="H151" s="103">
        <f t="shared" si="11"/>
        <v>0</v>
      </c>
      <c r="I151" s="103">
        <f t="shared" si="12"/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AS151" s="5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</row>
    <row r="152" spans="1:64" ht="12.75" hidden="1" customHeight="1" x14ac:dyDescent="0.15">
      <c r="A152" s="259">
        <v>18</v>
      </c>
      <c r="B152" s="51" t="s">
        <v>568</v>
      </c>
      <c r="C152" s="21" t="s">
        <v>527</v>
      </c>
      <c r="D152" s="104">
        <f>IF(ISERROR(HLOOKUP(J152,$Q$32:$AF$33,2)),0,HLOOKUP(J152,$Q$32:$AF$33,2))</f>
        <v>0</v>
      </c>
      <c r="E152" s="104">
        <f>IF(ISERROR(HLOOKUP(K152,$Q$32:$AF$33,2)),0,HLOOKUP(K152,$Q$32:$AF$33,2))</f>
        <v>0</v>
      </c>
      <c r="F152" s="104">
        <f>IF(ISERROR(HLOOKUP(L152,$Q$32:$AF$33,2)),0,HLOOKUP(L152,$Q$32:$AF$33,2))</f>
        <v>0</v>
      </c>
      <c r="G152" s="396">
        <f t="shared" si="10"/>
        <v>0</v>
      </c>
      <c r="H152" s="103">
        <f t="shared" si="11"/>
        <v>0</v>
      </c>
      <c r="I152" s="103">
        <f t="shared" si="12"/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AS152" s="5"/>
      <c r="BB152" s="69"/>
      <c r="BC152" s="69"/>
      <c r="BD152" s="69"/>
      <c r="BE152" s="333"/>
      <c r="BF152" s="69"/>
      <c r="BG152" s="69"/>
      <c r="BH152" s="69"/>
      <c r="BI152" s="69"/>
      <c r="BJ152" s="69"/>
      <c r="BK152" s="69"/>
      <c r="BL152" s="69"/>
    </row>
    <row r="153" spans="1:64" ht="12.75" hidden="1" customHeight="1" x14ac:dyDescent="0.15">
      <c r="A153" s="259">
        <v>19</v>
      </c>
      <c r="B153" s="51" t="s">
        <v>569</v>
      </c>
      <c r="C153" s="21" t="s">
        <v>613</v>
      </c>
      <c r="D153" s="104">
        <f>IF(ISERROR(HLOOKUP(J153,$Q$42:$AG$43,2)),0,HLOOKUP(J153,$Q$42:$AG$43,2))</f>
        <v>0</v>
      </c>
      <c r="E153" s="104">
        <f>IF(ISERROR(HLOOKUP(K153,$Q$42:$AG$43,2)),0,HLOOKUP(K153,$Q$42:$AG$43,2))</f>
        <v>0</v>
      </c>
      <c r="F153" s="104">
        <f>IF(ISERROR(HLOOKUP(L153,$Q$42:$AG$43,2)),0,HLOOKUP(L153,$Q$42:$AG$43,2))</f>
        <v>0</v>
      </c>
      <c r="G153" s="396">
        <f t="shared" si="10"/>
        <v>0</v>
      </c>
      <c r="H153" s="103">
        <f t="shared" si="11"/>
        <v>0</v>
      </c>
      <c r="I153" s="103">
        <f t="shared" si="12"/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11"/>
      <c r="BC153" s="5"/>
    </row>
    <row r="154" spans="1:64" ht="12.75" hidden="1" customHeight="1" x14ac:dyDescent="0.15">
      <c r="A154" s="259">
        <v>20</v>
      </c>
      <c r="B154" s="51" t="s">
        <v>570</v>
      </c>
      <c r="C154" s="21" t="s">
        <v>613</v>
      </c>
      <c r="D154" s="104">
        <f t="shared" ref="D154:F155" si="13">IF(ISERROR(HLOOKUP(J154,$Q$39:$Y$40,2)),0,HLOOKUP(J154,$Q$39:$Y$40,2))</f>
        <v>0</v>
      </c>
      <c r="E154" s="104">
        <f t="shared" si="13"/>
        <v>0</v>
      </c>
      <c r="F154" s="104">
        <f t="shared" si="13"/>
        <v>0</v>
      </c>
      <c r="G154" s="396">
        <f t="shared" si="10"/>
        <v>0</v>
      </c>
      <c r="H154" s="103">
        <f t="shared" si="11"/>
        <v>0</v>
      </c>
      <c r="I154" s="103">
        <f t="shared" si="12"/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11"/>
      <c r="BC154" s="5"/>
    </row>
    <row r="155" spans="1:64" ht="12.75" hidden="1" customHeight="1" x14ac:dyDescent="0.15">
      <c r="A155" s="259">
        <v>21</v>
      </c>
      <c r="B155" s="51" t="s">
        <v>571</v>
      </c>
      <c r="C155" s="21" t="s">
        <v>613</v>
      </c>
      <c r="D155" s="104">
        <f t="shared" si="13"/>
        <v>0</v>
      </c>
      <c r="E155" s="104">
        <f t="shared" si="13"/>
        <v>0</v>
      </c>
      <c r="F155" s="104">
        <f t="shared" si="13"/>
        <v>0</v>
      </c>
      <c r="G155" s="396">
        <f t="shared" si="10"/>
        <v>0</v>
      </c>
      <c r="H155" s="103">
        <f t="shared" si="11"/>
        <v>0</v>
      </c>
      <c r="I155" s="103">
        <f t="shared" si="12"/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11"/>
      <c r="BC155" s="5"/>
    </row>
    <row r="156" spans="1:64" ht="12.75" hidden="1" customHeight="1" x14ac:dyDescent="0.15">
      <c r="A156" s="259">
        <v>22</v>
      </c>
      <c r="B156" s="51" t="s">
        <v>572</v>
      </c>
      <c r="C156" s="21"/>
      <c r="D156" s="334"/>
      <c r="E156" s="335"/>
      <c r="F156" s="336"/>
      <c r="G156" s="397"/>
      <c r="H156" s="51"/>
      <c r="M156" s="21" t="s">
        <v>660</v>
      </c>
      <c r="P156" s="328"/>
      <c r="Q156" s="328"/>
      <c r="AS156" s="5"/>
      <c r="BB156" s="11"/>
      <c r="BC156" s="5"/>
    </row>
    <row r="157" spans="1:64" ht="12.75" hidden="1" customHeight="1" x14ac:dyDescent="0.15">
      <c r="A157" s="259">
        <v>23</v>
      </c>
      <c r="B157" s="51" t="s">
        <v>573</v>
      </c>
      <c r="C157" s="21"/>
      <c r="D157" s="334"/>
      <c r="E157" s="335"/>
      <c r="F157" s="336"/>
      <c r="G157" s="397"/>
      <c r="H157" s="51"/>
      <c r="M157" s="21" t="s">
        <v>660</v>
      </c>
      <c r="P157" s="328"/>
      <c r="Q157" s="328"/>
      <c r="AS157" s="5"/>
    </row>
    <row r="158" spans="1:64" ht="12.75" hidden="1" customHeight="1" x14ac:dyDescent="0.15">
      <c r="A158" s="259">
        <v>24</v>
      </c>
      <c r="B158" s="51" t="s">
        <v>574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>SUM($F$27:$F$32)</f>
        <v>0</v>
      </c>
      <c r="H158" s="103">
        <f>SUM($F$27:$F$32)+$J$51</f>
        <v>0</v>
      </c>
      <c r="I158" s="103">
        <f>SUM($F$27:$F$32)+$J$51+$J$60</f>
        <v>0</v>
      </c>
      <c r="J158" s="21">
        <f t="shared" ref="J158:J189" si="14">ROUNDDOWN(G158/365,0)</f>
        <v>0</v>
      </c>
      <c r="K158" s="21">
        <f t="shared" ref="K158:K189" si="15">ROUNDDOWN(H158/365,0)</f>
        <v>0</v>
      </c>
      <c r="L158" s="21">
        <f t="shared" ref="L158:L189" si="16">ROUNDDOWN(I158/365,0)</f>
        <v>0</v>
      </c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25</v>
      </c>
      <c r="B159" s="51" t="s">
        <v>580</v>
      </c>
      <c r="C159" s="21" t="s">
        <v>527</v>
      </c>
      <c r="D159" s="104">
        <f>IF(ISERROR(HLOOKUP(J159,$Q$29:$AT$30,2)),0,HLOOKUP(J159,$Q$29:$AT$30,2))</f>
        <v>0</v>
      </c>
      <c r="E159" s="104">
        <f>IF(ISERROR(HLOOKUP(K159,$Q$29:$AT$30,2)),0,HLOOKUP(K159,$Q$29:$AT$30,2))</f>
        <v>0</v>
      </c>
      <c r="F159" s="104">
        <f>IF(ISERROR(HLOOKUP(L159,$Q$29:$AT$30,2)),0,HLOOKUP(L159,$Q$29:$AT$30,2))</f>
        <v>0</v>
      </c>
      <c r="G159" s="396">
        <f>SUM($F$30:$F$32)</f>
        <v>0</v>
      </c>
      <c r="H159" s="103">
        <f>SUM($F$30:$F$32)+$J$51</f>
        <v>0</v>
      </c>
      <c r="I159" s="103">
        <f>SUM($F$30:$F$32)+$J$51+$J$60</f>
        <v>0</v>
      </c>
      <c r="J159" s="21">
        <f t="shared" si="14"/>
        <v>0</v>
      </c>
      <c r="K159" s="21">
        <f t="shared" si="15"/>
        <v>0</v>
      </c>
      <c r="L159" s="21">
        <f t="shared" si="16"/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26</v>
      </c>
      <c r="B160" s="51" t="s">
        <v>581</v>
      </c>
      <c r="C160" s="21" t="s">
        <v>547</v>
      </c>
      <c r="D160" s="104">
        <f>IF(ISERROR(HLOOKUP(J160,$Q$73:$W$74,2)),0,HLOOKUP(J160,$Q$73:$W$74,2))</f>
        <v>0</v>
      </c>
      <c r="E160" s="104">
        <f>IF(ISERROR(HLOOKUP(K160,$Q$73:$W$74,2)),0,HLOOKUP(K160,$Q$73:$W$74,2))</f>
        <v>0</v>
      </c>
      <c r="F160" s="104">
        <f>IF(ISERROR(HLOOKUP(L160,$Q$73:$W$74,2)),0,HLOOKUP(L160,$Q$73:$W$74,2))</f>
        <v>0</v>
      </c>
      <c r="G160" s="396">
        <f>SUM($F$27:$F$32)</f>
        <v>0</v>
      </c>
      <c r="H160" s="103">
        <f>SUM($F$27:$F$32)+$J$51</f>
        <v>0</v>
      </c>
      <c r="I160" s="103">
        <f>SUM($F$27:$F$32)+$J$51+$J$60</f>
        <v>0</v>
      </c>
      <c r="J160" s="21">
        <f t="shared" si="14"/>
        <v>0</v>
      </c>
      <c r="K160" s="21">
        <f t="shared" si="15"/>
        <v>0</v>
      </c>
      <c r="L160" s="21">
        <f t="shared" si="16"/>
        <v>0</v>
      </c>
      <c r="M160" s="21" t="s">
        <v>660</v>
      </c>
      <c r="P160" s="328"/>
      <c r="Q160" s="328"/>
      <c r="AS160" s="5"/>
    </row>
    <row r="161" spans="1:45" ht="12.75" hidden="1" customHeight="1" x14ac:dyDescent="0.15">
      <c r="A161" s="259" t="s">
        <v>582</v>
      </c>
      <c r="B161" s="51" t="s">
        <v>684</v>
      </c>
      <c r="C161" s="21" t="s">
        <v>547</v>
      </c>
      <c r="D161" s="104">
        <f>IF(ISERROR(HLOOKUP(J161,$Q$73:$V$74,2)),0,HLOOKUP(J161,$Q$73:$V$74,2))</f>
        <v>0</v>
      </c>
      <c r="E161" s="104">
        <f>IF(ISERROR(HLOOKUP(K161,$Q$73:$V$74,2)),0,HLOOKUP(K161,$Q$73:$V$74,2))</f>
        <v>0</v>
      </c>
      <c r="F161" s="104">
        <f>IF(ISERROR(HLOOKUP(L161,$Q$73:$V$74,2)),0,HLOOKUP(L161,$Q$73:$V$74,2))</f>
        <v>0</v>
      </c>
      <c r="G161" s="396">
        <f>SUM($F$27:$F$32)</f>
        <v>0</v>
      </c>
      <c r="H161" s="103">
        <f>SUM($F$27:$F$32)+$J$51</f>
        <v>0</v>
      </c>
      <c r="I161" s="103">
        <f>SUM($F$27:$F$32)+$J$51+$J$60</f>
        <v>0</v>
      </c>
      <c r="J161" s="21">
        <f t="shared" si="14"/>
        <v>0</v>
      </c>
      <c r="K161" s="21">
        <f t="shared" si="15"/>
        <v>0</v>
      </c>
      <c r="L161" s="21">
        <f t="shared" si="16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>
        <v>27</v>
      </c>
      <c r="B162" s="51" t="s">
        <v>583</v>
      </c>
      <c r="C162" s="21" t="s">
        <v>613</v>
      </c>
      <c r="D162" s="104">
        <f>IF(ISERROR(HLOOKUP(J162,$Q$48:$Z$49,2)),0,HLOOKUP(J162,$Q$48:$Z$49,2))</f>
        <v>0</v>
      </c>
      <c r="E162" s="104">
        <f>IF(ISERROR(HLOOKUP(K162,$Q$48:$Z$49,2)),0,HLOOKUP(K162,$Q$48:$Z$49,2))</f>
        <v>0</v>
      </c>
      <c r="F162" s="104">
        <f>IF(ISERROR(HLOOKUP(L162,$Q$48:$Z$49,2)),0,HLOOKUP(L162,$Q$48:$Z$49,2))</f>
        <v>0</v>
      </c>
      <c r="G162" s="396">
        <f t="shared" ref="G162:G169" si="17">SUM($F$30:$F$32)</f>
        <v>0</v>
      </c>
      <c r="H162" s="103">
        <f t="shared" ref="H162:H169" si="18">SUM($F$30:$F$32)+$J$51</f>
        <v>0</v>
      </c>
      <c r="I162" s="103">
        <f t="shared" ref="I162:I169" si="19">SUM($F$30:$F$32)+$J$51+$J$60</f>
        <v>0</v>
      </c>
      <c r="J162" s="21">
        <f t="shared" si="14"/>
        <v>0</v>
      </c>
      <c r="K162" s="21">
        <f t="shared" si="15"/>
        <v>0</v>
      </c>
      <c r="L162" s="21">
        <f t="shared" si="16"/>
        <v>0</v>
      </c>
      <c r="M162" s="21" t="s">
        <v>660</v>
      </c>
      <c r="P162" s="328"/>
      <c r="Q162" s="328"/>
      <c r="AS162" s="5"/>
    </row>
    <row r="163" spans="1:45" ht="12.75" hidden="1" customHeight="1" x14ac:dyDescent="0.15">
      <c r="A163" s="259">
        <v>28</v>
      </c>
      <c r="B163" s="51" t="s">
        <v>584</v>
      </c>
      <c r="C163" s="21" t="s">
        <v>547</v>
      </c>
      <c r="D163" s="104">
        <f>IF(ISERROR(HLOOKUP(J163,$Q$73:$W$74,2)),0,HLOOKUP(J163,$Q$73:$W$74,2))</f>
        <v>0</v>
      </c>
      <c r="E163" s="104">
        <f>IF(ISERROR(HLOOKUP(K163,$Q$73:$W$74,2)),0,HLOOKUP(K163,$Q$73:$W$74,2))</f>
        <v>0</v>
      </c>
      <c r="F163" s="104">
        <f>IF(ISERROR(HLOOKUP(L163,$Q$73:$W$74,2)),0,HLOOKUP(L163,$Q$73:$W$74,2))</f>
        <v>0</v>
      </c>
      <c r="G163" s="396">
        <f t="shared" si="17"/>
        <v>0</v>
      </c>
      <c r="H163" s="103">
        <f t="shared" si="18"/>
        <v>0</v>
      </c>
      <c r="I163" s="103">
        <f t="shared" si="19"/>
        <v>0</v>
      </c>
      <c r="J163" s="21">
        <f t="shared" si="14"/>
        <v>0</v>
      </c>
      <c r="K163" s="21">
        <f t="shared" si="15"/>
        <v>0</v>
      </c>
      <c r="L163" s="21">
        <f t="shared" si="16"/>
        <v>0</v>
      </c>
      <c r="M163" s="21" t="s">
        <v>660</v>
      </c>
      <c r="P163" s="328"/>
      <c r="Q163" s="328"/>
      <c r="AS163" s="5"/>
    </row>
    <row r="164" spans="1:45" ht="12.75" hidden="1" customHeight="1" x14ac:dyDescent="0.15">
      <c r="A164" s="259">
        <v>29</v>
      </c>
      <c r="B164" s="51" t="s">
        <v>585</v>
      </c>
      <c r="C164" s="21" t="s">
        <v>613</v>
      </c>
      <c r="D164" s="104">
        <f>IF(ISERROR(HLOOKUP(J164,$Q$48:$V$49,2)),0,HLOOKUP(J164,$Q$48:$V$49,2))</f>
        <v>0</v>
      </c>
      <c r="E164" s="104">
        <f>IF(ISERROR(HLOOKUP(K164,$Q$48:$V$49,2)),0,HLOOKUP(K164,$Q$48:$V$49,2))</f>
        <v>0</v>
      </c>
      <c r="F164" s="104">
        <f>IF(ISERROR(HLOOKUP(L164,$Q$48:$V$49,2)),0,HLOOKUP(L164,$Q$48:$V$49,2))</f>
        <v>0</v>
      </c>
      <c r="G164" s="396">
        <f t="shared" si="17"/>
        <v>0</v>
      </c>
      <c r="H164" s="103">
        <f t="shared" si="18"/>
        <v>0</v>
      </c>
      <c r="I164" s="103">
        <f t="shared" si="19"/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45" ht="13.5" hidden="1" customHeight="1" x14ac:dyDescent="0.15">
      <c r="A165" s="259">
        <v>30</v>
      </c>
      <c r="B165" s="51" t="s">
        <v>586</v>
      </c>
      <c r="C165" s="21" t="s">
        <v>613</v>
      </c>
      <c r="D165" s="104">
        <f>IF(ISERROR(HLOOKUP(J165,$Q$48:$AA$49,2)),0,HLOOKUP(J165,$Q$48:$AA$49,2))</f>
        <v>0</v>
      </c>
      <c r="E165" s="104">
        <f>IF(ISERROR(HLOOKUP(K165,$Q$48:$AA$49,2)),0,HLOOKUP(K165,$Q$48:$AA$49,2))</f>
        <v>0</v>
      </c>
      <c r="F165" s="104">
        <f>IF(ISERROR(HLOOKUP(L165,$Q$48:$AA$49,2)),0,HLOOKUP(L165,$Q$48:$AA$49,2))</f>
        <v>0</v>
      </c>
      <c r="G165" s="396">
        <f t="shared" si="17"/>
        <v>0</v>
      </c>
      <c r="H165" s="103">
        <f t="shared" si="18"/>
        <v>0</v>
      </c>
      <c r="I165" s="103">
        <f t="shared" si="19"/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45" ht="12.75" hidden="1" customHeight="1" x14ac:dyDescent="0.15">
      <c r="A166" s="259" t="s">
        <v>587</v>
      </c>
      <c r="B166" s="51" t="s">
        <v>685</v>
      </c>
      <c r="C166" s="21" t="s">
        <v>547</v>
      </c>
      <c r="D166" s="104">
        <f>IF(ISERROR(HLOOKUP(J166,$Q$73:$X$74,2)),0,HLOOKUP(J166,$Q$73:$X$74,2))</f>
        <v>0</v>
      </c>
      <c r="E166" s="104">
        <f>IF(ISERROR(HLOOKUP(K166,$Q$73:$X$74,2)),0,HLOOKUP(K166,$Q$73:$X$74,2))</f>
        <v>0</v>
      </c>
      <c r="F166" s="104">
        <f>IF(ISERROR(HLOOKUP(L166,$Q$73:$X$74,2)),0,HLOOKUP(L166,$Q$73:$X$74,2))</f>
        <v>0</v>
      </c>
      <c r="G166" s="396">
        <f t="shared" si="17"/>
        <v>0</v>
      </c>
      <c r="H166" s="103">
        <f t="shared" si="18"/>
        <v>0</v>
      </c>
      <c r="I166" s="103">
        <f t="shared" si="19"/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116"/>
    </row>
    <row r="167" spans="1:45" ht="12.75" hidden="1" customHeight="1" x14ac:dyDescent="0.15">
      <c r="A167" s="259">
        <v>31</v>
      </c>
      <c r="B167" s="51" t="s">
        <v>588</v>
      </c>
      <c r="C167" s="21" t="s">
        <v>613</v>
      </c>
      <c r="D167" s="104">
        <f>IF(ISERROR(HLOOKUP(J167,$Q$42:$AG$43,2)),0,HLOOKUP(J167,$Q$42:$AG$43,2))</f>
        <v>0</v>
      </c>
      <c r="E167" s="104">
        <f>IF(ISERROR(HLOOKUP(K167,$Q$42:$AG$43,2)),0,HLOOKUP(K167,$Q$42:$AG$43,2))</f>
        <v>0</v>
      </c>
      <c r="F167" s="104">
        <f>IF(ISERROR(HLOOKUP(L167,$Q$42:$AG$43,2)),0,HLOOKUP(L167,$Q$42:$AG$43,2))</f>
        <v>0</v>
      </c>
      <c r="G167" s="396">
        <f t="shared" si="17"/>
        <v>0</v>
      </c>
      <c r="H167" s="103">
        <f t="shared" si="18"/>
        <v>0</v>
      </c>
      <c r="I167" s="103">
        <f t="shared" si="19"/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69"/>
    </row>
    <row r="168" spans="1:45" ht="12.75" hidden="1" customHeight="1" x14ac:dyDescent="0.15">
      <c r="A168" s="259">
        <v>32</v>
      </c>
      <c r="B168" s="338" t="s">
        <v>617</v>
      </c>
      <c r="C168" s="21" t="s">
        <v>613</v>
      </c>
      <c r="D168" s="104">
        <f>IF(ISERROR(HLOOKUP(J168,$Q$42:$AA$43,2)),0,HLOOKUP(J168,$Q$42:$AA$43,2))</f>
        <v>0</v>
      </c>
      <c r="E168" s="104">
        <f>IF(ISERROR(HLOOKUP(K168,$Q$42:$AA$43,2)),0,HLOOKUP(K168,$Q$42:$AA$43,2))</f>
        <v>0</v>
      </c>
      <c r="F168" s="104">
        <f>IF(ISERROR(HLOOKUP(L168,$Q$42:$AA$43,2)),0,HLOOKUP(L168,$Q$42:$AA$43,2))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78" t="s">
        <v>661</v>
      </c>
      <c r="P168" s="44"/>
      <c r="Q168" s="44"/>
      <c r="AS168" s="69"/>
    </row>
    <row r="169" spans="1:45" ht="12.75" hidden="1" customHeight="1" x14ac:dyDescent="0.15">
      <c r="A169" s="259">
        <v>33</v>
      </c>
      <c r="B169" s="338" t="s">
        <v>618</v>
      </c>
      <c r="C169" s="21" t="s">
        <v>613</v>
      </c>
      <c r="D169" s="104">
        <f>IF(ISERROR(HLOOKUP(J169,$Q$39:$AA$40,2)),0,HLOOKUP(J169,$Q$39:$AA$40,2))</f>
        <v>0</v>
      </c>
      <c r="E169" s="104">
        <f>IF(ISERROR(HLOOKUP(K169,$Q$39:$AA$40,2)),0,HLOOKUP(K169,$Q$39:$AA$40,2))</f>
        <v>0</v>
      </c>
      <c r="F169" s="104">
        <f>IF(ISERROR(HLOOKUP(L169,$Q$39:$AA$40,2)),0,HLOOKUP(L169,$Q$39:$AA$40,2))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78" t="s">
        <v>661</v>
      </c>
      <c r="P169" s="44"/>
      <c r="Q169" s="44"/>
      <c r="AS169" s="69"/>
    </row>
    <row r="170" spans="1:45" ht="12.75" hidden="1" customHeight="1" x14ac:dyDescent="0.15">
      <c r="A170" s="259">
        <v>34</v>
      </c>
      <c r="B170" s="338" t="s">
        <v>619</v>
      </c>
      <c r="C170" s="21" t="s">
        <v>527</v>
      </c>
      <c r="D170" s="104">
        <f>IF(ISERROR(HLOOKUP(J170,$Q$26:$AY$27,2)),0,HLOOKUP(J170,$Q$26:$AY$27,2))</f>
        <v>0</v>
      </c>
      <c r="E170" s="104">
        <f>IF(ISERROR(HLOOKUP(K170,$Q$26:$AY$27,2)),0,HLOOKUP(K170,$Q$26:$AY$27,2))</f>
        <v>0</v>
      </c>
      <c r="F170" s="104">
        <f>IF(ISERROR(HLOOKUP(L170,$Q$26:$AY$27,2)),0,HLOOKUP(L170,$Q$26:$AY$27,2))</f>
        <v>0</v>
      </c>
      <c r="G170" s="396">
        <f>SUM($F$27:$F$33)</f>
        <v>0</v>
      </c>
      <c r="H170" s="103">
        <f>SUM($F$27:$F$33)+$J$51</f>
        <v>0</v>
      </c>
      <c r="I170" s="103">
        <f>SUM($F$27:$F$33)+$J$51+$J$60</f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78" t="s">
        <v>661</v>
      </c>
      <c r="P170" s="44"/>
      <c r="Q170" s="44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</row>
    <row r="171" spans="1:45" ht="12.75" hidden="1" customHeight="1" x14ac:dyDescent="0.15">
      <c r="A171" s="259">
        <v>35</v>
      </c>
      <c r="B171" s="338" t="s">
        <v>620</v>
      </c>
      <c r="C171" s="21" t="s">
        <v>613</v>
      </c>
      <c r="D171" s="104">
        <f>IF(ISERROR(HLOOKUP(J171,$Q$39:$AB$40,2)),0,HLOOKUP(J171,$Q$39:$AB$40,2))</f>
        <v>0</v>
      </c>
      <c r="E171" s="104">
        <f>IF(ISERROR(HLOOKUP(K171,$Q$39:$AB$40,2)),0,HLOOKUP(K171,$Q$39:$AB$40,2))</f>
        <v>0</v>
      </c>
      <c r="F171" s="104">
        <f>IF(ISERROR(HLOOKUP(L171,$Q$39:$AB$40,2)),0,HLOOKUP(L171,$Q$39:$AB$40,2))</f>
        <v>0</v>
      </c>
      <c r="G171" s="396">
        <f>SUM($F$27:$F$32)</f>
        <v>0</v>
      </c>
      <c r="H171" s="103">
        <f>SUM($F$27:$F$32)+$J$51</f>
        <v>0</v>
      </c>
      <c r="I171" s="103">
        <f>SUM($F$27:$F$32)+$J$51+$J$60</f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78" t="s">
        <v>661</v>
      </c>
      <c r="P171" s="44"/>
      <c r="Q171" s="44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</row>
    <row r="172" spans="1:45" ht="12.75" hidden="1" customHeight="1" x14ac:dyDescent="0.15">
      <c r="A172" s="259">
        <v>36</v>
      </c>
      <c r="B172" s="339" t="s">
        <v>621</v>
      </c>
      <c r="C172" s="21" t="s">
        <v>613</v>
      </c>
      <c r="D172" s="104">
        <f>IF(ISERROR(HLOOKUP(J172,$Q$39:$AA$40,2)),0,HLOOKUP(J172,$Q$39:$AA$40,2))</f>
        <v>0</v>
      </c>
      <c r="E172" s="104">
        <f>IF(ISERROR(HLOOKUP(K172,$Q$39:$AA$40,2)),0,HLOOKUP(K172,$Q$39:$AA$40,2))</f>
        <v>0</v>
      </c>
      <c r="F172" s="104">
        <f>IF(ISERROR(HLOOKUP(L172,$Q$39:$AA$40,2)),0,HLOOKUP(L172,$Q$39:$AA$40,2))</f>
        <v>0</v>
      </c>
      <c r="G172" s="396">
        <f>SUM($F$30:$F$32)</f>
        <v>0</v>
      </c>
      <c r="H172" s="103">
        <f>SUM($F$30:$F$32)+$J$51</f>
        <v>0</v>
      </c>
      <c r="I172" s="103">
        <f>SUM($F$30:$F$32)+$J$51+$J$60</f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78" t="s">
        <v>661</v>
      </c>
      <c r="P172" s="44"/>
      <c r="Q172" s="44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</row>
    <row r="173" spans="1:45" ht="12.75" hidden="1" customHeight="1" x14ac:dyDescent="0.15">
      <c r="A173" s="259">
        <v>37</v>
      </c>
      <c r="B173" s="340" t="s">
        <v>622</v>
      </c>
      <c r="C173" s="21" t="s">
        <v>547</v>
      </c>
      <c r="D173" s="104">
        <f t="shared" ref="D173:F174" si="20">IF(ISERROR(HLOOKUP(J173,$Q$73:$AB$74,2)),0,HLOOKUP(J173,$Q$73:$AB$74,2))</f>
        <v>0</v>
      </c>
      <c r="E173" s="104">
        <f t="shared" si="20"/>
        <v>0</v>
      </c>
      <c r="F173" s="104">
        <f t="shared" si="20"/>
        <v>0</v>
      </c>
      <c r="G173" s="396">
        <f>SUM($F$27:$F$32)</f>
        <v>0</v>
      </c>
      <c r="H173" s="103">
        <f>SUM($F$27:$F$32)+$J$51</f>
        <v>0</v>
      </c>
      <c r="I173" s="103">
        <f>SUM($F$27:$F$32)+$J$51+$J$60</f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H173" s="69"/>
      <c r="AI173" s="116"/>
      <c r="AJ173" s="116"/>
      <c r="AK173" s="116"/>
      <c r="AL173" s="69"/>
      <c r="AM173" s="69"/>
      <c r="AN173" s="69"/>
      <c r="AO173" s="69"/>
      <c r="AP173" s="69"/>
      <c r="AQ173" s="69"/>
      <c r="AR173" s="69"/>
      <c r="AS173" s="69"/>
    </row>
    <row r="174" spans="1:45" ht="12.75" hidden="1" customHeight="1" x14ac:dyDescent="0.15">
      <c r="A174" s="259">
        <v>38</v>
      </c>
      <c r="B174" s="340" t="s">
        <v>623</v>
      </c>
      <c r="C174" s="21" t="s">
        <v>547</v>
      </c>
      <c r="D174" s="104">
        <f t="shared" si="20"/>
        <v>0</v>
      </c>
      <c r="E174" s="104">
        <f t="shared" si="20"/>
        <v>0</v>
      </c>
      <c r="F174" s="104">
        <f t="shared" si="20"/>
        <v>0</v>
      </c>
      <c r="G174" s="396">
        <f>SUM($F$30:$F$32)</f>
        <v>0</v>
      </c>
      <c r="H174" s="103">
        <f>SUM($F$30:$F$32)+$J$51</f>
        <v>0</v>
      </c>
      <c r="I174" s="103">
        <f>SUM($F$30:$F$32)+$J$51+$J$60</f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</row>
    <row r="175" spans="1:45" ht="12.75" hidden="1" customHeight="1" thickBot="1" x14ac:dyDescent="0.2">
      <c r="A175" s="259">
        <v>39</v>
      </c>
      <c r="B175" s="340" t="s">
        <v>624</v>
      </c>
      <c r="C175" s="21" t="s">
        <v>613</v>
      </c>
      <c r="D175" s="104">
        <f>IF(ISERROR(HLOOKUP(J175,$Q$48:$Y$49,2)),0,HLOOKUP(J175,$Q$48:$Y$49,2))</f>
        <v>0</v>
      </c>
      <c r="E175" s="104">
        <f>IF(ISERROR(HLOOKUP(K175,$Q$48:$Y$49,2)),0,HLOOKUP(K175,$Q$48:$Y$49,2))</f>
        <v>0</v>
      </c>
      <c r="F175" s="104">
        <f>IF(ISERROR(HLOOKUP(L175,$Q$48:$Y$49,2)),0,HLOOKUP(L175,$Q$48:$Y$49,2))</f>
        <v>0</v>
      </c>
      <c r="G175" s="396">
        <f>SUM($F$30:$F$32)</f>
        <v>0</v>
      </c>
      <c r="H175" s="103">
        <f>SUM($F$30:$F$32)+$J$51</f>
        <v>0</v>
      </c>
      <c r="I175" s="103">
        <f>SUM($F$30:$F$32)+$J$51+$J$60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</row>
    <row r="176" spans="1:45" ht="12.75" hidden="1" customHeight="1" x14ac:dyDescent="0.15">
      <c r="A176" s="259">
        <v>40</v>
      </c>
      <c r="B176" s="340" t="s">
        <v>625</v>
      </c>
      <c r="C176" s="21" t="s">
        <v>613</v>
      </c>
      <c r="D176" s="104">
        <f>IF(ISERROR(HLOOKUP(J176,$Q$48:$AA$49,2)),0,HLOOKUP(J176,$Q$48:$AA$49,2))</f>
        <v>0</v>
      </c>
      <c r="E176" s="104">
        <f>IF(ISERROR(HLOOKUP(K176,$Q$48:$AA$49,2)),0,HLOOKUP(K176,$Q$48:$AA$49,2))</f>
        <v>0</v>
      </c>
      <c r="F176" s="104">
        <f>IF(ISERROR(HLOOKUP(L176,$Q$48:$AA$49,2)),0,HLOOKUP(L176,$Q$48:$AA$49,2))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N176" s="341" t="s">
        <v>613</v>
      </c>
      <c r="O176" s="256">
        <f>IF(ISERROR(HLOOKUP(J177,$Q$63:$AA$64,2)),0,HLOOKUP(J177,$Q$63:$AA$64,2))</f>
        <v>0</v>
      </c>
      <c r="P176" s="144">
        <f>IF(ISERROR(HLOOKUP(K177,$Q$63:$AA$64,2)),0,HLOOKUP(K177,$Q$63:$AA$64,2))</f>
        <v>0</v>
      </c>
      <c r="Q176" s="144">
        <f>IF(ISERROR(HLOOKUP(L177,$Q$63:$AA$64,2)),0,HLOOKUP(L177,$Q$63:$AA$64,2))</f>
        <v>0</v>
      </c>
      <c r="R176" s="342" t="s">
        <v>695</v>
      </c>
    </row>
    <row r="177" spans="1:20" ht="12.75" hidden="1" customHeight="1" thickBot="1" x14ac:dyDescent="0.2">
      <c r="A177" s="259">
        <v>41</v>
      </c>
      <c r="B177" s="340" t="s">
        <v>626</v>
      </c>
      <c r="C177" s="21" t="str">
        <f>IF($N$8&gt;=$R$177,$P$20,$P$19)</f>
        <v>TRIÊNIO</v>
      </c>
      <c r="D177" s="343">
        <f>IF($C$177=$N$176,$O$176,$O$177)</f>
        <v>0</v>
      </c>
      <c r="E177" s="343">
        <f>IF($C$177=$N$176,$P$176,$P$177)</f>
        <v>0</v>
      </c>
      <c r="F177" s="343">
        <f>IF($C$177=$N$176,$Q$176,$Q$177)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N177" s="344" t="s">
        <v>547</v>
      </c>
      <c r="O177" s="257">
        <f>IF(ISERROR(HLOOKUP(J177,$Q$73:$W$74,2)),0,HLOOKUP(J177,$Q$73:$W$74,2))</f>
        <v>0</v>
      </c>
      <c r="P177" s="145">
        <f>IF(ISERROR(HLOOKUP(K177,$Q$73:$W$74,2)),0,HLOOKUP(K177,$Q$73:$W$74,2))</f>
        <v>0</v>
      </c>
      <c r="Q177" s="145">
        <f>IF(ISERROR(HLOOKUP(L177,$Q$73:$W$74,2)),0,HLOOKUP(L177,$Q$73:$W$74,2))</f>
        <v>0</v>
      </c>
      <c r="R177" s="398">
        <v>36539</v>
      </c>
      <c r="S177" s="103"/>
      <c r="T177" s="103"/>
    </row>
    <row r="178" spans="1:20" ht="12.75" hidden="1" customHeight="1" x14ac:dyDescent="0.15">
      <c r="A178" s="259">
        <v>42</v>
      </c>
      <c r="B178" s="340" t="s">
        <v>627</v>
      </c>
      <c r="C178" s="21"/>
      <c r="D178" s="54"/>
      <c r="E178" s="54"/>
      <c r="F178" s="54"/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</row>
    <row r="179" spans="1:20" ht="12.75" hidden="1" customHeight="1" x14ac:dyDescent="0.15">
      <c r="A179" s="259">
        <v>43</v>
      </c>
      <c r="B179" s="340" t="s">
        <v>628</v>
      </c>
      <c r="C179" s="21" t="s">
        <v>527</v>
      </c>
      <c r="D179" s="104">
        <f>IF(ISERROR(HLOOKUP(J179,$Q$26:$AY$27,2)),0,HLOOKUP(J179,$Q$26:$AY$27,2))</f>
        <v>0</v>
      </c>
      <c r="E179" s="104">
        <f>IF(ISERROR(HLOOKUP(K179,$Q$26:$AY$27,2)),0,HLOOKUP(K179,$Q$26:$AY$27,2))</f>
        <v>0</v>
      </c>
      <c r="F179" s="104">
        <f>IF(ISERROR(HLOOKUP(L179,$Q$26:$AY$27,2)),0,HLOOKUP(L179,$Q$26:$AY$27,2))</f>
        <v>0</v>
      </c>
      <c r="G179" s="396">
        <f>SUM($F$27:$F$33)</f>
        <v>0</v>
      </c>
      <c r="H179" s="103">
        <f>SUM($F$27:$F$33)+$J$51</f>
        <v>0</v>
      </c>
      <c r="I179" s="103">
        <f>SUM($F$27:$F$33)+$J$51+$J$60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</row>
    <row r="180" spans="1:20" ht="12.75" hidden="1" customHeight="1" x14ac:dyDescent="0.15">
      <c r="A180" s="259">
        <v>44</v>
      </c>
      <c r="B180" s="340" t="s">
        <v>629</v>
      </c>
      <c r="C180" s="21" t="s">
        <v>547</v>
      </c>
      <c r="D180" s="104">
        <f t="shared" ref="D180:F181" si="21">IF(ISERROR(HLOOKUP(J180,$Q$73:$W$74,2)),0,HLOOKUP(J180,$Q$73:$W$74,2))</f>
        <v>0</v>
      </c>
      <c r="E180" s="104">
        <f t="shared" si="21"/>
        <v>0</v>
      </c>
      <c r="F180" s="104">
        <f t="shared" si="21"/>
        <v>0</v>
      </c>
      <c r="G180" s="396">
        <f>SUM($F$27:$F$32)</f>
        <v>0</v>
      </c>
      <c r="H180" s="103">
        <f>SUM($F$27:$F$32)+$J$51</f>
        <v>0</v>
      </c>
      <c r="I180" s="103">
        <f>SUM($F$27:$F$32)+$J$51+$J$60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20" ht="12.75" hidden="1" customHeight="1" x14ac:dyDescent="0.15">
      <c r="A181" s="259">
        <v>45</v>
      </c>
      <c r="B181" s="340" t="s">
        <v>630</v>
      </c>
      <c r="C181" s="21" t="s">
        <v>547</v>
      </c>
      <c r="D181" s="104">
        <f t="shared" si="21"/>
        <v>0</v>
      </c>
      <c r="E181" s="104">
        <f t="shared" si="21"/>
        <v>0</v>
      </c>
      <c r="F181" s="104">
        <f t="shared" si="21"/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P181" s="44"/>
      <c r="Q181" s="44"/>
    </row>
    <row r="182" spans="1:20" ht="12.75" hidden="1" customHeight="1" x14ac:dyDescent="0.15">
      <c r="A182" s="259">
        <v>46</v>
      </c>
      <c r="B182" s="340" t="s">
        <v>631</v>
      </c>
      <c r="C182" s="21" t="s">
        <v>527</v>
      </c>
      <c r="D182" s="104">
        <f>IF(ISERROR(HLOOKUP(J182,$Q$26:$AY$27,2)),0,HLOOKUP(J182,$Q$26:$AY$27,2))</f>
        <v>0</v>
      </c>
      <c r="E182" s="104">
        <f>IF(ISERROR(HLOOKUP(K182,$Q$26:$AY$27,2)),0,HLOOKUP(K182,$Q$26:$AY$27,2))</f>
        <v>0</v>
      </c>
      <c r="F182" s="104">
        <f>IF(ISERROR(HLOOKUP(L182,$Q$26:$AY$27,2)),0,HLOOKUP(L182,$Q$26:$AY$27,2))</f>
        <v>0</v>
      </c>
      <c r="G182" s="396">
        <f>SUM($F$27:$F$32)</f>
        <v>0</v>
      </c>
      <c r="H182" s="103">
        <f>SUM($F$27:$F$32)+$J$51</f>
        <v>0</v>
      </c>
      <c r="I182" s="103">
        <f>SUM($F$27:$F$32)+$J$51+$J$60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P182" s="44"/>
      <c r="Q182" s="44"/>
    </row>
    <row r="183" spans="1:20" ht="12.75" hidden="1" customHeight="1" x14ac:dyDescent="0.15">
      <c r="A183" s="259">
        <v>47</v>
      </c>
      <c r="B183" s="340" t="s">
        <v>632</v>
      </c>
      <c r="C183" s="21" t="s">
        <v>613</v>
      </c>
      <c r="D183" s="104">
        <f>IF(ISERROR(HLOOKUP(J183,$Q$48:$Z$49,2)),0,HLOOKUP(J183,$Q$48:$Z$49,2))</f>
        <v>0</v>
      </c>
      <c r="E183" s="104">
        <f>IF(ISERROR(HLOOKUP(K183,$Q$48:$Z$49,2)),0,HLOOKUP(K183,$Q$48:$Z$49,2))</f>
        <v>0</v>
      </c>
      <c r="F183" s="104">
        <f>IF(ISERROR(HLOOKUP(L183,$Q$48:$Z$49,2)),0,HLOOKUP(L183,$Q$48:$Z$49,2))</f>
        <v>0</v>
      </c>
      <c r="G183" s="396">
        <f>SUM($F$30:$F$32)</f>
        <v>0</v>
      </c>
      <c r="H183" s="103">
        <f>SUM($F$30:$F$32)+$J$51</f>
        <v>0</v>
      </c>
      <c r="I183" s="103">
        <f>SUM($F$30:$F$32)+$J$51+$J$60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20" ht="12.75" hidden="1" customHeight="1" x14ac:dyDescent="0.15">
      <c r="A184" s="259">
        <v>48</v>
      </c>
      <c r="B184" s="340" t="s">
        <v>633</v>
      </c>
      <c r="C184" s="21" t="s">
        <v>613</v>
      </c>
      <c r="D184" s="104">
        <f>IF(ISERROR(HLOOKUP(J184,$Q$48:$AJ$49,2)),0,HLOOKUP(J184,$Q$48:$AJ$49,2))</f>
        <v>0</v>
      </c>
      <c r="E184" s="104">
        <f>IF(ISERROR(HLOOKUP(K184,$Q$48:$AJ$49,2)),0,HLOOKUP(K184,$Q$48:$AJ$49,2))</f>
        <v>0</v>
      </c>
      <c r="F184" s="104">
        <f>IF(ISERROR(HLOOKUP(L184,$Q$48:$AJ$49,2)),0,HLOOKUP(L184,$Q$48:$AJ$49,2))</f>
        <v>0</v>
      </c>
      <c r="G184" s="396">
        <f>SUM($F$30:$F$33)</f>
        <v>0</v>
      </c>
      <c r="H184" s="103">
        <f>SUM($F$30:$F$33)+$J$51</f>
        <v>0</v>
      </c>
      <c r="I184" s="103">
        <f>SUM($F$30:$F$33)+$J$51+$J$60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20" ht="12.75" hidden="1" customHeight="1" x14ac:dyDescent="0.15">
      <c r="A185" s="259">
        <v>49</v>
      </c>
      <c r="B185" s="340" t="s">
        <v>634</v>
      </c>
      <c r="C185" s="21" t="s">
        <v>613</v>
      </c>
      <c r="D185" s="104">
        <f>IF(ISERROR(HLOOKUP(J185,$Q$48:$Z$49,2)),0,HLOOKUP(J185,$Q$48:$Z$49,2))</f>
        <v>0</v>
      </c>
      <c r="E185" s="104">
        <f>IF(ISERROR(HLOOKUP(K185,$Q$48:$Z$49,2)),0,HLOOKUP(K185,$Q$48:$Z$49,2))</f>
        <v>0</v>
      </c>
      <c r="F185" s="104">
        <f>IF(ISERROR(HLOOKUP(L185,$Q$48:$Z$49,2)),0,HLOOKUP(L185,$Q$48:$Z$49,2))</f>
        <v>0</v>
      </c>
      <c r="G185" s="396">
        <f>SUM($F$30:$F$33)</f>
        <v>0</v>
      </c>
      <c r="H185" s="103">
        <f>SUM($F$30:$F$33)+$J$51</f>
        <v>0</v>
      </c>
      <c r="I185" s="103">
        <f>SUM($F$30:$F$33)+$J$51+$J$60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20" ht="12.75" hidden="1" customHeight="1" x14ac:dyDescent="0.15">
      <c r="A186" s="259">
        <v>50</v>
      </c>
      <c r="B186" s="340" t="s">
        <v>635</v>
      </c>
      <c r="C186" s="21" t="s">
        <v>613</v>
      </c>
      <c r="D186" s="104">
        <f>IF(ISERROR(HLOOKUP(J186,$Q$39:$AB$40,2)),0,HLOOKUP(J186,$Q$39:$AB$40,2))</f>
        <v>0</v>
      </c>
      <c r="E186" s="104">
        <f>IF(ISERROR(HLOOKUP(K186,$Q$39:$AB$40,2)),0,HLOOKUP(K186,$Q$39:$AB$40,2))</f>
        <v>0</v>
      </c>
      <c r="F186" s="104">
        <f>IF(ISERROR(HLOOKUP(L186,$Q$39:$AB$40,2)),0,HLOOKUP(L186,$Q$39:$AB$40,2))</f>
        <v>0</v>
      </c>
      <c r="G186" s="396">
        <f>SUM($F$30:$F$32)</f>
        <v>0</v>
      </c>
      <c r="H186" s="103">
        <f>SUM($F$30:$F$32)+$J$51</f>
        <v>0</v>
      </c>
      <c r="I186" s="103">
        <f>SUM($F$30:$F$32)+$J$51+$J$60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20" ht="12.75" hidden="1" customHeight="1" x14ac:dyDescent="0.15">
      <c r="A187" s="259">
        <v>51</v>
      </c>
      <c r="B187" s="340" t="s">
        <v>636</v>
      </c>
      <c r="C187" s="21" t="s">
        <v>613</v>
      </c>
      <c r="D187" s="104">
        <f>IF(ISERROR(HLOOKUP(J187,$Q$39:$AA$40,2)),0,HLOOKUP(J187,$Q$39:$AA$40,2))</f>
        <v>0</v>
      </c>
      <c r="E187" s="104">
        <f>IF(ISERROR(HLOOKUP(K187,$Q$39:$AA$40,2)),0,HLOOKUP(K187,$Q$39:$AA$40,2))</f>
        <v>0</v>
      </c>
      <c r="F187" s="104">
        <f>IF(ISERROR(HLOOKUP(L187,$Q$39:$AA$40,2)),0,HLOOKUP(L187,$Q$39:$AA$40,2))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20" ht="12.75" hidden="1" customHeight="1" x14ac:dyDescent="0.15">
      <c r="A188" s="259">
        <v>52</v>
      </c>
      <c r="B188" s="340" t="s">
        <v>637</v>
      </c>
      <c r="C188" s="21" t="s">
        <v>613</v>
      </c>
      <c r="D188" s="104">
        <f>IF(ISERROR(HLOOKUP(J188,$Q$66:$X$67,2)),0,HLOOKUP(J188,$Q$66:$X$67,2))</f>
        <v>0</v>
      </c>
      <c r="E188" s="104">
        <f>IF(ISERROR(HLOOKUP(K188,$Q$66:$X$67,2)),0,HLOOKUP(K188,$Q$66:$X$67,2))</f>
        <v>0</v>
      </c>
      <c r="F188" s="104">
        <f>IF(ISERROR(HLOOKUP(L188,$Q$66:$X$67,2)),0,HLOOKUP(L188,$Q$66:$X$67,2))</f>
        <v>0</v>
      </c>
      <c r="G188" s="396">
        <f>SUM($F$27:$F$32)</f>
        <v>0</v>
      </c>
      <c r="H188" s="103">
        <f>SUM($F$27:$F$32)+$J$51</f>
        <v>0</v>
      </c>
      <c r="I188" s="103">
        <f>SUM($F$27:$F$32)+$J$51+$J$60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20" ht="12.75" hidden="1" customHeight="1" x14ac:dyDescent="0.15">
      <c r="A189" s="259">
        <v>53</v>
      </c>
      <c r="B189" s="340" t="s">
        <v>638</v>
      </c>
      <c r="C189" s="21" t="s">
        <v>613</v>
      </c>
      <c r="D189" s="104">
        <f>IF(ISERROR(HLOOKUP(J189,$Q$48:$AA$49,2)),0,HLOOKUP(J189,$Q$48:$AA$49,2))</f>
        <v>0</v>
      </c>
      <c r="E189" s="104">
        <f>IF(ISERROR(HLOOKUP(K189,$Q$48:$AA$49,2)),0,HLOOKUP(K189,$Q$48:$AA$49,2))</f>
        <v>0</v>
      </c>
      <c r="F189" s="104">
        <f>IF(ISERROR(HLOOKUP(L189,$Q$48:$AA$49,2)),0,HLOOKUP(L189,$Q$48:$AA$49,2))</f>
        <v>0</v>
      </c>
      <c r="G189" s="396">
        <f>SUM($F$30:$F$32)</f>
        <v>0</v>
      </c>
      <c r="H189" s="103">
        <f>SUM($F$30:$F$32)+$J$51</f>
        <v>0</v>
      </c>
      <c r="I189" s="103">
        <f>SUM($F$30:$F$32)+$J$51+$J$60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20" ht="12.75" hidden="1" customHeight="1" x14ac:dyDescent="0.15">
      <c r="A190" s="259">
        <v>54</v>
      </c>
      <c r="B190" s="340" t="s">
        <v>639</v>
      </c>
      <c r="C190" s="21" t="s">
        <v>613</v>
      </c>
      <c r="D190" s="104">
        <f>IF(ISERROR(HLOOKUP(J190,$Q$39:$AA$40,2)),0,HLOOKUP(J190,$Q$39:$AA$40,2))</f>
        <v>0</v>
      </c>
      <c r="E190" s="104">
        <f>IF(ISERROR(HLOOKUP(K190,$Q$39:$AA$40,2)),0,HLOOKUP(K190,$Q$39:$AA$40,2))</f>
        <v>0</v>
      </c>
      <c r="F190" s="104">
        <f>IF(ISERROR(HLOOKUP(L190,$Q$39:$AA$40,2)),0,HLOOKUP(L190,$Q$39:$AA$40,2))</f>
        <v>0</v>
      </c>
      <c r="G190" s="396">
        <f>SUM($F$27:$F$32)</f>
        <v>0</v>
      </c>
      <c r="H190" s="103">
        <f>SUM($F$27:$F$32)+$J$51</f>
        <v>0</v>
      </c>
      <c r="I190" s="103">
        <f>SUM($F$27:$F$32)+$J$51+$J$60</f>
        <v>0</v>
      </c>
      <c r="J190" s="21">
        <f t="shared" ref="J190:J221" si="22">ROUNDDOWN(G190/365,0)</f>
        <v>0</v>
      </c>
      <c r="K190" s="21">
        <f t="shared" ref="K190:K221" si="23">ROUNDDOWN(H190/365,0)</f>
        <v>0</v>
      </c>
      <c r="L190" s="21">
        <f t="shared" ref="L190:L221" si="24">ROUNDDOWN(I190/365,0)</f>
        <v>0</v>
      </c>
      <c r="M190" s="78" t="s">
        <v>661</v>
      </c>
      <c r="P190" s="44"/>
      <c r="Q190" s="44"/>
    </row>
    <row r="191" spans="1:20" ht="12.75" hidden="1" customHeight="1" x14ac:dyDescent="0.15">
      <c r="A191" s="259">
        <v>55</v>
      </c>
      <c r="B191" s="340" t="s">
        <v>640</v>
      </c>
      <c r="C191" s="21" t="s">
        <v>613</v>
      </c>
      <c r="D191" s="104">
        <f>IF(ISERROR(HLOOKUP(J191,$Q$60:$AA$61,2)),0,HLOOKUP(J191,$Q$60:$AA$61,2))</f>
        <v>0</v>
      </c>
      <c r="E191" s="104">
        <f>IF(ISERROR(HLOOKUP(K191,$Q$60:$AA$61,2)),0,HLOOKUP(K191,$Q$60:$AA$61,2))</f>
        <v>0</v>
      </c>
      <c r="F191" s="104">
        <f>IF(ISERROR(HLOOKUP(L191,$Q$60:$AA$61,2)),0,HLOOKUP(L191,$Q$60:$AA$61,2))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22"/>
        <v>0</v>
      </c>
      <c r="K191" s="21">
        <f t="shared" si="23"/>
        <v>0</v>
      </c>
      <c r="L191" s="21">
        <f t="shared" si="24"/>
        <v>0</v>
      </c>
      <c r="M191" s="78" t="s">
        <v>661</v>
      </c>
      <c r="P191" s="44"/>
      <c r="Q191" s="44"/>
    </row>
    <row r="192" spans="1:20" ht="12.75" hidden="1" customHeight="1" x14ac:dyDescent="0.15">
      <c r="A192" s="259">
        <v>56</v>
      </c>
      <c r="B192" s="340" t="s">
        <v>683</v>
      </c>
      <c r="C192" s="21" t="s">
        <v>547</v>
      </c>
      <c r="D192" s="104">
        <f>IF(ISERROR(HLOOKUP(J192,$Q$80:$W$81,2)),0,HLOOKUP(J192,$Q$80:$W$81,2))</f>
        <v>0</v>
      </c>
      <c r="E192" s="104">
        <f>IF(ISERROR(HLOOKUP(K192,$Q$80:$W$81,2)),0,HLOOKUP(K192,$Q$80:$W$81,2))</f>
        <v>0</v>
      </c>
      <c r="F192" s="104">
        <f>IF(ISERROR(HLOOKUP(L192,$Q$80:$W$81,2)),0,HLOOKUP(L192,$Q$80:$W$81,2))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22"/>
        <v>0</v>
      </c>
      <c r="K192" s="21">
        <f t="shared" si="23"/>
        <v>0</v>
      </c>
      <c r="L192" s="21">
        <f t="shared" si="24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57</v>
      </c>
      <c r="B193" s="340" t="s">
        <v>699</v>
      </c>
      <c r="C193" s="21" t="s">
        <v>613</v>
      </c>
      <c r="D193" s="104">
        <f>IF(ISERROR(HLOOKUP(J193,$Q$48:$AA$49,2)),0,HLOOKUP(J193,$Q$48:$AA$49,2))</f>
        <v>0</v>
      </c>
      <c r="E193" s="104">
        <f>IF(ISERROR(HLOOKUP(K193,$Q$48:$AA$49,2)),0,HLOOKUP(K193,$Q$48:$AA$49,2))</f>
        <v>0</v>
      </c>
      <c r="F193" s="104">
        <f>IF(ISERROR(HLOOKUP(L193,$Q$48:$AA$49,2)),0,HLOOKUP(L193,$Q$48:$AA$49,2))</f>
        <v>0</v>
      </c>
      <c r="G193" s="396">
        <f>SUM($F$30:$F$32)</f>
        <v>0</v>
      </c>
      <c r="H193" s="103">
        <f>SUM($F$30:$F$32)+$J$51</f>
        <v>0</v>
      </c>
      <c r="I193" s="103">
        <f>SUM($F$30:$F$32)+$J$51+$J$60</f>
        <v>0</v>
      </c>
      <c r="J193" s="21">
        <f t="shared" si="22"/>
        <v>0</v>
      </c>
      <c r="K193" s="21">
        <f t="shared" si="23"/>
        <v>0</v>
      </c>
      <c r="L193" s="21">
        <f t="shared" si="24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58</v>
      </c>
      <c r="B194" s="340" t="s">
        <v>641</v>
      </c>
      <c r="C194" s="21" t="s">
        <v>613</v>
      </c>
      <c r="D194" s="104">
        <f>IF(ISERROR(HLOOKUP(J194,$Q$69:$AC$70,2)),0,HLOOKUP(J194,$Q$69:$AC$70,2))</f>
        <v>0</v>
      </c>
      <c r="E194" s="104">
        <f>IF(ISERROR(HLOOKUP(K194,$Q$69:$AC$70,2)),0,HLOOKUP(K194,$Q$69:$AC$70,2))</f>
        <v>0</v>
      </c>
      <c r="F194" s="104">
        <f>IF(ISERROR(HLOOKUP(L194,$Q$69:$AC$70,2)),0,HLOOKUP(L194,$Q$69:$AC$70,2))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22"/>
        <v>0</v>
      </c>
      <c r="K194" s="21">
        <f t="shared" si="23"/>
        <v>0</v>
      </c>
      <c r="L194" s="21">
        <f t="shared" si="24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59</v>
      </c>
      <c r="B195" s="340" t="s">
        <v>642</v>
      </c>
      <c r="C195" s="21" t="s">
        <v>613</v>
      </c>
      <c r="D195" s="104">
        <f>IF(ISERROR(HLOOKUP(J195,$Q$39:$AB$40,2)),0,HLOOKUP(J195,$Q$39:$AB$40,2))</f>
        <v>0</v>
      </c>
      <c r="E195" s="104">
        <f>IF(ISERROR(HLOOKUP(K195,$Q$39:$AB$40,2)),0,HLOOKUP(K195,$Q$39:$AB$40,2))</f>
        <v>0</v>
      </c>
      <c r="F195" s="104">
        <f>IF(ISERROR(HLOOKUP(L195,$Q$39:$AB$40,2)),0,HLOOKUP(L195,$Q$39:$AB$40,2))</f>
        <v>0</v>
      </c>
      <c r="G195" s="396">
        <f>SUM($F$27:$F$33)</f>
        <v>0</v>
      </c>
      <c r="H195" s="103">
        <f>SUM($F$27:$F$33)+$J$51</f>
        <v>0</v>
      </c>
      <c r="I195" s="103">
        <f>SUM($F$27:$F$33)+$J$51+$J$60</f>
        <v>0</v>
      </c>
      <c r="J195" s="21">
        <f t="shared" si="22"/>
        <v>0</v>
      </c>
      <c r="K195" s="21">
        <f t="shared" si="23"/>
        <v>0</v>
      </c>
      <c r="L195" s="21">
        <f t="shared" si="24"/>
        <v>0</v>
      </c>
      <c r="M195" s="78" t="s">
        <v>661</v>
      </c>
      <c r="P195" s="44"/>
      <c r="Q195" s="44"/>
      <c r="AC195" s="69"/>
      <c r="AD195" s="69"/>
      <c r="AE195" s="69"/>
      <c r="AF195" s="69"/>
      <c r="AG195" s="69"/>
    </row>
    <row r="196" spans="1:33" ht="12.75" hidden="1" customHeight="1" x14ac:dyDescent="0.15">
      <c r="A196" s="259">
        <v>60</v>
      </c>
      <c r="B196" s="340" t="s">
        <v>643</v>
      </c>
      <c r="C196" s="21" t="s">
        <v>547</v>
      </c>
      <c r="D196" s="104">
        <f>IF(ISERROR(HLOOKUP(J196,$Q$80:$W$81,2)),0,HLOOKUP(J196,$Q$80:$W$81,2))</f>
        <v>0</v>
      </c>
      <c r="E196" s="104">
        <f>IF(ISERROR(HLOOKUP(K196,$Q$80:$W$81,2)),0,HLOOKUP(K196,$Q$80:$W$81,2))</f>
        <v>0</v>
      </c>
      <c r="F196" s="104">
        <f>IF(ISERROR(HLOOKUP(L196,$Q$80:$W$81,2)),0,HLOOKUP(L196,$Q$80:$W$81,2))</f>
        <v>0</v>
      </c>
      <c r="G196" s="396">
        <f>SUM($F$30:$F$33)</f>
        <v>0</v>
      </c>
      <c r="H196" s="103">
        <f>SUM($F$30:$F$33)+$J$51</f>
        <v>0</v>
      </c>
      <c r="I196" s="103">
        <f>SUM($F$30:$F$33)+$J$51+$J$60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  <c r="AC196" s="69"/>
      <c r="AD196" s="69"/>
      <c r="AE196" s="69"/>
      <c r="AF196" s="69"/>
      <c r="AG196" s="69"/>
    </row>
    <row r="197" spans="1:33" ht="12.75" hidden="1" customHeight="1" x14ac:dyDescent="0.15">
      <c r="A197" s="259">
        <v>61</v>
      </c>
      <c r="B197" s="340" t="s">
        <v>644</v>
      </c>
      <c r="C197" s="21" t="s">
        <v>613</v>
      </c>
      <c r="D197" s="104">
        <f>IF(ISERROR(HLOOKUP(J197,$Q$39:$AA$40,2)),0,HLOOKUP(J197,$Q$39:$AA$40,2))</f>
        <v>0</v>
      </c>
      <c r="E197" s="104">
        <f>IF(ISERROR(HLOOKUP(K197,$Q$39:$AA$40,2)),0,HLOOKUP(K197,$Q$39:$AA$40,2))</f>
        <v>0</v>
      </c>
      <c r="F197" s="104">
        <f>IF(ISERROR(HLOOKUP(L197,$Q$39:$AA$40,2)),0,HLOOKUP(L197,$Q$39:$AA$40,2))</f>
        <v>0</v>
      </c>
      <c r="G197" s="396">
        <f>SUM($F$27:$F$33)</f>
        <v>0</v>
      </c>
      <c r="H197" s="103">
        <f>SUM($F$27:$F$33)+$J$51</f>
        <v>0</v>
      </c>
      <c r="I197" s="103">
        <f>SUM($F$27:$F$33)+$J$51+$J$60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  <c r="AC197" s="69"/>
      <c r="AD197" s="69"/>
      <c r="AE197" s="69"/>
      <c r="AF197" s="69"/>
      <c r="AG197" s="69"/>
    </row>
    <row r="198" spans="1:33" ht="12.75" hidden="1" customHeight="1" x14ac:dyDescent="0.15">
      <c r="A198" s="259">
        <v>62</v>
      </c>
      <c r="B198" s="345" t="s">
        <v>645</v>
      </c>
      <c r="C198" s="21" t="s">
        <v>527</v>
      </c>
      <c r="D198" s="104">
        <f>IF(ISERROR(HLOOKUP(J198,$Q$26:$AY$27,2)),0,HLOOKUP(J198,$Q$26:$AY$27,2))</f>
        <v>0</v>
      </c>
      <c r="E198" s="104">
        <f>IF(ISERROR(HLOOKUP(K198,$Q$26:$AY$27,2)),0,HLOOKUP(K198,$Q$26:$AY$27,2))</f>
        <v>0</v>
      </c>
      <c r="F198" s="104">
        <f>IF(ISERROR(HLOOKUP(L198,$Q$26:$AY$27,2)),0,HLOOKUP(L198,$Q$26:$AY$27,2))</f>
        <v>0</v>
      </c>
      <c r="G198" s="396">
        <f>SUM($F$30:$F$32)</f>
        <v>0</v>
      </c>
      <c r="H198" s="103">
        <f>SUM($F$27:$F$32)+$J$51</f>
        <v>0</v>
      </c>
      <c r="I198" s="103">
        <f>SUM($F$27:$F$32)+$J$51+$J$60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346" t="s">
        <v>662</v>
      </c>
      <c r="P198" s="44"/>
      <c r="Q198" s="44"/>
      <c r="AC198" s="69"/>
      <c r="AD198" s="69"/>
      <c r="AE198" s="69"/>
      <c r="AF198" s="69"/>
      <c r="AG198" s="69"/>
    </row>
    <row r="199" spans="1:33" ht="12.75" hidden="1" customHeight="1" x14ac:dyDescent="0.15">
      <c r="A199" s="259">
        <v>63</v>
      </c>
      <c r="B199" s="345" t="s">
        <v>646</v>
      </c>
      <c r="C199" s="21"/>
      <c r="D199" s="54"/>
      <c r="E199" s="54"/>
      <c r="F199" s="54"/>
      <c r="G199" s="54"/>
      <c r="H199" s="54"/>
      <c r="I199" s="347"/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348"/>
    </row>
    <row r="200" spans="1:33" s="308" customFormat="1" ht="12.75" hidden="1" customHeight="1" x14ac:dyDescent="0.15">
      <c r="A200" s="304">
        <v>64</v>
      </c>
      <c r="B200" s="349" t="s">
        <v>647</v>
      </c>
      <c r="C200" s="308" t="s">
        <v>613</v>
      </c>
      <c r="D200" s="305">
        <f>IF(ISERROR(HLOOKUP(J200,$Q$48:$AB$49,2)),0,HLOOKUP(J200,$Q$48:$AB$49,2))</f>
        <v>0</v>
      </c>
      <c r="E200" s="305">
        <f>IF(ISERROR(HLOOKUP(K200,$Q$48:$AB$49,2)),0,HLOOKUP(K200,$Q$48:$AB$49,2))</f>
        <v>0</v>
      </c>
      <c r="F200" s="305">
        <f>IF(ISERROR(HLOOKUP(L200,$Q$48:$AB$49,2)),0,HLOOKUP(L200,$Q$48:$AB$49,2))</f>
        <v>0</v>
      </c>
      <c r="G200" s="350">
        <f>SUM($F$30:$F$33)+$O$200</f>
        <v>0</v>
      </c>
      <c r="H200" s="350">
        <f>$G$200+$J$51</f>
        <v>0</v>
      </c>
      <c r="I200" s="350">
        <f>$G$200+$J$51+$J$60</f>
        <v>0</v>
      </c>
      <c r="J200" s="351">
        <f t="shared" si="22"/>
        <v>0</v>
      </c>
      <c r="K200" s="351">
        <f t="shared" si="23"/>
        <v>0</v>
      </c>
      <c r="L200" s="351">
        <f t="shared" si="24"/>
        <v>0</v>
      </c>
      <c r="M200" s="352" t="s">
        <v>662</v>
      </c>
      <c r="N200" s="310">
        <f>SUM($F$27:$F$29)</f>
        <v>0</v>
      </c>
      <c r="O200" s="309">
        <f>IF($N$200&gt;365,365,$N$200)</f>
        <v>0</v>
      </c>
      <c r="P200" s="353"/>
      <c r="Q200" s="353"/>
      <c r="AC200" s="354"/>
      <c r="AD200" s="354"/>
      <c r="AE200" s="354"/>
      <c r="AF200" s="354"/>
      <c r="AG200" s="354"/>
    </row>
    <row r="201" spans="1:33" ht="12.75" hidden="1" customHeight="1" x14ac:dyDescent="0.15">
      <c r="A201" s="259">
        <v>65</v>
      </c>
      <c r="B201" s="345" t="s">
        <v>648</v>
      </c>
      <c r="C201" s="21" t="s">
        <v>547</v>
      </c>
      <c r="D201" s="104">
        <f>IF(ISERROR(HLOOKUP(J201,$Q$73:$AB$74,2)),0,HLOOKUP(J201,$Q$73:$AB$74,2))</f>
        <v>0</v>
      </c>
      <c r="E201" s="105">
        <f>IF(ISERROR(HLOOKUP(K201,$Q$73:$AB$74,2)),0,HLOOKUP(K201,$Q$73:$AB$74,2))</f>
        <v>0</v>
      </c>
      <c r="F201" s="106">
        <f>IF(ISERROR(HLOOKUP(L201,$Q$73:$AB$74,2)),0,HLOOKUP(L201,$Q$73:$AB$74,2))</f>
        <v>0</v>
      </c>
      <c r="G201" s="355">
        <f>SUM($F$27:$F$32)</f>
        <v>0</v>
      </c>
      <c r="H201" s="355">
        <f>SUM($F$27:$F$32)+$J$51</f>
        <v>0</v>
      </c>
      <c r="I201" s="355">
        <f>SUM($F$27:$F$32)+$J$51+$J$60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346" t="s">
        <v>662</v>
      </c>
      <c r="P201" s="44"/>
      <c r="Q201" s="44"/>
      <c r="AC201" s="69"/>
      <c r="AD201" s="69"/>
      <c r="AE201" s="69"/>
      <c r="AF201" s="69"/>
      <c r="AG201" s="348"/>
    </row>
    <row r="202" spans="1:33" ht="12.75" hidden="1" customHeight="1" x14ac:dyDescent="0.15">
      <c r="A202" s="259">
        <v>66</v>
      </c>
      <c r="B202" s="345" t="s">
        <v>649</v>
      </c>
      <c r="C202" s="21" t="s">
        <v>613</v>
      </c>
      <c r="D202" s="104">
        <f>IF(ISERROR(HLOOKUP(J202,$Q$39:$Z$40,2)),0,HLOOKUP(J202,$Q$39:$Z$40,2))</f>
        <v>0</v>
      </c>
      <c r="E202" s="104">
        <f>IF(ISERROR(HLOOKUP(K202,$Q$39:$Z$40,2)),0,HLOOKUP(K202,$Q$39:$Z$40,2))</f>
        <v>0</v>
      </c>
      <c r="F202" s="104">
        <f>IF(ISERROR(HLOOKUP(L202,$Q$39:$Z$40,2)),0,HLOOKUP(L202,$Q$39:$Z$40,2))</f>
        <v>0</v>
      </c>
      <c r="G202" s="355">
        <f>SUM($F$30:$F$32)</f>
        <v>0</v>
      </c>
      <c r="H202" s="355">
        <f>SUM($F$30:$F$32)+$J$51</f>
        <v>0</v>
      </c>
      <c r="I202" s="355">
        <f>SUM($F$30:$F$32)+$J$51+$J$60</f>
        <v>0</v>
      </c>
      <c r="J202" s="356">
        <f t="shared" si="22"/>
        <v>0</v>
      </c>
      <c r="K202" s="356">
        <f t="shared" si="23"/>
        <v>0</v>
      </c>
      <c r="L202" s="356">
        <f t="shared" si="24"/>
        <v>0</v>
      </c>
      <c r="M202" s="346" t="s">
        <v>662</v>
      </c>
      <c r="P202" s="44"/>
      <c r="Q202" s="44"/>
      <c r="AC202" s="69"/>
      <c r="AD202" s="69"/>
      <c r="AE202" s="69"/>
      <c r="AF202" s="69"/>
      <c r="AG202" s="348"/>
    </row>
    <row r="203" spans="1:33" ht="12.75" hidden="1" customHeight="1" x14ac:dyDescent="0.15">
      <c r="A203" s="259">
        <v>67</v>
      </c>
      <c r="B203" s="345" t="s">
        <v>650</v>
      </c>
      <c r="C203" s="21" t="s">
        <v>613</v>
      </c>
      <c r="D203" s="104">
        <f>IF(ISERROR(HLOOKUP(J203,$Q$51:$Y$52,2)),0,HLOOKUP(J203,$Q$51:$Y$52,2))</f>
        <v>0</v>
      </c>
      <c r="E203" s="104">
        <f>IF(ISERROR(HLOOKUP(K203,$Q$51:$Y$52,2)),0,HLOOKUP(K203,$Q$51:$Y$52,2))</f>
        <v>0</v>
      </c>
      <c r="F203" s="104">
        <f>IF(ISERROR(HLOOKUP(L203,$Q$51:$Y$52,2)),0,HLOOKUP(L203,$Q$51:$Y$52,2))</f>
        <v>0</v>
      </c>
      <c r="G203" s="396">
        <f>SUM($F$30:$F$32)</f>
        <v>0</v>
      </c>
      <c r="H203" s="103">
        <f>SUM($F$30:$F$32)+$J$51</f>
        <v>0</v>
      </c>
      <c r="I203" s="103">
        <f>SUM($F$30:$F$32)+$J$51+$J$60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348"/>
    </row>
    <row r="204" spans="1:33" s="308" customFormat="1" ht="12.75" hidden="1" customHeight="1" x14ac:dyDescent="0.15">
      <c r="A204" s="304">
        <v>68</v>
      </c>
      <c r="B204" s="349" t="s">
        <v>651</v>
      </c>
      <c r="C204" s="308" t="s">
        <v>547</v>
      </c>
      <c r="D204" s="305">
        <f>IF(ISERROR(HLOOKUP(J204,$Q$73:$W$74,2)),0,HLOOKUP(J204,$Q$73:$W$74,2))</f>
        <v>0</v>
      </c>
      <c r="E204" s="305">
        <f>IF(ISERROR(HLOOKUP(K204,$Q$73:$W$74,2)),0,HLOOKUP(K204,$Q$73:$W$74,2))</f>
        <v>0</v>
      </c>
      <c r="F204" s="305">
        <f>IF(ISERROR(HLOOKUP(L204,$Q$73:$W$74,2)),0,HLOOKUP(L204,$Q$73:$W$74,2))</f>
        <v>0</v>
      </c>
      <c r="G204" s="350">
        <f>$N$204</f>
        <v>0</v>
      </c>
      <c r="H204" s="350">
        <f>$G$204+$J$51</f>
        <v>0</v>
      </c>
      <c r="I204" s="350">
        <f>$G$204+$J$51+$J$60</f>
        <v>0</v>
      </c>
      <c r="J204" s="308">
        <f t="shared" si="22"/>
        <v>0</v>
      </c>
      <c r="K204" s="308">
        <f t="shared" si="23"/>
        <v>0</v>
      </c>
      <c r="L204" s="308">
        <f t="shared" si="24"/>
        <v>0</v>
      </c>
      <c r="M204" s="352" t="s">
        <v>662</v>
      </c>
      <c r="N204" s="310">
        <f>SUM(F30:F32)</f>
        <v>0</v>
      </c>
      <c r="O204" s="309"/>
      <c r="P204" s="353"/>
      <c r="Q204" s="353"/>
      <c r="AC204" s="354"/>
      <c r="AD204" s="354"/>
      <c r="AE204" s="354"/>
      <c r="AF204" s="354"/>
      <c r="AG204" s="354"/>
    </row>
    <row r="205" spans="1:33" ht="12.75" hidden="1" customHeight="1" x14ac:dyDescent="0.15">
      <c r="A205" s="259">
        <v>69</v>
      </c>
      <c r="B205" s="345" t="s">
        <v>652</v>
      </c>
      <c r="C205" s="21" t="s">
        <v>613</v>
      </c>
      <c r="D205" s="104">
        <f>IF(ISERROR(HLOOKUP(J205,$Q$39:$Z$40,2)),0,HLOOKUP(J205,$Q$39:$Z$40,2))</f>
        <v>0</v>
      </c>
      <c r="E205" s="104">
        <f>IF(ISERROR(HLOOKUP(K205,$Q$39:$Z$40,2)),0,HLOOKUP(K205,$Q$39:$Z$40,2))</f>
        <v>0</v>
      </c>
      <c r="F205" s="104">
        <f>IF(ISERROR(HLOOKUP(L205,$Q$39:$Z$40,2)),0,HLOOKUP(L205,$Q$39:$Z$40,2))</f>
        <v>0</v>
      </c>
      <c r="G205" s="396">
        <f>SUM($F$30:$F$32)</f>
        <v>0</v>
      </c>
      <c r="H205" s="103">
        <f>SUM($F$30:$F$32)+$J$51</f>
        <v>0</v>
      </c>
      <c r="I205" s="103">
        <f>SUM($F$30:$F$32)+$J$51+$J$60</f>
        <v>0</v>
      </c>
      <c r="J205" s="21">
        <f t="shared" si="22"/>
        <v>0</v>
      </c>
      <c r="K205" s="21">
        <f t="shared" si="23"/>
        <v>0</v>
      </c>
      <c r="L205" s="21">
        <f t="shared" si="24"/>
        <v>0</v>
      </c>
      <c r="M205" s="346" t="s">
        <v>662</v>
      </c>
      <c r="P205" s="44"/>
      <c r="Q205" s="44"/>
      <c r="AC205" s="69"/>
      <c r="AD205" s="69"/>
      <c r="AE205" s="69"/>
      <c r="AF205" s="69"/>
      <c r="AG205" s="69"/>
    </row>
    <row r="206" spans="1:33" ht="13.5" hidden="1" x14ac:dyDescent="0.15">
      <c r="A206" s="259">
        <v>70</v>
      </c>
      <c r="B206" s="345" t="s">
        <v>653</v>
      </c>
      <c r="C206" s="21" t="s">
        <v>613</v>
      </c>
      <c r="D206" s="104">
        <f>IF(ISERROR(HLOOKUP(J206,$Q$48:$AB$49,2)),0,HLOOKUP(J206,$Q$48:$AB$49,2))</f>
        <v>0</v>
      </c>
      <c r="E206" s="104">
        <f>IF(ISERROR(HLOOKUP(K206,$Q$48:$AB$49,2)),0,HLOOKUP(K206,$Q$48:$AB$49,2))</f>
        <v>0</v>
      </c>
      <c r="F206" s="104">
        <f>IF(ISERROR(HLOOKUP(L206,$Q$48:$AB$49,2)),0,HLOOKUP(L206,$Q$48:$AB$49,2))</f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</row>
    <row r="207" spans="1:33" ht="13.5" hidden="1" x14ac:dyDescent="0.15">
      <c r="A207" s="259">
        <v>71</v>
      </c>
      <c r="B207" s="345" t="s">
        <v>654</v>
      </c>
      <c r="C207" s="21" t="s">
        <v>613</v>
      </c>
      <c r="D207" s="104">
        <f>IF(ISERROR(HLOOKUP(J207,$Q$48:$AA$49,2)),0,HLOOKUP(J207,$Q$48:$AA$49,2))</f>
        <v>0</v>
      </c>
      <c r="E207" s="104">
        <f>IF(ISERROR(HLOOKUP(K207,$Q$48:$AA$49,2)),0,HLOOKUP(K207,$Q$48:$AA$49,2))</f>
        <v>0</v>
      </c>
      <c r="F207" s="104">
        <f>IF(ISERROR(HLOOKUP(L207,$Q$48:$AA$49,2)),0,HLOOKUP(L207,$Q$48:$AA$49,2))</f>
        <v>0</v>
      </c>
      <c r="G207" s="396">
        <f>SUM($F$30:$F$32)</f>
        <v>0</v>
      </c>
      <c r="H207" s="103">
        <f>SUM($F$30:$F$32)+$J$51</f>
        <v>0</v>
      </c>
      <c r="I207" s="103">
        <f>SUM($F$30:$F$32)+$J$51+$J$60</f>
        <v>0</v>
      </c>
      <c r="J207" s="21">
        <f t="shared" si="22"/>
        <v>0</v>
      </c>
      <c r="K207" s="21">
        <f t="shared" si="23"/>
        <v>0</v>
      </c>
      <c r="L207" s="21">
        <f t="shared" si="24"/>
        <v>0</v>
      </c>
      <c r="M207" s="346" t="s">
        <v>662</v>
      </c>
      <c r="P207" s="44"/>
      <c r="Q207" s="44"/>
    </row>
    <row r="208" spans="1:33" ht="13.5" hidden="1" x14ac:dyDescent="0.15">
      <c r="A208" s="259">
        <v>72</v>
      </c>
      <c r="B208" s="345" t="s">
        <v>655</v>
      </c>
      <c r="C208" s="21" t="s">
        <v>527</v>
      </c>
      <c r="D208" s="104">
        <f>IF(ISERROR(HLOOKUP(J208,$Q$54:$AR$55,2)),0,HLOOKUP(J208,$Q$54:$AR$55,2))</f>
        <v>0</v>
      </c>
      <c r="E208" s="104">
        <f>IF(ISERROR(HLOOKUP(K208,$Q$54:$AR$55,2)),0,HLOOKUP(K208,$Q$54:$AR$55,2))</f>
        <v>0</v>
      </c>
      <c r="F208" s="104">
        <f>IF(ISERROR(HLOOKUP(L208,$Q$54:$AR$55,2)),0,HLOOKUP(L208,$Q$54:$AR$55,2))</f>
        <v>0</v>
      </c>
      <c r="G208" s="396">
        <f>SUM($F$27:$F$32)</f>
        <v>0</v>
      </c>
      <c r="H208" s="103">
        <f>SUM($F$27:$F$32)+$J$51</f>
        <v>0</v>
      </c>
      <c r="I208" s="103">
        <f>SUM($F$27:$F$32)+$J$51+$J$60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</row>
    <row r="209" spans="1:32" ht="13.5" hidden="1" x14ac:dyDescent="0.15">
      <c r="A209" s="259">
        <v>73</v>
      </c>
      <c r="B209" s="345" t="s">
        <v>663</v>
      </c>
      <c r="C209" s="21" t="s">
        <v>527</v>
      </c>
      <c r="D209" s="104">
        <f t="shared" ref="D209:F210" si="25">IF(ISERROR(HLOOKUP(J209,$Q$26:$AY$27,2)),0,HLOOKUP(J209,$Q$26:$AY$27,2))</f>
        <v>0</v>
      </c>
      <c r="E209" s="104">
        <f t="shared" si="25"/>
        <v>0</v>
      </c>
      <c r="F209" s="104">
        <f t="shared" si="25"/>
        <v>0</v>
      </c>
      <c r="G209" s="396">
        <f>SUM($F$30:$F$32)</f>
        <v>0</v>
      </c>
      <c r="H209" s="103">
        <f>SUM($F$30:$F$32)+$J$51</f>
        <v>0</v>
      </c>
      <c r="I209" s="103">
        <f>SUM($F$30:$F$32)+$J$51+$J$60</f>
        <v>0</v>
      </c>
      <c r="J209" s="21">
        <f t="shared" si="22"/>
        <v>0</v>
      </c>
      <c r="K209" s="21">
        <f t="shared" si="23"/>
        <v>0</v>
      </c>
      <c r="L209" s="21">
        <f t="shared" si="24"/>
        <v>0</v>
      </c>
      <c r="M209" s="346" t="s">
        <v>662</v>
      </c>
      <c r="P209" s="44"/>
      <c r="Q209" s="44"/>
    </row>
    <row r="210" spans="1:32" ht="13.5" hidden="1" x14ac:dyDescent="0.15">
      <c r="A210" s="259">
        <v>74</v>
      </c>
      <c r="B210" s="345" t="s">
        <v>664</v>
      </c>
      <c r="C210" s="21" t="s">
        <v>527</v>
      </c>
      <c r="D210" s="104">
        <f t="shared" si="25"/>
        <v>0</v>
      </c>
      <c r="E210" s="104">
        <f t="shared" si="25"/>
        <v>0</v>
      </c>
      <c r="F210" s="104">
        <f t="shared" si="25"/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</row>
    <row r="211" spans="1:32" ht="13.5" hidden="1" x14ac:dyDescent="0.15">
      <c r="A211" s="259">
        <v>75</v>
      </c>
      <c r="B211" s="345" t="s">
        <v>665</v>
      </c>
      <c r="C211" s="21" t="s">
        <v>547</v>
      </c>
      <c r="D211" s="104">
        <f>IF(ISERROR(HLOOKUP(J211,$Q$73:$W$74,2)),0,HLOOKUP(J211,$Q$73:$W$74,2))</f>
        <v>0</v>
      </c>
      <c r="E211" s="104">
        <f>IF(ISERROR(HLOOKUP(K211,$Q$73:$W$74,2)),0,HLOOKUP(K211,$Q$73:$W$74,2))</f>
        <v>0</v>
      </c>
      <c r="F211" s="104">
        <f>IF(ISERROR(HLOOKUP(L211,$Q$73:$W$74,2)),0,HLOOKUP(L211,$Q$73:$W$74,2))</f>
        <v>0</v>
      </c>
      <c r="G211" s="396">
        <f>SUM($F$27:$F$32)</f>
        <v>0</v>
      </c>
      <c r="H211" s="103">
        <f>SUM($F$27:$F$32)+$J$51</f>
        <v>0</v>
      </c>
      <c r="I211" s="103">
        <f>SUM($F$27:$F$32)+$J$51+$J$60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2" ht="13.5" hidden="1" x14ac:dyDescent="0.15">
      <c r="A212" s="259">
        <v>76</v>
      </c>
      <c r="B212" s="345" t="s">
        <v>689</v>
      </c>
      <c r="C212" s="21" t="s">
        <v>613</v>
      </c>
      <c r="D212" s="104">
        <f>IF(ISERROR(HLOOKUP(J212,$Q$48:$AB$49,2)),0,HLOOKUP(J212,$Q$48:$AB$49,2))</f>
        <v>0</v>
      </c>
      <c r="E212" s="104">
        <f>IF(ISERROR(HLOOKUP(K212,$Q$48:$AB$49,2)),0,HLOOKUP(K212,$Q$48:$AB$49,2))</f>
        <v>0</v>
      </c>
      <c r="F212" s="104">
        <f>IF(ISERROR(HLOOKUP(L212,$Q$48:$AB$49,2)),0,HLOOKUP(L212,$Q$48:$AB$49,2))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2" ht="13.5" hidden="1" x14ac:dyDescent="0.15">
      <c r="A213" s="259">
        <v>77</v>
      </c>
      <c r="B213" s="345" t="s">
        <v>666</v>
      </c>
      <c r="C213" s="21" t="s">
        <v>613</v>
      </c>
      <c r="D213" s="104">
        <f>IF(ISERROR(HLOOKUP(J213,$Q$48:$AA$49,2)),0,HLOOKUP(J213,$Q$48:$AA$49,2))</f>
        <v>0</v>
      </c>
      <c r="E213" s="104">
        <f>IF(ISERROR(HLOOKUP(K213,$Q$48:$AA$49,2)),0,HLOOKUP(K213,$Q$48:$AA$49,2))</f>
        <v>0</v>
      </c>
      <c r="F213" s="104">
        <f>IF(ISERROR(HLOOKUP(L213,$Q$48:$AA$49,2)),0,HLOOKUP(L213,$Q$48:$AA$49,2))</f>
        <v>0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2" ht="13.5" hidden="1" x14ac:dyDescent="0.15">
      <c r="A214" s="259">
        <v>78</v>
      </c>
      <c r="B214" s="345" t="s">
        <v>667</v>
      </c>
      <c r="C214" s="21" t="s">
        <v>613</v>
      </c>
      <c r="D214" s="104">
        <f>IF(ISERROR(HLOOKUP(J214,$Q$57:$AA$58,2)),0,HLOOKUP(J214,$Q$57:$AA$58,2))</f>
        <v>0</v>
      </c>
      <c r="E214" s="104">
        <f>IF(ISERROR(HLOOKUP(K214,$Q$57:$AA$58,2)),0,HLOOKUP(K214,$Q$57:$AA$58,2))</f>
        <v>0</v>
      </c>
      <c r="F214" s="104">
        <f>IF(ISERROR(HLOOKUP(L214,$Q$57:$AA$58,2)),0,HLOOKUP(L214,$Q$57:$AA$58,2))</f>
        <v>0</v>
      </c>
      <c r="G214" s="396">
        <f>SUM($F$29:$F$32)</f>
        <v>0</v>
      </c>
      <c r="H214" s="103">
        <f>SUM($F$29:$F$32)+$J$51</f>
        <v>0</v>
      </c>
      <c r="I214" s="103">
        <f>SUM($F$29:$F$32)+$J$51+$J$60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2" s="308" customFormat="1" ht="13.5" hidden="1" x14ac:dyDescent="0.15">
      <c r="A215" s="304">
        <v>79</v>
      </c>
      <c r="B215" s="349" t="s">
        <v>668</v>
      </c>
      <c r="C215" s="308" t="s">
        <v>613</v>
      </c>
      <c r="D215" s="305">
        <f>IF(ISERROR(HLOOKUP(J215,$Q$39:$AA$40,2)),0,HLOOKUP(J215,$Q$39:$AA$40,2))</f>
        <v>0</v>
      </c>
      <c r="E215" s="305">
        <f>IF(ISERROR(HLOOKUP(K215,$Q$39:$AA$40,2)),0,HLOOKUP(K215,$Q$39:$AA$40,2))</f>
        <v>0</v>
      </c>
      <c r="F215" s="305">
        <f>IF(ISERROR(HLOOKUP(L215,$Q$39:$AA$40,2)),0,HLOOKUP(L215,$Q$39:$AA$40,2))</f>
        <v>0</v>
      </c>
      <c r="G215" s="399">
        <f>$N$215+$F$33</f>
        <v>0</v>
      </c>
      <c r="H215" s="307">
        <f>$G$215+$J$51</f>
        <v>0</v>
      </c>
      <c r="I215" s="307">
        <f>$N$215+$J$51+$J$60</f>
        <v>0</v>
      </c>
      <c r="J215" s="308">
        <f t="shared" si="22"/>
        <v>0</v>
      </c>
      <c r="K215" s="308">
        <f t="shared" si="23"/>
        <v>0</v>
      </c>
      <c r="L215" s="308">
        <f t="shared" si="24"/>
        <v>0</v>
      </c>
      <c r="M215" s="352" t="s">
        <v>662</v>
      </c>
      <c r="N215" s="308">
        <f>IF($C$30&gt;=$A$36,$E$30-$C$30+1,IF($C$31&gt;=$A$36,$E$31-$C$31+1,IF($C$32&gt;=$A$36,$E$32-$C$32+1,IF($E$30&lt;&gt;0,$E$30-$A$36+1,IF($E$31&lt;&gt;0,$E$31-$A$36+1,IF($E$32&lt;&gt;0,$E$32-$A$36+1,0))))))</f>
        <v>0</v>
      </c>
      <c r="O215" s="309"/>
      <c r="P215" s="353"/>
      <c r="Q215" s="353"/>
      <c r="AD215" s="310"/>
      <c r="AE215" s="310"/>
      <c r="AF215" s="310"/>
    </row>
    <row r="216" spans="1:32" ht="13.5" hidden="1" x14ac:dyDescent="0.15">
      <c r="A216" s="259">
        <v>80</v>
      </c>
      <c r="B216" s="345" t="s">
        <v>669</v>
      </c>
      <c r="C216" s="21" t="s">
        <v>547</v>
      </c>
      <c r="D216" s="104">
        <f>IF(ISERROR(HLOOKUP(J216,$Q$73:$V$74,2)),0,HLOOKUP(J216,$Q$73:$V$74,2))</f>
        <v>0</v>
      </c>
      <c r="E216" s="104">
        <f>IF(ISERROR(HLOOKUP(K216,$Q$73:$V$74,2)),0,HLOOKUP(K216,$Q$73:$V$74,2))</f>
        <v>0</v>
      </c>
      <c r="F216" s="104">
        <f>IF(ISERROR(HLOOKUP(L216,$Q$73:$V$74,2)),0,HLOOKUP(L216,$Q$73:$V$74,2))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2" ht="13.5" hidden="1" x14ac:dyDescent="0.15">
      <c r="A217" s="259" t="s">
        <v>703</v>
      </c>
      <c r="B217" s="345" t="s">
        <v>701</v>
      </c>
      <c r="C217" s="21" t="s">
        <v>702</v>
      </c>
      <c r="D217" s="148">
        <f>IF(J217&lt;=10,0.1,IF(J217&lt;=20,0.2,0.3))</f>
        <v>0.1</v>
      </c>
      <c r="E217" s="148">
        <f>IF(K217&lt;=10,0.1,IF(K217&lt;=20,0.2,0.3))</f>
        <v>0.1</v>
      </c>
      <c r="F217" s="148">
        <f>IF(L217&lt;=10,0.1,IF(L217&lt;=20,0.2,0.3))</f>
        <v>0.1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2" ht="13.5" hidden="1" x14ac:dyDescent="0.15">
      <c r="A218" s="259">
        <v>81</v>
      </c>
      <c r="B218" s="345" t="s">
        <v>670</v>
      </c>
      <c r="C218" s="21" t="s">
        <v>547</v>
      </c>
      <c r="D218" s="104">
        <f>IF(ISERROR(HLOOKUP(J218,$Q$73:$W$74,2)),0,HLOOKUP(J218,$Q$73:$W$74,2))</f>
        <v>0</v>
      </c>
      <c r="E218" s="104">
        <f>IF(ISERROR(HLOOKUP(K218,$Q$73:$W$74,2)),0,HLOOKUP(K218,$Q$73:$W$74,2))</f>
        <v>0</v>
      </c>
      <c r="F218" s="104">
        <f>IF(ISERROR(HLOOKUP(L218,$Q$73:$W$74,2)),0,HLOOKUP(L218,$Q$73:$W$74,2))</f>
        <v>0</v>
      </c>
      <c r="G218" s="396">
        <f>SUM($F$27:$F$33)</f>
        <v>0</v>
      </c>
      <c r="H218" s="103">
        <f>SUM($F$27:$F$33)+$J$51</f>
        <v>0</v>
      </c>
      <c r="I218" s="103">
        <f>SUM($F$27:$F$33)+$J$51+$J$60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2" ht="13.5" hidden="1" x14ac:dyDescent="0.15">
      <c r="A219" s="259">
        <v>82</v>
      </c>
      <c r="B219" s="345" t="s">
        <v>671</v>
      </c>
      <c r="C219" s="21" t="s">
        <v>613</v>
      </c>
      <c r="D219" s="104">
        <f>IF(ISERROR(HLOOKUP(J219,$Q$42:$AA$43,2)),0,HLOOKUP(J219,$Q$42:$AA$43,2))</f>
        <v>0</v>
      </c>
      <c r="E219" s="104">
        <f>IF(ISERROR(HLOOKUP(K219,$Q$42:$AA$43,2)),0,HLOOKUP(K219,$Q$42:$AA$43,2))</f>
        <v>0</v>
      </c>
      <c r="F219" s="104">
        <f>IF(ISERROR(HLOOKUP(L219,$Q$42:$AA$43,2)),0,HLOOKUP(L219,$Q$42:$AA$43,2))</f>
        <v>0</v>
      </c>
      <c r="G219" s="396">
        <f>SUM($F$30:$F$32)</f>
        <v>0</v>
      </c>
      <c r="H219" s="103">
        <f>SUM($F$30:$F$32)+$J$51</f>
        <v>0</v>
      </c>
      <c r="I219" s="103">
        <f>SUM($F$30:$F$32)+$J$51+$J$60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2" ht="13.5" hidden="1" x14ac:dyDescent="0.15">
      <c r="A220" s="259">
        <v>83</v>
      </c>
      <c r="B220" s="345" t="s">
        <v>672</v>
      </c>
      <c r="C220" s="21"/>
      <c r="E220" s="40"/>
      <c r="J220" s="21">
        <f t="shared" si="22"/>
        <v>0</v>
      </c>
      <c r="K220" s="21">
        <f t="shared" si="23"/>
        <v>0</v>
      </c>
      <c r="L220" s="21">
        <f t="shared" si="24"/>
        <v>0</v>
      </c>
      <c r="M220" s="346" t="s">
        <v>662</v>
      </c>
      <c r="P220" s="44"/>
      <c r="Q220" s="44"/>
    </row>
    <row r="221" spans="1:32" ht="13.5" hidden="1" x14ac:dyDescent="0.15">
      <c r="A221" s="259">
        <v>84</v>
      </c>
      <c r="B221" s="108" t="s">
        <v>673</v>
      </c>
      <c r="C221" s="21" t="s">
        <v>613</v>
      </c>
      <c r="D221" s="104">
        <f>IF(ISERROR(HLOOKUP(J221,$Q$48:$AB$49,2)),0,HLOOKUP(J221,$Q$48:$AB$49,2))</f>
        <v>0</v>
      </c>
      <c r="E221" s="104">
        <f>IF(ISERROR(HLOOKUP(K221,$Q$48:$AB$49,2)),0,HLOOKUP(K221,$Q$48:$AB$49,2))</f>
        <v>0</v>
      </c>
      <c r="F221" s="104">
        <f>IF(ISERROR(HLOOKUP(L221,$Q$48:$AB$49,2)),0,HLOOKUP(L221,$Q$48:$AB$49,2))</f>
        <v>0</v>
      </c>
      <c r="G221" s="396">
        <f>SUM($F$30:$F$32)</f>
        <v>0</v>
      </c>
      <c r="H221" s="103">
        <f>SUM($F$30:$F$32)+$J$51</f>
        <v>0</v>
      </c>
      <c r="I221" s="103">
        <f>SUM($F$30:$F$32)+$J$51+$J$60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N221" s="104">
        <f>IF(ISERROR(HLOOKUP(L221,$Q$48:$AB$49,2)),0,HLOOKUP(L221,$Q$48:$AB$49,2))</f>
        <v>0</v>
      </c>
      <c r="P221" s="44"/>
      <c r="Q221" s="44"/>
    </row>
    <row r="222" spans="1:32" ht="13.5" hidden="1" x14ac:dyDescent="0.15">
      <c r="A222" s="259">
        <v>85</v>
      </c>
      <c r="B222" s="108" t="s">
        <v>674</v>
      </c>
      <c r="C222" s="21" t="s">
        <v>527</v>
      </c>
      <c r="D222" s="104">
        <f>IF(ISERROR(HLOOKUP(J222,$Q$35:$AY$36,2)),0,HLOOKUP(J222,$Q$35:$AY$36,2))</f>
        <v>0</v>
      </c>
      <c r="E222" s="104">
        <f>IF(ISERROR(HLOOKUP(K222,$Q$35:$AY$36,2)),0,HLOOKUP(K222,$Q$35:$AY$36,2))</f>
        <v>0</v>
      </c>
      <c r="F222" s="104">
        <f>IF(ISERROR(HLOOKUP(L222,$Q$35:$AY$36,2)),0,HLOOKUP(L222,$Q$35:$AY$36,2))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ref="J222:J229" si="26">ROUNDDOWN(G222/365,0)</f>
        <v>0</v>
      </c>
      <c r="K222" s="21">
        <f t="shared" ref="K222:K229" si="27">ROUNDDOWN(H222/365,0)</f>
        <v>0</v>
      </c>
      <c r="L222" s="21">
        <f t="shared" ref="L222:L229" si="28">ROUNDDOWN(I222/365,0)</f>
        <v>0</v>
      </c>
      <c r="M222" s="346" t="s">
        <v>662</v>
      </c>
      <c r="P222" s="44"/>
      <c r="Q222" s="44"/>
    </row>
    <row r="223" spans="1:32" ht="13.5" hidden="1" x14ac:dyDescent="0.15">
      <c r="A223" s="259">
        <v>86</v>
      </c>
      <c r="B223" s="108" t="s">
        <v>675</v>
      </c>
      <c r="C223" s="21" t="s">
        <v>613</v>
      </c>
      <c r="D223" s="104">
        <f>IF(ISERROR(HLOOKUP(J223,$Q$60:$AC$61,2)),0,HLOOKUP(J223,$Q$60:$AC$61,2))</f>
        <v>0</v>
      </c>
      <c r="E223" s="104">
        <f>IF(ISERROR(HLOOKUP(K223,$Q$60:$AC$61,2)),0,HLOOKUP(K223,$Q$60:$AC$61,2))</f>
        <v>0</v>
      </c>
      <c r="F223" s="104">
        <f>IF(ISERROR(HLOOKUP(L223,$Q$60:$AC$61,2)),0,HLOOKUP(L223,$Q$60:$AC$61,2))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si="26"/>
        <v>0</v>
      </c>
      <c r="K223" s="21">
        <f t="shared" si="27"/>
        <v>0</v>
      </c>
      <c r="L223" s="21">
        <f t="shared" si="28"/>
        <v>0</v>
      </c>
      <c r="M223" s="346" t="s">
        <v>662</v>
      </c>
      <c r="P223" s="44"/>
      <c r="Q223" s="44"/>
    </row>
    <row r="224" spans="1:32" ht="13.5" hidden="1" x14ac:dyDescent="0.15">
      <c r="A224" s="259">
        <v>87</v>
      </c>
      <c r="B224" s="108" t="s">
        <v>677</v>
      </c>
      <c r="C224" s="21"/>
      <c r="D224" s="21"/>
      <c r="J224" s="21">
        <f t="shared" si="26"/>
        <v>0</v>
      </c>
      <c r="K224" s="21">
        <f t="shared" si="27"/>
        <v>0</v>
      </c>
      <c r="L224" s="21">
        <f t="shared" si="28"/>
        <v>0</v>
      </c>
      <c r="M224" s="346" t="s">
        <v>662</v>
      </c>
      <c r="P224" s="44"/>
      <c r="Q224" s="44"/>
    </row>
    <row r="225" spans="1:17" ht="13.5" hidden="1" x14ac:dyDescent="0.15">
      <c r="A225" s="259">
        <v>88</v>
      </c>
      <c r="B225" s="108" t="s">
        <v>678</v>
      </c>
      <c r="C225" s="21" t="s">
        <v>613</v>
      </c>
      <c r="D225" s="104">
        <f>IF(ISERROR(HLOOKUP(J225,$Q$39:$AA$40,2)),0,HLOOKUP(J225,$Q$39:$AA$40,2))</f>
        <v>0</v>
      </c>
      <c r="E225" s="104">
        <f>IF(ISERROR(HLOOKUP(K225,$Q$39:$AA$40,2)),0,HLOOKUP(K225,$Q$39:$AA$40,2))</f>
        <v>0</v>
      </c>
      <c r="F225" s="104">
        <f>IF(ISERROR(HLOOKUP(L225,$Q$39:$AA$40,2)),0,HLOOKUP(L225,$Q$39:$AA$40,2))</f>
        <v>0</v>
      </c>
      <c r="G225" s="396">
        <f>SUM($F$27:$F$32)</f>
        <v>0</v>
      </c>
      <c r="H225" s="103">
        <f>SUM($F$27:$F$32)+$J$51</f>
        <v>0</v>
      </c>
      <c r="I225" s="103">
        <f>SUM($F$27:$F$32)+$J$51+$J$60</f>
        <v>0</v>
      </c>
      <c r="J225" s="21">
        <f t="shared" si="26"/>
        <v>0</v>
      </c>
      <c r="K225" s="21">
        <f t="shared" si="27"/>
        <v>0</v>
      </c>
      <c r="L225" s="21">
        <f t="shared" si="28"/>
        <v>0</v>
      </c>
      <c r="M225" s="346" t="s">
        <v>662</v>
      </c>
      <c r="P225" s="44"/>
      <c r="Q225" s="44"/>
    </row>
    <row r="226" spans="1:17" ht="13.5" hidden="1" x14ac:dyDescent="0.15">
      <c r="A226" s="259">
        <v>89</v>
      </c>
      <c r="B226" s="108" t="s">
        <v>679</v>
      </c>
      <c r="C226" s="21" t="s">
        <v>613</v>
      </c>
      <c r="D226" s="104">
        <f>IF(ISERROR(HLOOKUP(J226,$Q$48:$V$49,2)),0,HLOOKUP(J226,$Q$48:$V$49,2))</f>
        <v>0</v>
      </c>
      <c r="E226" s="104">
        <f>IF(ISERROR(HLOOKUP(K226,$Q$48:$V$49,2)),0,HLOOKUP(K226,$Q$48:$V$49,2))</f>
        <v>0</v>
      </c>
      <c r="F226" s="104">
        <f>IF(ISERROR(HLOOKUP(L226,$Q$48:$V$49,2)),0,HLOOKUP(L226,$Q$48:$V$49,2))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6"/>
        <v>0</v>
      </c>
      <c r="K226" s="21">
        <f t="shared" si="27"/>
        <v>0</v>
      </c>
      <c r="L226" s="21">
        <f t="shared" si="28"/>
        <v>0</v>
      </c>
      <c r="M226" s="346" t="s">
        <v>662</v>
      </c>
      <c r="P226" s="44"/>
      <c r="Q226" s="44"/>
    </row>
    <row r="227" spans="1:17" ht="13.5" hidden="1" x14ac:dyDescent="0.15">
      <c r="A227" s="259">
        <v>90</v>
      </c>
      <c r="B227" s="108" t="s">
        <v>680</v>
      </c>
      <c r="C227" s="21" t="s">
        <v>527</v>
      </c>
      <c r="D227" s="104">
        <f>IF(ISERROR(HLOOKUP(J227,$Q$26:$AY$27,2)),0,HLOOKUP(J227,$Q$26:$AY$27,2))</f>
        <v>0</v>
      </c>
      <c r="E227" s="104">
        <f>IF(ISERROR(HLOOKUP(K227,$Q$26:$AY$27,2)),0,HLOOKUP(K227,$Q$26:$AY$27,2))</f>
        <v>0</v>
      </c>
      <c r="F227" s="104">
        <f>IF(ISERROR(HLOOKUP(L227,$Q$26:$AY$27,2)),0,HLOOKUP(L227,$Q$26:$AY$27,2))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si="26"/>
        <v>0</v>
      </c>
      <c r="K227" s="21">
        <f t="shared" si="27"/>
        <v>0</v>
      </c>
      <c r="L227" s="21">
        <f t="shared" si="28"/>
        <v>0</v>
      </c>
      <c r="M227" s="346" t="s">
        <v>662</v>
      </c>
      <c r="P227" s="44"/>
      <c r="Q227" s="44"/>
    </row>
    <row r="228" spans="1:17" ht="13.5" hidden="1" x14ac:dyDescent="0.15">
      <c r="A228" s="259">
        <v>91</v>
      </c>
      <c r="B228" s="108" t="s">
        <v>681</v>
      </c>
      <c r="C228" s="21" t="s">
        <v>613</v>
      </c>
      <c r="D228" s="104">
        <f>IF(ISERROR(HLOOKUP(J228,$Q$42:$AA$43,2)),0,HLOOKUP(J228,$Q$42:$AA$43,2))</f>
        <v>0</v>
      </c>
      <c r="E228" s="104">
        <f>IF(ISERROR(HLOOKUP(K228,$Q$42:$AA$43,2)),0,HLOOKUP(K228,$Q$42:$AA$43,2))</f>
        <v>0</v>
      </c>
      <c r="F228" s="104">
        <f>IF(ISERROR(HLOOKUP(L228,$Q$42:$AA$43,2)),0,HLOOKUP(L228,$Q$42:$AA$43,2))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92</v>
      </c>
      <c r="B229" s="108" t="s">
        <v>682</v>
      </c>
      <c r="C229" s="21" t="s">
        <v>613</v>
      </c>
      <c r="D229" s="104">
        <f>IF(ISERROR(HLOOKUP(J229,$Q$42:$Z$43,2)),0,HLOOKUP(J229,$Q$42:$Z$43,2))</f>
        <v>0</v>
      </c>
      <c r="E229" s="104">
        <f>IF(ISERROR(HLOOKUP(K229,$Q$42:$Z$43,2)),0,HLOOKUP(K229,$Q$42:$Z$43,2))</f>
        <v>0</v>
      </c>
      <c r="F229" s="104">
        <f>IF(ISERROR(HLOOKUP(L229,$Q$42:$Z$43,2)),0,HLOOKUP(L229,$Q$42:$Z$43,2))</f>
        <v>0</v>
      </c>
      <c r="G229" s="396">
        <f>SUM($F$30:$F$32)</f>
        <v>0</v>
      </c>
      <c r="H229" s="103">
        <f>SUM($F$30:$F$32)+$J$51</f>
        <v>0</v>
      </c>
      <c r="I229" s="103">
        <f>SUM($F$30:$F$32)+$J$51+$J$60</f>
        <v>0</v>
      </c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B230" s="10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357"/>
      <c r="N230" s="54"/>
      <c r="O230" s="258"/>
      <c r="P230" s="44"/>
      <c r="Q230" s="44"/>
    </row>
    <row r="231" spans="1:17" ht="13.5" hidden="1" x14ac:dyDescent="0.15">
      <c r="B231" s="248" t="s">
        <v>720</v>
      </c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258"/>
    </row>
    <row r="232" spans="1:17" ht="13.5" hidden="1" x14ac:dyDescent="0.15">
      <c r="A232" s="259">
        <v>1</v>
      </c>
      <c r="B232" s="51" t="s">
        <v>550</v>
      </c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258"/>
    </row>
    <row r="233" spans="1:17" ht="13.5" hidden="1" x14ac:dyDescent="0.15">
      <c r="A233" s="259" t="s">
        <v>721</v>
      </c>
      <c r="B233" s="51" t="s">
        <v>615</v>
      </c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58"/>
    </row>
    <row r="234" spans="1:17" ht="13.5" hidden="1" x14ac:dyDescent="0.15">
      <c r="A234" s="259">
        <v>2</v>
      </c>
      <c r="B234" s="338" t="s">
        <v>617</v>
      </c>
      <c r="C234" s="109"/>
      <c r="D234" s="109"/>
      <c r="E234" s="110"/>
      <c r="F234" s="358"/>
      <c r="G234" s="111"/>
      <c r="H234" s="111"/>
      <c r="I234" s="111"/>
      <c r="J234" s="46"/>
      <c r="K234" s="46"/>
      <c r="L234" s="46"/>
      <c r="M234" s="46"/>
      <c r="N234" s="9"/>
      <c r="O234" s="258"/>
    </row>
    <row r="235" spans="1:17" ht="13.5" hidden="1" x14ac:dyDescent="0.15">
      <c r="A235" s="259">
        <v>3</v>
      </c>
      <c r="B235" s="345" t="s">
        <v>645</v>
      </c>
      <c r="C235" s="104"/>
      <c r="D235" s="105"/>
      <c r="E235" s="106"/>
      <c r="F235" s="47"/>
      <c r="G235" s="47"/>
      <c r="H235" s="47"/>
      <c r="I235" s="47"/>
      <c r="J235" s="46"/>
      <c r="K235" s="46"/>
      <c r="L235" s="46"/>
      <c r="M235" s="46"/>
      <c r="N235" s="46"/>
      <c r="O235" s="258"/>
    </row>
    <row r="236" spans="1:17" ht="13.5" hidden="1" x14ac:dyDescent="0.15">
      <c r="A236" s="259">
        <v>4</v>
      </c>
      <c r="B236" s="338" t="s">
        <v>618</v>
      </c>
      <c r="C236" s="104"/>
      <c r="D236" s="104"/>
      <c r="E236" s="104"/>
      <c r="F236" s="112"/>
      <c r="G236" s="112"/>
      <c r="H236" s="112"/>
      <c r="I236" s="112"/>
      <c r="J236" s="46"/>
      <c r="K236" s="46"/>
      <c r="L236" s="46"/>
      <c r="M236" s="46"/>
      <c r="N236" s="46"/>
      <c r="O236" s="258"/>
    </row>
    <row r="237" spans="1:17" ht="13.5" hidden="1" x14ac:dyDescent="0.15">
      <c r="A237" s="259">
        <v>5</v>
      </c>
      <c r="B237" s="345" t="s">
        <v>646</v>
      </c>
      <c r="C237" s="104"/>
      <c r="D237" s="104"/>
      <c r="E237" s="104"/>
      <c r="F237" s="112"/>
      <c r="G237" s="112"/>
      <c r="H237" s="112"/>
      <c r="I237" s="112"/>
      <c r="J237" s="46"/>
      <c r="K237" s="46"/>
      <c r="L237" s="46"/>
      <c r="M237" s="46"/>
      <c r="N237" s="46"/>
      <c r="O237" s="258"/>
    </row>
    <row r="238" spans="1:17" ht="13.5" hidden="1" x14ac:dyDescent="0.15">
      <c r="A238" s="259">
        <v>6</v>
      </c>
      <c r="B238" s="345" t="s">
        <v>647</v>
      </c>
      <c r="C238" s="104"/>
      <c r="D238" s="104"/>
      <c r="E238" s="104"/>
      <c r="F238" s="112"/>
      <c r="G238" s="112"/>
      <c r="H238" s="112"/>
      <c r="I238" s="112"/>
      <c r="J238" s="46"/>
      <c r="K238" s="46"/>
      <c r="L238" s="46"/>
      <c r="M238" s="46"/>
      <c r="N238" s="46"/>
      <c r="O238" s="258"/>
    </row>
    <row r="239" spans="1:17" ht="13.5" hidden="1" x14ac:dyDescent="0.15">
      <c r="A239" s="259">
        <v>7</v>
      </c>
      <c r="B239" s="51" t="s">
        <v>551</v>
      </c>
      <c r="C239" s="104"/>
      <c r="D239" s="104"/>
      <c r="E239" s="104"/>
      <c r="F239" s="112"/>
      <c r="G239" s="112"/>
      <c r="H239" s="112"/>
      <c r="I239" s="112"/>
      <c r="J239" s="46"/>
      <c r="K239" s="46"/>
      <c r="L239" s="46"/>
      <c r="M239" s="46"/>
      <c r="N239" s="46"/>
      <c r="O239" s="258"/>
    </row>
    <row r="240" spans="1:17" ht="13.5" hidden="1" x14ac:dyDescent="0.15">
      <c r="A240" s="259">
        <v>8</v>
      </c>
      <c r="B240" s="51" t="s">
        <v>552</v>
      </c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9</v>
      </c>
      <c r="B241" s="51" t="s">
        <v>553</v>
      </c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58"/>
      <c r="AH241" s="69"/>
      <c r="AI241" s="69"/>
      <c r="AJ241" s="69"/>
      <c r="AK241" s="69"/>
      <c r="AL241" s="69"/>
      <c r="AM241" s="69"/>
      <c r="AN241" s="69"/>
    </row>
    <row r="242" spans="1:40" ht="13.5" hidden="1" x14ac:dyDescent="0.15">
      <c r="A242" s="259" t="s">
        <v>722</v>
      </c>
      <c r="B242" s="51" t="s">
        <v>616</v>
      </c>
      <c r="C242" s="109"/>
      <c r="D242" s="109"/>
      <c r="E242" s="110"/>
      <c r="F242" s="358"/>
      <c r="G242" s="111"/>
      <c r="H242" s="111"/>
      <c r="I242" s="111"/>
      <c r="J242" s="46"/>
      <c r="K242" s="46"/>
      <c r="L242" s="46"/>
      <c r="M242" s="46"/>
      <c r="N242" s="9"/>
      <c r="O242" s="258"/>
      <c r="AH242" s="69"/>
      <c r="AI242" s="69"/>
      <c r="AJ242" s="69"/>
      <c r="AK242" s="69"/>
      <c r="AL242" s="69"/>
      <c r="AM242" s="69"/>
      <c r="AN242" s="69"/>
    </row>
    <row r="243" spans="1:40" ht="13.5" hidden="1" x14ac:dyDescent="0.15">
      <c r="A243" s="259">
        <v>10</v>
      </c>
      <c r="B243" s="338" t="s">
        <v>619</v>
      </c>
      <c r="C243" s="104"/>
      <c r="D243" s="105"/>
      <c r="E243" s="106"/>
      <c r="F243" s="46"/>
      <c r="G243" s="46"/>
      <c r="H243" s="46"/>
      <c r="I243" s="46"/>
      <c r="J243" s="46"/>
      <c r="K243" s="46"/>
      <c r="L243" s="46"/>
      <c r="M243" s="46"/>
      <c r="N243" s="46"/>
      <c r="O243" s="258"/>
      <c r="AH243" s="69"/>
      <c r="AI243" s="69"/>
      <c r="AJ243" s="69"/>
      <c r="AK243" s="69"/>
      <c r="AL243" s="69"/>
      <c r="AM243" s="69"/>
      <c r="AN243" s="69"/>
    </row>
    <row r="244" spans="1:40" ht="13.5" hidden="1" x14ac:dyDescent="0.15">
      <c r="A244" s="259">
        <v>11</v>
      </c>
      <c r="B244" s="345" t="s">
        <v>648</v>
      </c>
      <c r="C244" s="104"/>
      <c r="D244" s="105"/>
      <c r="E244" s="106"/>
      <c r="F244" s="47"/>
      <c r="G244" s="47"/>
      <c r="H244" s="47"/>
      <c r="I244" s="47"/>
      <c r="J244" s="46"/>
      <c r="K244" s="46"/>
      <c r="L244" s="46"/>
      <c r="M244" s="46"/>
      <c r="N244" s="46"/>
      <c r="O244" s="258"/>
      <c r="AH244" s="69"/>
      <c r="AI244" s="69"/>
      <c r="AJ244" s="69"/>
      <c r="AK244" s="69"/>
      <c r="AL244" s="69"/>
      <c r="AM244" s="69"/>
      <c r="AN244" s="69"/>
    </row>
    <row r="245" spans="1:40" ht="13.5" hidden="1" x14ac:dyDescent="0.15">
      <c r="A245" s="259">
        <v>12</v>
      </c>
      <c r="B245" s="345" t="s">
        <v>649</v>
      </c>
      <c r="C245" s="104"/>
      <c r="D245" s="105"/>
      <c r="E245" s="106"/>
      <c r="F245" s="47"/>
      <c r="G245" s="111"/>
      <c r="H245" s="47"/>
      <c r="I245" s="47"/>
      <c r="J245" s="46"/>
      <c r="K245" s="46"/>
      <c r="L245" s="46"/>
      <c r="M245" s="46"/>
      <c r="N245" s="46"/>
      <c r="O245" s="258"/>
      <c r="AH245" s="69"/>
      <c r="AI245" s="69"/>
      <c r="AJ245" s="69"/>
      <c r="AK245" s="69"/>
      <c r="AL245" s="69"/>
      <c r="AM245" s="69"/>
      <c r="AN245" s="69"/>
    </row>
    <row r="246" spans="1:40" ht="13.5" hidden="1" x14ac:dyDescent="0.15">
      <c r="A246" s="259">
        <v>13</v>
      </c>
      <c r="B246" s="338" t="s">
        <v>620</v>
      </c>
      <c r="C246" s="104"/>
      <c r="D246" s="105"/>
      <c r="E246" s="106"/>
      <c r="F246" s="47"/>
      <c r="G246" s="111"/>
      <c r="H246" s="47"/>
      <c r="I246" s="47"/>
      <c r="J246" s="46"/>
      <c r="K246" s="46"/>
      <c r="L246" s="46"/>
      <c r="M246" s="46"/>
      <c r="N246" s="46"/>
      <c r="O246" s="258"/>
    </row>
    <row r="247" spans="1:40" ht="13.5" hidden="1" x14ac:dyDescent="0.15">
      <c r="A247" s="259">
        <v>14</v>
      </c>
      <c r="B247" s="345" t="s">
        <v>650</v>
      </c>
      <c r="C247" s="104"/>
      <c r="D247" s="105"/>
      <c r="E247" s="106"/>
      <c r="F247" s="47"/>
      <c r="G247" s="111"/>
      <c r="H247" s="47"/>
      <c r="I247" s="47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15</v>
      </c>
      <c r="B248" s="345" t="s">
        <v>651</v>
      </c>
      <c r="C248" s="104"/>
      <c r="D248" s="105"/>
      <c r="E248" s="106"/>
      <c r="F248" s="47"/>
      <c r="G248" s="111"/>
      <c r="H248" s="47"/>
      <c r="I248" s="47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16</v>
      </c>
      <c r="B249" s="339" t="s">
        <v>621</v>
      </c>
      <c r="C249" s="104"/>
      <c r="D249" s="105"/>
      <c r="E249" s="106"/>
      <c r="F249" s="112"/>
      <c r="G249" s="112"/>
      <c r="H249" s="112"/>
      <c r="I249" s="112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17</v>
      </c>
      <c r="B250" s="345" t="s">
        <v>652</v>
      </c>
      <c r="C250" s="104"/>
      <c r="D250" s="105"/>
      <c r="E250" s="106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18</v>
      </c>
      <c r="B251" s="345" t="s">
        <v>653</v>
      </c>
      <c r="C251" s="104"/>
      <c r="D251" s="104"/>
      <c r="E251" s="104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19</v>
      </c>
      <c r="B252" s="340" t="s">
        <v>622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20</v>
      </c>
      <c r="B253" s="345" t="s">
        <v>654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21</v>
      </c>
      <c r="B254" s="340" t="s">
        <v>623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22</v>
      </c>
      <c r="B255" s="345" t="s">
        <v>655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23</v>
      </c>
      <c r="B256" s="340" t="s">
        <v>624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24</v>
      </c>
      <c r="B257" s="340" t="s">
        <v>625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25</v>
      </c>
      <c r="B258" s="340" t="s">
        <v>626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26</v>
      </c>
      <c r="B259" s="51" t="s">
        <v>556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27</v>
      </c>
      <c r="B260" s="107" t="s">
        <v>549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28</v>
      </c>
      <c r="B261" s="340" t="s">
        <v>627</v>
      </c>
      <c r="C261" s="359"/>
      <c r="D261" s="111"/>
      <c r="E261" s="360"/>
      <c r="F261" s="112"/>
      <c r="G261" s="112"/>
      <c r="H261" s="112"/>
      <c r="I261" s="112"/>
      <c r="J261" s="46"/>
      <c r="K261" s="46"/>
      <c r="L261" s="46"/>
      <c r="M261" s="46"/>
      <c r="N261" s="361"/>
      <c r="O261" s="258"/>
    </row>
    <row r="262" spans="1:15" ht="13.5" hidden="1" x14ac:dyDescent="0.15">
      <c r="A262" s="259">
        <v>29</v>
      </c>
      <c r="B262" s="345" t="s">
        <v>663</v>
      </c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58"/>
    </row>
    <row r="263" spans="1:15" ht="13.5" hidden="1" x14ac:dyDescent="0.15">
      <c r="A263" s="259">
        <v>30</v>
      </c>
      <c r="B263" s="340" t="s">
        <v>628</v>
      </c>
      <c r="C263" s="109"/>
      <c r="D263" s="109"/>
      <c r="E263" s="110"/>
      <c r="F263" s="358"/>
      <c r="G263" s="111"/>
      <c r="H263" s="111"/>
      <c r="I263" s="111"/>
      <c r="J263" s="46"/>
      <c r="K263" s="46"/>
      <c r="L263" s="46"/>
      <c r="M263" s="46"/>
      <c r="N263" s="9"/>
      <c r="O263" s="258"/>
    </row>
    <row r="264" spans="1:15" ht="13.5" hidden="1" x14ac:dyDescent="0.15">
      <c r="A264" s="259">
        <v>31</v>
      </c>
      <c r="B264" s="51" t="s">
        <v>557</v>
      </c>
      <c r="C264" s="104"/>
      <c r="D264" s="105"/>
      <c r="E264" s="106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 t="s">
        <v>723</v>
      </c>
      <c r="B265" s="51" t="s">
        <v>614</v>
      </c>
      <c r="C265" s="104"/>
      <c r="D265" s="105"/>
      <c r="E265" s="106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32</v>
      </c>
      <c r="B266" s="345" t="s">
        <v>664</v>
      </c>
      <c r="C266" s="104"/>
      <c r="D266" s="105"/>
      <c r="E266" s="106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33</v>
      </c>
      <c r="B267" s="340" t="s">
        <v>629</v>
      </c>
      <c r="C267" s="104"/>
      <c r="D267" s="105"/>
      <c r="E267" s="106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34</v>
      </c>
      <c r="B268" s="345" t="s">
        <v>665</v>
      </c>
      <c r="C268" s="104"/>
      <c r="D268" s="105"/>
      <c r="E268" s="106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35</v>
      </c>
      <c r="B269" s="51" t="s">
        <v>559</v>
      </c>
      <c r="C269" s="104"/>
      <c r="D269" s="104"/>
      <c r="E269" s="104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36</v>
      </c>
      <c r="B270" s="51" t="s">
        <v>560</v>
      </c>
      <c r="C270" s="104"/>
      <c r="D270" s="104"/>
      <c r="E270" s="104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37</v>
      </c>
      <c r="B271" s="345" t="s">
        <v>689</v>
      </c>
      <c r="C271" s="104"/>
      <c r="D271" s="104"/>
      <c r="E271" s="104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38</v>
      </c>
      <c r="B272" s="345" t="s">
        <v>666</v>
      </c>
      <c r="C272" s="104"/>
      <c r="D272" s="104"/>
      <c r="E272" s="104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39</v>
      </c>
      <c r="B273" s="340" t="s">
        <v>630</v>
      </c>
      <c r="C273" s="104"/>
      <c r="D273" s="104"/>
      <c r="E273" s="104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40</v>
      </c>
      <c r="B274" s="340" t="s">
        <v>631</v>
      </c>
      <c r="C274" s="9"/>
      <c r="D274" s="9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41</v>
      </c>
      <c r="B275" s="51" t="s">
        <v>561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42</v>
      </c>
      <c r="B276" s="345" t="s">
        <v>667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43</v>
      </c>
      <c r="B277" s="51" t="s">
        <v>562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44</v>
      </c>
      <c r="B278" s="51" t="s">
        <v>563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45</v>
      </c>
      <c r="B279" s="51" t="s">
        <v>686</v>
      </c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46</v>
      </c>
      <c r="B280" s="345" t="s">
        <v>668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47</v>
      </c>
      <c r="B281" s="345" t="s">
        <v>669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 t="s">
        <v>724</v>
      </c>
      <c r="B282" s="345" t="s">
        <v>701</v>
      </c>
      <c r="C282" s="9"/>
      <c r="D282" s="9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48</v>
      </c>
      <c r="B283" s="51" t="s">
        <v>564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49</v>
      </c>
      <c r="B284" s="345" t="s">
        <v>670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50</v>
      </c>
      <c r="B285" s="340" t="s">
        <v>632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51</v>
      </c>
      <c r="B286" s="51" t="s">
        <v>565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52</v>
      </c>
      <c r="B287" s="51" t="s">
        <v>566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53</v>
      </c>
      <c r="B288" s="51" t="s">
        <v>567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54</v>
      </c>
      <c r="B289" s="51" t="s">
        <v>568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55</v>
      </c>
      <c r="B290" s="51" t="s">
        <v>569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56</v>
      </c>
      <c r="B291" s="340" t="s">
        <v>633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57</v>
      </c>
      <c r="B292" s="51" t="s">
        <v>570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58</v>
      </c>
      <c r="B293" s="51" t="s">
        <v>571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59</v>
      </c>
      <c r="B294" s="345" t="s">
        <v>671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60</v>
      </c>
      <c r="B295" s="51" t="s">
        <v>572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61</v>
      </c>
      <c r="B296" s="51" t="s">
        <v>573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62</v>
      </c>
      <c r="B297" s="51" t="s">
        <v>574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63</v>
      </c>
      <c r="B298" s="345" t="s">
        <v>672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64</v>
      </c>
      <c r="B299" s="51" t="s">
        <v>580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65</v>
      </c>
      <c r="B300" s="51" t="s">
        <v>583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258"/>
    </row>
    <row r="301" spans="1:15" ht="13.5" hidden="1" x14ac:dyDescent="0.15">
      <c r="A301" s="259">
        <v>66</v>
      </c>
      <c r="B301" s="340" t="s">
        <v>634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67</v>
      </c>
      <c r="B302" s="51" t="s">
        <v>581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 t="s">
        <v>725</v>
      </c>
      <c r="B303" s="51" t="s">
        <v>684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>
        <v>68</v>
      </c>
      <c r="B304" s="108" t="s">
        <v>673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69</v>
      </c>
      <c r="B305" s="340" t="s">
        <v>635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70</v>
      </c>
      <c r="B306" s="108" t="s">
        <v>674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71</v>
      </c>
      <c r="B307" s="108" t="s">
        <v>675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72</v>
      </c>
      <c r="B308" s="108" t="s">
        <v>677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73</v>
      </c>
      <c r="B309" s="340" t="s">
        <v>636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74</v>
      </c>
      <c r="B310" s="108" t="s">
        <v>678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75</v>
      </c>
      <c r="B311" s="340" t="s">
        <v>637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76</v>
      </c>
      <c r="B312" s="108" t="s">
        <v>679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77</v>
      </c>
      <c r="B313" s="340" t="s">
        <v>638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78</v>
      </c>
      <c r="B314" s="108" t="s">
        <v>680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79</v>
      </c>
      <c r="B315" s="340" t="s">
        <v>639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80</v>
      </c>
      <c r="B316" s="340" t="s">
        <v>640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81</v>
      </c>
      <c r="B317" s="108" t="s">
        <v>681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82</v>
      </c>
      <c r="B318" s="51" t="s">
        <v>584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83</v>
      </c>
      <c r="B319" s="340" t="s">
        <v>683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84</v>
      </c>
      <c r="B320" s="340" t="s">
        <v>699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85</v>
      </c>
      <c r="B321" s="340" t="s">
        <v>641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86</v>
      </c>
      <c r="B322" s="340" t="s">
        <v>642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87</v>
      </c>
      <c r="B323" s="340" t="s">
        <v>643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88</v>
      </c>
      <c r="B324" s="340" t="s">
        <v>644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89</v>
      </c>
      <c r="B325" s="51" t="s">
        <v>585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90</v>
      </c>
      <c r="B326" s="108" t="s">
        <v>682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91</v>
      </c>
      <c r="B327" s="51" t="s">
        <v>586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 t="s">
        <v>726</v>
      </c>
      <c r="B328" s="51" t="s">
        <v>685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92</v>
      </c>
      <c r="B329" s="51" t="s">
        <v>588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B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101:E101"/>
    <mergeCell ref="B130:N130"/>
    <mergeCell ref="C123:E123"/>
    <mergeCell ref="F123:H123"/>
    <mergeCell ref="K110:S110"/>
    <mergeCell ref="B110:J110"/>
    <mergeCell ref="I123:J123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J100">
    <cfRule type="cellIs" dxfId="181" priority="1" stopIfTrue="1" operator="equal">
      <formula>"ATENDE TEMPO NO CARGO"</formula>
    </cfRule>
    <cfRule type="cellIs" dxfId="180" priority="2" stopIfTrue="1" operator="equal">
      <formula>"NÃO CUMPRE TEMPO NO CARGO"</formula>
    </cfRule>
  </conditionalFormatting>
  <conditionalFormatting sqref="M243:M261 M233:M239 M264:M287 C221:C223 C132:C177 N176:N177 C179:C198 C218:C219 C225:C229 C200:C216">
    <cfRule type="cellIs" dxfId="179" priority="3" stopIfTrue="1" operator="equal">
      <formula>"ANUÊNIO"</formula>
    </cfRule>
    <cfRule type="cellIs" dxfId="178" priority="4" stopIfTrue="1" operator="equal">
      <formula>"TRIÊNIO"</formula>
    </cfRule>
    <cfRule type="cellIs" dxfId="177" priority="5" stopIfTrue="1" operator="equal">
      <formula>"QUINQUÊNIO"</formula>
    </cfRule>
  </conditionalFormatting>
  <conditionalFormatting sqref="F72:F74">
    <cfRule type="cellIs" dxfId="176" priority="6" stopIfTrue="1" operator="equal">
      <formula>"NADA A CUMPRIR"</formula>
    </cfRule>
    <cfRule type="cellIs" dxfId="175" priority="7" stopIfTrue="1" operator="equal">
      <formula>"NÃO CABE"</formula>
    </cfRule>
    <cfRule type="cellIs" dxfId="174" priority="8" stopIfTrue="1" operator="greaterThanOrEqual">
      <formula>0</formula>
    </cfRule>
  </conditionalFormatting>
  <conditionalFormatting sqref="E71">
    <cfRule type="cellIs" dxfId="173" priority="9" stopIfTrue="1" operator="equal">
      <formula>"NÃO ATENDE LIMITE MÍNIMO DE IDADE"</formula>
    </cfRule>
    <cfRule type="cellIs" dxfId="172" priority="10" stopIfTrue="1" operator="equal">
      <formula>"REANALISAR FUNDAMENTAÇÃO E/OU MODALIDADE"</formula>
    </cfRule>
    <cfRule type="cellIs" dxfId="171" priority="11" stopIfTrue="1" operator="equal">
      <formula>"ATENDE LIMITE MÍNIMO DE IDADE"</formula>
    </cfRule>
  </conditionalFormatting>
  <conditionalFormatting sqref="N69 N71">
    <cfRule type="cellIs" dxfId="170" priority="12" stopIfTrue="1" operator="equal">
      <formula>0</formula>
    </cfRule>
  </conditionalFormatting>
  <conditionalFormatting sqref="K8">
    <cfRule type="expression" dxfId="169" priority="13" stopIfTrue="1">
      <formula>"SE($N$8=0)"</formula>
    </cfRule>
  </conditionalFormatting>
  <conditionalFormatting sqref="C73">
    <cfRule type="cellIs" dxfId="168" priority="14" stopIfTrue="1" operator="equal">
      <formula>"FALTA DATA"</formula>
    </cfRule>
  </conditionalFormatting>
  <conditionalFormatting sqref="M74">
    <cfRule type="cellIs" dxfId="167" priority="15" stopIfTrue="1" operator="equal">
      <formula>"ATENDE"</formula>
    </cfRule>
    <cfRule type="cellIs" dxfId="166" priority="16" stopIfTrue="1" operator="equal">
      <formula>"NÃO ATENDE"</formula>
    </cfRule>
    <cfRule type="cellIs" dxfId="165" priority="17" stopIfTrue="1" operator="equal">
      <formula>"NÃO CABE"</formula>
    </cfRule>
  </conditionalFormatting>
  <conditionalFormatting sqref="M73">
    <cfRule type="cellIs" dxfId="164" priority="18" stopIfTrue="1" operator="equal">
      <formula>"ATENDE"</formula>
    </cfRule>
    <cfRule type="cellIs" dxfId="163" priority="19" stopIfTrue="1" operator="equal">
      <formula>"NÃO ATENDE"</formula>
    </cfRule>
    <cfRule type="cellIs" dxfId="162" priority="20" stopIfTrue="1" operator="equal">
      <formula>"NÃO CABE"</formula>
    </cfRule>
  </conditionalFormatting>
  <conditionalFormatting sqref="M75 L77:M77 L78:L86">
    <cfRule type="cellIs" dxfId="161" priority="21" stopIfTrue="1" operator="equal">
      <formula>"ATENDE"</formula>
    </cfRule>
    <cfRule type="cellIs" dxfId="160" priority="22" stopIfTrue="1" operator="equal">
      <formula>"NÃO ATENDE"</formula>
    </cfRule>
    <cfRule type="cellIs" dxfId="159" priority="23" stopIfTrue="1" operator="equal">
      <formula>"OK"</formula>
    </cfRule>
  </conditionalFormatting>
  <conditionalFormatting sqref="K42">
    <cfRule type="expression" dxfId="158" priority="24" stopIfTrue="1">
      <formula>$E$42&lt;=0</formula>
    </cfRule>
  </conditionalFormatting>
  <conditionalFormatting sqref="M42">
    <cfRule type="expression" dxfId="157" priority="25" stopIfTrue="1">
      <formula>$E$42&lt;=0</formula>
    </cfRule>
  </conditionalFormatting>
  <conditionalFormatting sqref="O70 I67">
    <cfRule type="cellIs" dxfId="156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E2:I2" xr:uid="{00000000-0002-0000-0F00-000000000000}">
      <formula1>$B$90:$B$98</formula1>
    </dataValidation>
    <dataValidation type="list" allowBlank="1" showInputMessage="1" showErrorMessage="1" sqref="K2:N2" xr:uid="{00000000-0002-0000-0F00-000001000000}">
      <formula1>$O$2:$O$8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L825"/>
  <sheetViews>
    <sheetView showGridLines="0" zoomScale="75" zoomScaleNormal="75" workbookViewId="0" xr3:uid="{11A3ACCB-1F19-5AC9-A611-4158731A345D}">
      <selection activeCell="O9" sqref="O9"/>
    </sheetView>
  </sheetViews>
  <sheetFormatPr defaultColWidth="0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0" style="21" hidden="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484</v>
      </c>
      <c r="F2" s="1850"/>
      <c r="G2" s="1850"/>
      <c r="H2" s="1850"/>
      <c r="I2" s="1850"/>
      <c r="J2" s="652" t="s">
        <v>462</v>
      </c>
      <c r="K2" s="1939" t="s">
        <v>464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IF(OR($E$2=$B$91,$E$2=$B$92,E2=B93),IF($M$13&gt;=5,"ATENDE","NÃO CUMPRE"),"NÃO CABE")</f>
        <v>NÃO CABE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IF(OR($E$2=$B$91,$E$2=$B$92,E2=B93),IF($M$15&gt;=10,"ATENDE","NÃO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54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54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745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CRÍTICA_IGP1!E32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IF(E2=B99,IF(D12="X",IF(G10="X",ROUNDDOWN(SUM(F26:F34)*0.2,0),ROUNDDOWN(SUM(F26:F34)*0.17,0)),0),0)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IF(N8&gt;=36145,0,IF(AND(N8&lt;36145,F38&lt;&gt;0),SUM(F26:F35),0))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IF(E41&gt;0,IF(E2=B91,E41,IF(E2=B92,E41,IF(E2=B98,E41,))),0)</f>
        <v>0</v>
      </c>
      <c r="D41" s="178">
        <f>IF(E41&gt;0,IF(K2=O5,IF(E2=B99,E41,0)),0)</f>
        <v>12775</v>
      </c>
      <c r="E41" s="179">
        <f>IF($E$2=B98,IF($G$10="X",(25*365)-$F$37,(30*365)-$F$37),IF($G$10="X",(30*365)-$F$37,(35*365)-$F$37))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12775</v>
      </c>
      <c r="F42" s="45" t="s">
        <v>333</v>
      </c>
      <c r="G42" s="150"/>
      <c r="H42" s="184" t="str">
        <f>IF(E42&gt;0,IF(K2=O4,"HÁ PEDÁGIO A CUMPRIR",IF(K2=O5,IF(E2=B99,"HÁ PEDÁGIO A CUMPRIR",E71))),"NÃO HÁ PEDÁGIO A CUMPRIR")</f>
        <v>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IF(E42&gt;0,IF(E2=B98,ROUNDUP(E42*0.4,0),ROUNDUP(E42*0.2,0)),0)</f>
        <v>2555</v>
      </c>
      <c r="F43" s="45"/>
      <c r="G43" s="150"/>
      <c r="H43" s="186">
        <f>ROUNDDOWN(E43/365,0)</f>
        <v>7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15330</v>
      </c>
      <c r="F44" s="159"/>
      <c r="G44" s="150"/>
      <c r="H44" s="186">
        <f>ROUNDDOWN(E44/365,0)</f>
        <v>42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IF(N8&gt;=36145,0,IF(F46&lt;&gt;0,F46,IF(K2=O2,0,IF(K2=O3,A42,IF(K2=O4,A43,A44)))))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234"/>
      <c r="C46" s="1066"/>
      <c r="D46" s="1262"/>
      <c r="F46" s="1257">
        <f>SUM(F47:F50)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CRÍTICA_IGP1!E50</f>
        <v>25567</v>
      </c>
      <c r="F50" s="600">
        <f>IF(C50=0,0,IF(E50=0,0,E50-C50+1))-N50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1265"/>
      <c r="C58" s="1066" t="str">
        <f>IF(C54&gt;0,C54,IF(C55&gt;0,C55,IF(C56&gt;0,C56,IF(C57&gt;0,C57,"REVER"))))</f>
        <v>REVER</v>
      </c>
      <c r="D58" s="387"/>
      <c r="E58" s="1210" t="str">
        <f>IF(E57&gt;0,E57,IF(E56&gt;0,E56,IF(E55&gt;0,E55,IF(E54&gt;0,E54,"REVER"))))</f>
        <v>REVER</v>
      </c>
      <c r="F58" s="389"/>
      <c r="G58" s="385"/>
      <c r="H58" s="385"/>
      <c r="I58" s="389"/>
      <c r="J58" s="391"/>
      <c r="K58" s="1266"/>
      <c r="L58" s="74"/>
      <c r="M58" s="1267"/>
      <c r="N58" s="7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IF(N8&gt;=36145,0,IF(C59&gt;=Q12,A52,0))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960">
        <f>IF(E2=B93,"NÃO CABE",IF(E2=B95,"NÃO CABE",IF(E2=B96,"NÃO CABE",IF(E2=B97,"NÃO CABE",IF(C65&gt;0,C65,"NADA A CUMPRIR")))))</f>
        <v>15330</v>
      </c>
      <c r="D64" s="961"/>
      <c r="E64" s="962"/>
      <c r="F64" s="200"/>
      <c r="G64" s="198"/>
      <c r="H64" s="201">
        <f>IF($C$64="NÃO CABE",0,IF($C$65&gt;0,ROUNDDOWN($C$65/365,0),0))</f>
        <v>42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1324">
        <f>IF(K2=O2,IF(E2=B98,R124,R123),IF(K2=O3,Q122,IF(K2=O6,Q122,IF(K2=O4,Q121,IF(K2=O5,Q121,IF($K$2=O7,Q125,0))))))</f>
        <v>15330</v>
      </c>
      <c r="D65" s="1325"/>
      <c r="E65" s="1326"/>
      <c r="F65" s="207"/>
      <c r="G65" s="205"/>
      <c r="H65" s="207">
        <f>IF($C$64="NÃO CABE",0,IF($C$65&gt;0,ROUNDDOWN($C$65/365,0),0))</f>
        <v>42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IF($O$10&lt;$D$132,VLOOKUP($E$6,$B$133:$Q$230,3,FALSE),IF($O$10&lt;$E$132,VLOOKUP($E$6,$B$133:$Q$230,4,FALSE),VLOOKUP($E$6,$B$133:$Q$230,5,FALSE)))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$91&lt;=$BC$89,VLOOKUP($C$8,$BB$92:$BH$131,2,FALSE),IF($BC$91&lt;=$BD$89,VLOOKUP($C$8,$BB$92:$BH$131,3,FALSE),IF($BC$91&lt;=$BE$89,VLOOKUP($C$8,$BB$92:$BH$131,4,FALSE),IF($BC$91&lt;=$BF$89,VLOOKUP($C$8,$BB$92:$BH$131,5,FALSE),IF($BC$91&lt;=$BG$89,VLOOKUP($C$8,$BB$92:$BH$131,6,FALSE),VLOOKUP($C$8,$BB$92:$BH$131,7,FALSE))))))</f>
        <v>#N/A</v>
      </c>
      <c r="F68" s="150"/>
      <c r="G68" s="150"/>
      <c r="H68" s="150"/>
      <c r="I68" s="221"/>
      <c r="J68" s="222" t="e">
        <f>IF($BC$88&lt;=$BC$89,VLOOKUP($C$8,$BB$92:$BH$131,2,FALSE),IF($BC$88&lt;=$BD$89,VLOOKUP($C$8,$BB$92:$BH$131,3,FALSE),IF($BC$88&lt;=$BE$89,VLOOKUP($C$8,$BB$92:$BH$131,4,FALSE),IF($BC$88&lt;=$BF$89,VLOOKUP($C$8,$BB$92:$BH$131,5,FALSE),IF($BC$88&lt;=$BG$89,VLOOKUP($C$8,$BB$92:$BH$131,6,FALSE),VLOOKUP($C$8,$BB$92:$BH$131,7,FALSE))))))</f>
        <v>#N/A</v>
      </c>
      <c r="K68" s="150" t="s">
        <v>448</v>
      </c>
      <c r="L68" s="153"/>
      <c r="M68" s="150"/>
      <c r="N68" s="223">
        <f>IF($K$2=$O$2,J103,IF($K$2=$O$3,J104,IF($K$2=$O$4,J105,IF($K$2=$O$5,J106,"NÃO CABE"))))</f>
        <v>0</v>
      </c>
      <c r="O68" s="254" t="str">
        <f>VLOOKUP($E$6,$B$133:$C$230,2,FALSE)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TRANSIÇÃO_ART. 2º_EC41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COM REDUTOR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IF(K2=O3,IF(M105&gt;=N105,N104,"NÃO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IF($E$2=$L$112,$O$112,IF($E$2=$L$113,$O$113,IF($E$2=$L$114,$O$114,IF($E$2=$L$115,$O$115,IF($E$2=$L$116,$O$116,$O$117)))))</f>
        <v>NÃO ATENDE LIMITE MÍNIMO DE 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>
        <f>C64</f>
        <v>15330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ATENDE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IF(OR(E6=B201,E6=B213,E6=B224),IF(L213&gt;=25,"FAZ JUS A 1/6 DA REMUNERAÇÃO",IF(L224&gt;=25,"FAZ JUS A 1/6 DA REMUNERAÇÃO",IF(L201&gt;=25,"FAZ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IF(ISERROR(HLOOKUP($J$178,$Q$73:$W$74,2)),0,HLOOKUP($J$178,$Q$73:$W$74,2))</f>
        <v>0</v>
      </c>
      <c r="T75" s="133" t="s">
        <v>451</v>
      </c>
      <c r="U75" s="132"/>
      <c r="V75" s="133"/>
      <c r="W75" s="132">
        <f>IF(ISERROR(HLOOKUP($K$178,$Q$73:$W$74,2)),0,HLOOKUP($K$178,$Q$73:$W$74,2))</f>
        <v>0</v>
      </c>
      <c r="X75" s="134" t="s">
        <v>507</v>
      </c>
      <c r="Y75" s="135"/>
      <c r="Z75" s="136"/>
      <c r="AA75" s="134"/>
      <c r="AB75" s="137">
        <f>IF(ISERROR(HLOOKUP($L$178,$Q$73:$W$74,2)),0,HLOOKUP($L$178,$Q$73:$W$74,2))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391" t="str">
        <f>IF($F$72="NADA A CUMPRIR","OK",IF($F$72="NÃO CABE","NÃO CABE","NÃO CUMPRE"))</f>
        <v>NÃO CUMPRE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7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7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7" si="2">IF(OR($M$73="NÃO CABE",$M$73="ATENDE"),"SIM","NÃO")</f>
        <v>NÃO</v>
      </c>
      <c r="K78" s="414" t="str">
        <f t="shared" ref="K78:K87" si="3">IF(OR($M$74="NÃO CABE",$M$74="ATENDE"),"SIM","NÃO")</f>
        <v>SIM</v>
      </c>
      <c r="L78" s="412"/>
      <c r="M78" s="414" t="str">
        <f t="shared" ref="M78:M87" si="4">IF(OR($M$75="ATENDE",$M$75="OK"),"SIM","NÃO")</f>
        <v>NÃO</v>
      </c>
      <c r="N78" s="414" t="str">
        <f t="shared" ref="N78:N86" si="5">IF(AND(C78="SIM",H78="SIM",J78="SIM",K78="SIM",M78="SIM"),"SIM","NÃO")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NÃO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NÃO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69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NÃO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NÃO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"/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NÃO</v>
      </c>
      <c r="I83" s="413" t="str">
        <f t="shared" si="6"/>
        <v>NÃO</v>
      </c>
      <c r="J83" s="414" t="str">
        <f t="shared" si="2"/>
        <v>NÃO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"/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6" t="s">
        <v>487</v>
      </c>
      <c r="C84" s="414" t="str">
        <f t="shared" si="0"/>
        <v>NÃO</v>
      </c>
      <c r="D84" s="415"/>
      <c r="E84" s="18" t="s">
        <v>754</v>
      </c>
      <c r="F84" s="631"/>
      <c r="G84" s="18"/>
      <c r="H84" s="414" t="str">
        <f t="shared" si="1"/>
        <v>NÃO</v>
      </c>
      <c r="I84" s="413" t="str">
        <f t="shared" si="6"/>
        <v>NÃO</v>
      </c>
      <c r="J84" s="414" t="str">
        <f t="shared" si="2"/>
        <v>NÃO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"/>
      <c r="AC84" s="69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412" t="s">
        <v>467</v>
      </c>
      <c r="C85" s="414" t="str">
        <f t="shared" si="0"/>
        <v>NÃO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NÃO</v>
      </c>
      <c r="K85" s="414" t="str">
        <f t="shared" si="3"/>
        <v>SIM</v>
      </c>
      <c r="L85" s="412"/>
      <c r="M85" s="414" t="str">
        <f t="shared" si="4"/>
        <v>NÃO</v>
      </c>
      <c r="N85" s="414" t="str">
        <f t="shared" si="5"/>
        <v>NÃO</v>
      </c>
      <c r="O85" s="2"/>
      <c r="AC85" s="69"/>
      <c r="AD85" s="70"/>
      <c r="AE85" s="70"/>
      <c r="AF85" s="70"/>
      <c r="AG85" s="69"/>
      <c r="AX85" s="11"/>
      <c r="AY85" s="11"/>
      <c r="AZ85" s="11"/>
      <c r="BA85" s="85"/>
    </row>
    <row r="86" spans="1:64" ht="13.5" hidden="1" x14ac:dyDescent="0.15">
      <c r="A86" s="295"/>
      <c r="B86" s="412" t="s">
        <v>467</v>
      </c>
      <c r="C86" s="414" t="str">
        <f t="shared" si="0"/>
        <v>NÃO</v>
      </c>
      <c r="D86" s="415"/>
      <c r="E86" s="18" t="s">
        <v>485</v>
      </c>
      <c r="F86" s="631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NÃO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"/>
      <c r="AC86" s="69"/>
      <c r="AD86" s="70"/>
      <c r="AE86" s="70"/>
      <c r="AF86" s="70"/>
      <c r="AG86" s="69"/>
      <c r="AX86" s="11"/>
      <c r="AY86" s="11"/>
      <c r="AZ86" s="11"/>
      <c r="BA86" s="85"/>
    </row>
    <row r="87" spans="1:64" ht="15" hidden="1" thickBot="1" x14ac:dyDescent="0.2">
      <c r="A87" s="295"/>
      <c r="B87" s="618" t="s">
        <v>484</v>
      </c>
      <c r="C87" s="619" t="str">
        <f t="shared" si="0"/>
        <v>NÃO</v>
      </c>
      <c r="D87" s="639"/>
      <c r="E87" s="640" t="s">
        <v>464</v>
      </c>
      <c r="F87" s="622">
        <f>I67</f>
        <v>0</v>
      </c>
      <c r="G87" s="199"/>
      <c r="H87" s="619" t="str">
        <f t="shared" si="1"/>
        <v>NÃO</v>
      </c>
      <c r="I87" s="623" t="str">
        <f>IF($D$14="X",IF($N$79="SIM","SIM","NÃO"),"NÃO")</f>
        <v>NÃO</v>
      </c>
      <c r="J87" s="619" t="str">
        <f t="shared" si="2"/>
        <v>NÃO</v>
      </c>
      <c r="K87" s="619" t="str">
        <f t="shared" si="3"/>
        <v>SIM</v>
      </c>
      <c r="L87" s="199"/>
      <c r="M87" s="619" t="str">
        <f t="shared" si="4"/>
        <v>NÃO</v>
      </c>
      <c r="N87" s="588" t="str">
        <f>IF(OR($N$8&gt;=36145,$N$10&lt;37986),"NÃO",IF(AND(C87="SIM",H87="SIM",J87="SIM",K87="SIM",M87="SIM"),"SIM","NÃO"))</f>
        <v>NÃO</v>
      </c>
      <c r="O87" s="2"/>
      <c r="AC87" s="69"/>
      <c r="AD87" s="70"/>
      <c r="AE87" s="70"/>
      <c r="AF87" s="70"/>
      <c r="AG87" s="69"/>
      <c r="AX87" s="11"/>
      <c r="AY87" s="11"/>
      <c r="AZ87" s="11"/>
      <c r="BA87" s="85"/>
    </row>
    <row r="88" spans="1:64" ht="15.95" hidden="1" customHeight="1" thickTop="1" x14ac:dyDescent="0.15">
      <c r="C88" s="21"/>
      <c r="D88" s="21"/>
      <c r="F88" s="5"/>
      <c r="G88" s="5"/>
      <c r="H88" s="5"/>
      <c r="I88" s="5"/>
      <c r="J88" s="5"/>
      <c r="K88" s="5"/>
      <c r="L88" s="5"/>
      <c r="M88" s="2"/>
      <c r="N88" s="5"/>
      <c r="O88" s="255"/>
      <c r="AC88" s="69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Z88" s="11"/>
      <c r="BA88" s="85"/>
      <c r="BB88" s="686"/>
      <c r="BC88" s="687">
        <f>SUM(F30:F32)</f>
        <v>0</v>
      </c>
      <c r="BD88" s="687"/>
      <c r="BE88" s="687"/>
      <c r="BF88" s="688"/>
      <c r="BG88" s="688"/>
      <c r="BH88" s="688"/>
      <c r="BI88" s="688" t="s">
        <v>361</v>
      </c>
      <c r="BJ88" s="689" t="s">
        <v>362</v>
      </c>
      <c r="BK88" s="690" t="s">
        <v>362</v>
      </c>
      <c r="BL88" s="691" t="s">
        <v>363</v>
      </c>
    </row>
    <row r="89" spans="1:64" ht="15.95" hidden="1" customHeight="1" thickBot="1" x14ac:dyDescent="0.2">
      <c r="C89" s="21"/>
      <c r="D89" s="21"/>
      <c r="G89" s="5"/>
      <c r="H89" s="5"/>
      <c r="I89" s="5"/>
      <c r="J89" s="5"/>
      <c r="K89" s="5"/>
      <c r="L89" s="5"/>
      <c r="M89" s="2"/>
      <c r="N89" s="5"/>
      <c r="O89" s="255"/>
      <c r="AC89" s="69"/>
      <c r="AD89" s="70"/>
      <c r="AE89" s="70"/>
      <c r="AF89" s="70"/>
      <c r="AG89" s="69"/>
      <c r="AZ89" s="11"/>
      <c r="BA89" s="85"/>
      <c r="BB89" s="692" t="s">
        <v>364</v>
      </c>
      <c r="BC89" s="693">
        <v>5</v>
      </c>
      <c r="BD89" s="693">
        <v>10</v>
      </c>
      <c r="BE89" s="693">
        <v>15</v>
      </c>
      <c r="BF89" s="693">
        <v>20</v>
      </c>
      <c r="BG89" s="694">
        <v>25</v>
      </c>
      <c r="BH89" s="694" t="s">
        <v>365</v>
      </c>
      <c r="BI89" s="695" t="s">
        <v>366</v>
      </c>
      <c r="BJ89" s="696" t="s">
        <v>367</v>
      </c>
      <c r="BK89" s="697">
        <v>34820</v>
      </c>
      <c r="BL89" s="698">
        <v>34851</v>
      </c>
    </row>
    <row r="90" spans="1:64" ht="15.95" hidden="1" customHeight="1" thickBot="1" x14ac:dyDescent="0.2">
      <c r="B90" s="88" t="s">
        <v>449</v>
      </c>
      <c r="C90" s="89"/>
      <c r="D90" s="97" t="s">
        <v>546</v>
      </c>
      <c r="E90" s="98"/>
      <c r="F90" s="99"/>
      <c r="G90" s="5"/>
      <c r="H90" s="5"/>
      <c r="I90" s="5"/>
      <c r="J90" s="5"/>
      <c r="K90" s="5"/>
      <c r="L90" s="5"/>
      <c r="M90" s="2"/>
      <c r="N90" s="5"/>
      <c r="O90" s="255"/>
      <c r="AC90" s="69"/>
      <c r="AD90" s="70"/>
      <c r="AE90" s="70"/>
      <c r="AF90" s="70"/>
      <c r="AG90" s="69"/>
      <c r="AZ90" s="11"/>
      <c r="BA90" s="85"/>
      <c r="BB90" s="692"/>
      <c r="BC90" s="693"/>
      <c r="BD90" s="693"/>
      <c r="BE90" s="693"/>
      <c r="BF90" s="693"/>
      <c r="BG90" s="694"/>
      <c r="BH90" s="694"/>
      <c r="BI90" s="695"/>
      <c r="BJ90" s="696"/>
      <c r="BK90" s="697"/>
      <c r="BL90" s="698"/>
    </row>
    <row r="91" spans="1:64" ht="15.95" hidden="1" customHeight="1" thickBot="1" x14ac:dyDescent="0.2">
      <c r="B91" s="91" t="s">
        <v>450</v>
      </c>
      <c r="C91" s="90"/>
      <c r="D91" s="90"/>
      <c r="E91" s="90"/>
      <c r="F91" s="92"/>
      <c r="G91" s="5"/>
      <c r="H91" s="5"/>
      <c r="I91" s="5"/>
      <c r="J91" s="5"/>
      <c r="K91" s="5"/>
      <c r="L91" s="5"/>
      <c r="M91" s="2"/>
      <c r="N91" s="5"/>
      <c r="O91" s="255"/>
      <c r="AC91" s="69"/>
      <c r="AD91" s="21"/>
      <c r="AE91" s="21"/>
      <c r="AF91" s="21"/>
      <c r="AZ91" s="11"/>
      <c r="BA91" s="85"/>
      <c r="BB91" s="699"/>
      <c r="BC91" s="700">
        <f>(BC88+F45+F59)/365</f>
        <v>0</v>
      </c>
      <c r="BD91" s="701"/>
      <c r="BE91" s="701"/>
      <c r="BF91" s="701"/>
      <c r="BG91" s="701"/>
      <c r="BH91" s="701"/>
      <c r="BI91" s="702">
        <v>0.45</v>
      </c>
      <c r="BJ91" s="703"/>
      <c r="BK91" s="704"/>
      <c r="BL91" s="705" t="s">
        <v>368</v>
      </c>
    </row>
    <row r="92" spans="1:64" ht="15.95" hidden="1" customHeight="1" x14ac:dyDescent="0.15">
      <c r="B92" s="91" t="s">
        <v>455</v>
      </c>
      <c r="C92" s="90"/>
      <c r="D92" s="90"/>
      <c r="E92" s="90"/>
      <c r="F92" s="92"/>
      <c r="G92" s="5"/>
      <c r="H92" s="5"/>
      <c r="I92" s="5"/>
      <c r="J92" s="5"/>
      <c r="K92" s="5"/>
      <c r="L92" s="5"/>
      <c r="M92" s="2"/>
      <c r="N92" s="5"/>
      <c r="O92" s="255"/>
      <c r="AD92" s="70"/>
      <c r="AE92" s="70"/>
      <c r="AF92" s="70"/>
      <c r="AG92" s="69"/>
      <c r="AZ92" s="11"/>
      <c r="BA92" s="85"/>
      <c r="BB92" s="706" t="s">
        <v>369</v>
      </c>
      <c r="BC92" s="707" t="s">
        <v>370</v>
      </c>
      <c r="BD92" s="708" t="s">
        <v>371</v>
      </c>
      <c r="BE92" s="708" t="s">
        <v>372</v>
      </c>
      <c r="BF92" s="708" t="s">
        <v>373</v>
      </c>
      <c r="BG92" s="708" t="s">
        <v>374</v>
      </c>
      <c r="BH92" s="709" t="s">
        <v>375</v>
      </c>
      <c r="BI92" s="710" t="e">
        <f>#REF!*1.45</f>
        <v>#REF!</v>
      </c>
      <c r="BJ92" s="711">
        <v>80.64</v>
      </c>
      <c r="BK92" s="712">
        <v>100</v>
      </c>
      <c r="BL92" s="713">
        <v>112</v>
      </c>
    </row>
    <row r="93" spans="1:64" ht="15.95" hidden="1" customHeight="1" x14ac:dyDescent="0.15">
      <c r="B93" s="91" t="s">
        <v>467</v>
      </c>
      <c r="C93" s="90"/>
      <c r="D93" s="90"/>
      <c r="E93" s="90"/>
      <c r="F93" s="92"/>
      <c r="G93" s="5"/>
      <c r="H93" s="5"/>
      <c r="I93" s="5"/>
      <c r="J93" s="5"/>
      <c r="K93" s="5"/>
      <c r="L93" s="5"/>
      <c r="M93" s="2"/>
      <c r="N93" s="5"/>
      <c r="O93" s="255"/>
      <c r="AD93" s="70"/>
      <c r="AE93" s="70"/>
      <c r="AF93" s="70"/>
      <c r="AG93" s="69"/>
      <c r="AZ93" s="11"/>
      <c r="BA93" s="85"/>
      <c r="BB93" s="714" t="s">
        <v>376</v>
      </c>
      <c r="BC93" s="715" t="s">
        <v>370</v>
      </c>
      <c r="BD93" s="716" t="s">
        <v>371</v>
      </c>
      <c r="BE93" s="716" t="s">
        <v>372</v>
      </c>
      <c r="BF93" s="716" t="s">
        <v>373</v>
      </c>
      <c r="BG93" s="716" t="s">
        <v>374</v>
      </c>
      <c r="BH93" s="717" t="s">
        <v>375</v>
      </c>
      <c r="BI93" s="718" t="e">
        <f>#REF!*1.45</f>
        <v>#REF!</v>
      </c>
      <c r="BJ93" s="719">
        <v>90.32</v>
      </c>
      <c r="BK93" s="720">
        <v>100</v>
      </c>
      <c r="BL93" s="721">
        <v>125.44</v>
      </c>
    </row>
    <row r="94" spans="1:64" ht="15.95" hidden="1" customHeight="1" x14ac:dyDescent="0.15">
      <c r="B94" s="91" t="s">
        <v>468</v>
      </c>
      <c r="C94" s="90"/>
      <c r="D94" s="90"/>
      <c r="E94" s="90"/>
      <c r="F94" s="92"/>
      <c r="G94" s="5"/>
      <c r="H94" s="5"/>
      <c r="I94" s="5"/>
      <c r="J94" s="5"/>
      <c r="K94" s="5"/>
      <c r="L94" s="5"/>
      <c r="M94" s="2"/>
      <c r="N94" s="5"/>
      <c r="O94" s="255"/>
      <c r="AD94" s="70"/>
      <c r="AE94" s="70"/>
      <c r="AF94" s="70"/>
      <c r="AG94" s="69"/>
      <c r="AZ94" s="11"/>
      <c r="BA94" s="85"/>
      <c r="BB94" s="714" t="s">
        <v>377</v>
      </c>
      <c r="BC94" s="715" t="s">
        <v>371</v>
      </c>
      <c r="BD94" s="716" t="s">
        <v>372</v>
      </c>
      <c r="BE94" s="716" t="s">
        <v>373</v>
      </c>
      <c r="BF94" s="716" t="s">
        <v>374</v>
      </c>
      <c r="BG94" s="716" t="s">
        <v>375</v>
      </c>
      <c r="BH94" s="717" t="s">
        <v>378</v>
      </c>
      <c r="BI94" s="718" t="e">
        <f>#REF!*1.45</f>
        <v>#REF!</v>
      </c>
      <c r="BJ94" s="719">
        <v>101.15</v>
      </c>
      <c r="BK94" s="720">
        <v>101.15</v>
      </c>
      <c r="BL94" s="721">
        <v>140.4</v>
      </c>
    </row>
    <row r="95" spans="1:64" ht="15.95" hidden="1" customHeight="1" x14ac:dyDescent="0.15">
      <c r="B95" s="91" t="s">
        <v>470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55"/>
      <c r="AD95" s="70"/>
      <c r="AE95" s="70"/>
      <c r="AF95" s="70"/>
      <c r="AG95" s="69"/>
      <c r="AZ95" s="11"/>
      <c r="BA95" s="85"/>
      <c r="BB95" s="714" t="s">
        <v>379</v>
      </c>
      <c r="BC95" s="715" t="s">
        <v>371</v>
      </c>
      <c r="BD95" s="716" t="s">
        <v>372</v>
      </c>
      <c r="BE95" s="716" t="s">
        <v>373</v>
      </c>
      <c r="BF95" s="716" t="s">
        <v>374</v>
      </c>
      <c r="BG95" s="716" t="s">
        <v>375</v>
      </c>
      <c r="BH95" s="717" t="s">
        <v>378</v>
      </c>
      <c r="BI95" s="718" t="e">
        <f>#REF!*1.45</f>
        <v>#REF!</v>
      </c>
      <c r="BJ95" s="719">
        <v>113.29</v>
      </c>
      <c r="BK95" s="720">
        <v>113.29</v>
      </c>
      <c r="BL95" s="721">
        <v>157.35</v>
      </c>
    </row>
    <row r="96" spans="1:64" ht="15.95" hidden="1" customHeight="1" x14ac:dyDescent="0.15">
      <c r="B96" s="91" t="s">
        <v>471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14" t="s">
        <v>380</v>
      </c>
      <c r="BC96" s="715" t="s">
        <v>372</v>
      </c>
      <c r="BD96" s="716" t="s">
        <v>373</v>
      </c>
      <c r="BE96" s="716" t="s">
        <v>374</v>
      </c>
      <c r="BF96" s="716" t="s">
        <v>375</v>
      </c>
      <c r="BG96" s="716" t="s">
        <v>378</v>
      </c>
      <c r="BH96" s="717" t="s">
        <v>381</v>
      </c>
      <c r="BI96" s="718" t="e">
        <f>#REF!*1.45</f>
        <v>#REF!</v>
      </c>
      <c r="BJ96" s="719">
        <v>126.89</v>
      </c>
      <c r="BK96" s="720">
        <v>129.88999999999999</v>
      </c>
      <c r="BL96" s="721">
        <v>176.23</v>
      </c>
    </row>
    <row r="97" spans="2:64" ht="15.95" hidden="1" customHeight="1" x14ac:dyDescent="0.15">
      <c r="B97" s="93" t="s">
        <v>472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328</v>
      </c>
      <c r="BC97" s="715" t="s">
        <v>372</v>
      </c>
      <c r="BD97" s="716" t="s">
        <v>373</v>
      </c>
      <c r="BE97" s="716" t="s">
        <v>374</v>
      </c>
      <c r="BF97" s="716" t="s">
        <v>375</v>
      </c>
      <c r="BG97" s="716" t="s">
        <v>378</v>
      </c>
      <c r="BH97" s="717" t="s">
        <v>381</v>
      </c>
      <c r="BI97" s="718">
        <f>A130*1.45</f>
        <v>0</v>
      </c>
      <c r="BJ97" s="719">
        <v>80.64</v>
      </c>
      <c r="BK97" s="720">
        <v>100</v>
      </c>
      <c r="BL97" s="721">
        <v>112</v>
      </c>
    </row>
    <row r="98" spans="2:64" ht="15.95" hidden="1" customHeight="1" x14ac:dyDescent="0.15">
      <c r="B98" s="93" t="s">
        <v>487</v>
      </c>
      <c r="C98" s="90"/>
      <c r="D98" s="90"/>
      <c r="E98" s="90"/>
      <c r="F98" s="92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382</v>
      </c>
      <c r="BC98" s="715" t="s">
        <v>372</v>
      </c>
      <c r="BD98" s="716" t="s">
        <v>373</v>
      </c>
      <c r="BE98" s="716" t="s">
        <v>374</v>
      </c>
      <c r="BF98" s="716" t="s">
        <v>375</v>
      </c>
      <c r="BG98" s="716" t="s">
        <v>378</v>
      </c>
      <c r="BH98" s="717" t="s">
        <v>381</v>
      </c>
      <c r="BI98" s="718">
        <f>A131*1.45</f>
        <v>0</v>
      </c>
      <c r="BJ98" s="719">
        <v>90.32</v>
      </c>
      <c r="BK98" s="720">
        <v>100</v>
      </c>
      <c r="BL98" s="721">
        <v>125.44</v>
      </c>
    </row>
    <row r="99" spans="2:64" ht="15.95" hidden="1" customHeight="1" thickBot="1" x14ac:dyDescent="0.2">
      <c r="B99" s="94" t="s">
        <v>484</v>
      </c>
      <c r="C99" s="95"/>
      <c r="D99" s="95"/>
      <c r="E99" s="95"/>
      <c r="F99" s="96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383</v>
      </c>
      <c r="BC99" s="715" t="s">
        <v>372</v>
      </c>
      <c r="BD99" s="716" t="s">
        <v>373</v>
      </c>
      <c r="BE99" s="716" t="s">
        <v>374</v>
      </c>
      <c r="BF99" s="716" t="s">
        <v>375</v>
      </c>
      <c r="BG99" s="716" t="s">
        <v>378</v>
      </c>
      <c r="BH99" s="717" t="s">
        <v>381</v>
      </c>
      <c r="BI99" s="718">
        <f>A132*1.45</f>
        <v>0</v>
      </c>
      <c r="BJ99" s="719">
        <v>101.15</v>
      </c>
      <c r="BK99" s="720">
        <v>101.15</v>
      </c>
      <c r="BL99" s="721">
        <v>140.4</v>
      </c>
    </row>
    <row r="100" spans="2:64" ht="15.95" hidden="1" customHeight="1" x14ac:dyDescent="0.15">
      <c r="B100" s="3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384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>
        <f>A133*1.45</f>
        <v>1.45</v>
      </c>
      <c r="BJ100" s="719">
        <v>113.29</v>
      </c>
      <c r="BK100" s="720">
        <v>113.29</v>
      </c>
      <c r="BL100" s="721">
        <v>157.35</v>
      </c>
    </row>
    <row r="101" spans="2:64" ht="13.5" hidden="1" x14ac:dyDescent="0.15">
      <c r="B101" s="30"/>
      <c r="C101" s="5"/>
      <c r="D101" s="5"/>
      <c r="E101" s="5"/>
      <c r="F101" s="5"/>
      <c r="G101" s="5"/>
      <c r="H101" s="5"/>
      <c r="I101" s="5"/>
      <c r="J101" s="74"/>
      <c r="K101" s="5"/>
      <c r="L101" s="5"/>
      <c r="M101" s="2"/>
      <c r="N101" s="5"/>
      <c r="O101" s="255"/>
      <c r="AD101" s="70"/>
      <c r="AE101" s="70"/>
      <c r="AF101" s="70"/>
      <c r="AG101" s="69"/>
      <c r="AZ101" s="11"/>
      <c r="BA101" s="85"/>
      <c r="BB101" s="714" t="s">
        <v>385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A133*1.45</f>
        <v>1.45</v>
      </c>
      <c r="BJ101" s="719">
        <v>126.89</v>
      </c>
      <c r="BK101" s="720">
        <v>126.89</v>
      </c>
      <c r="BL101" s="721">
        <v>176.23</v>
      </c>
    </row>
    <row r="102" spans="2:64" ht="13.5" hidden="1" x14ac:dyDescent="0.15">
      <c r="B102" s="1849" t="s">
        <v>508</v>
      </c>
      <c r="C102" s="1849"/>
      <c r="D102" s="1849"/>
      <c r="E102" s="1849"/>
      <c r="H102" s="5"/>
      <c r="I102" s="37"/>
      <c r="J102" s="5"/>
      <c r="K102" s="27"/>
      <c r="L102" s="6"/>
      <c r="M102" s="27"/>
      <c r="N102" s="60"/>
      <c r="O102" s="255"/>
      <c r="AD102" s="70"/>
      <c r="AE102" s="70"/>
      <c r="AF102" s="70"/>
      <c r="AG102" s="69"/>
      <c r="AZ102" s="11"/>
      <c r="BA102" s="85"/>
      <c r="BB102" s="714" t="s">
        <v>386</v>
      </c>
      <c r="BC102" s="715" t="s">
        <v>372</v>
      </c>
      <c r="BD102" s="716" t="s">
        <v>373</v>
      </c>
      <c r="BE102" s="716" t="s">
        <v>374</v>
      </c>
      <c r="BF102" s="716" t="s">
        <v>375</v>
      </c>
      <c r="BG102" s="716" t="s">
        <v>378</v>
      </c>
      <c r="BH102" s="717" t="s">
        <v>381</v>
      </c>
      <c r="BI102" s="718">
        <f>A134*1.45</f>
        <v>2.9</v>
      </c>
      <c r="BJ102" s="719">
        <v>126.89</v>
      </c>
      <c r="BK102" s="720">
        <v>126.89</v>
      </c>
      <c r="BL102" s="721">
        <v>176.23</v>
      </c>
    </row>
    <row r="103" spans="2:64" hidden="1" thickBot="1" x14ac:dyDescent="0.2">
      <c r="B103" s="34" t="s">
        <v>463</v>
      </c>
      <c r="C103" s="17"/>
      <c r="D103" s="21"/>
      <c r="E103" s="36"/>
      <c r="F103" s="5"/>
      <c r="G103" s="28"/>
      <c r="H103" s="5"/>
      <c r="I103" s="17" t="s">
        <v>463</v>
      </c>
      <c r="J103" s="5" t="str">
        <f>IF(E2=B93,H104,IF(E2=B95,H104,IF(E2=B97,H104,IF(E2=B98,H104,"NÃO CABE"))))</f>
        <v>NÃO CABE</v>
      </c>
      <c r="K103" s="27"/>
      <c r="L103" s="6" t="s">
        <v>510</v>
      </c>
      <c r="M103" s="27"/>
      <c r="N103" s="60"/>
      <c r="O103" s="255"/>
      <c r="X103" s="11"/>
      <c r="Y103" s="11"/>
      <c r="Z103" s="11"/>
      <c r="AA103" s="11"/>
      <c r="AB103" s="11"/>
      <c r="AC103" s="69"/>
      <c r="AD103" s="70"/>
      <c r="AE103" s="70"/>
      <c r="AF103" s="70"/>
      <c r="AG103" s="69"/>
      <c r="AZ103" s="11"/>
      <c r="BA103" s="85"/>
      <c r="BB103" s="714" t="s">
        <v>387</v>
      </c>
      <c r="BC103" s="715" t="s">
        <v>373</v>
      </c>
      <c r="BD103" s="716" t="s">
        <v>374</v>
      </c>
      <c r="BE103" s="716" t="s">
        <v>375</v>
      </c>
      <c r="BF103" s="716" t="s">
        <v>378</v>
      </c>
      <c r="BG103" s="716" t="s">
        <v>381</v>
      </c>
      <c r="BH103" s="717" t="s">
        <v>388</v>
      </c>
      <c r="BI103" s="718" t="e">
        <f>A135*1.45</f>
        <v>#VALUE!</v>
      </c>
      <c r="BJ103" s="719">
        <v>142.12</v>
      </c>
      <c r="BK103" s="720">
        <v>142.12</v>
      </c>
      <c r="BL103" s="721">
        <v>197.38</v>
      </c>
    </row>
    <row r="104" spans="2:64" hidden="1" thickBot="1" x14ac:dyDescent="0.2">
      <c r="B104" s="34" t="s">
        <v>485</v>
      </c>
      <c r="C104" s="17"/>
      <c r="D104" s="16"/>
      <c r="E104" s="57">
        <f>IF($F$104="NÃO CABE","NÃO CABE",IF($G$10="X",$F$104/30,$F$104/35))</f>
        <v>0</v>
      </c>
      <c r="F104" s="10">
        <f>IF(E2="VOLUNTÁRIA ESPECIAL","NÃO CABE",IF(E2="VOLUNTÁRIA INTEGRAL","NÃO CABE",IF(E2="COMPULSÓRIA INTEGRAL","NÃO CABE",IF(E2="INVALIDEZ INTEGRAL","NÃO CABE",ROUNDDOWN(F61/365,0)))))</f>
        <v>0</v>
      </c>
      <c r="G104" s="28"/>
      <c r="H104" s="14">
        <f>IF(E104&gt;1,1,E104)</f>
        <v>0</v>
      </c>
      <c r="I104" s="17" t="s">
        <v>485</v>
      </c>
      <c r="J104" s="5" t="str">
        <f>IF($E$2=$B$93,H104,IF($E$2=$B$95,H104,IF($E$2=$B$97,H104,"NÃO CABE")))</f>
        <v>NÃO CABE</v>
      </c>
      <c r="K104" s="27"/>
      <c r="L104" s="57">
        <f>IF($F$104="NÃO CABE","NÃO CABE",IF($G$10="X",$F$61/10950,$F$61/12775))</f>
        <v>0</v>
      </c>
      <c r="M104" s="14">
        <f>IF(L104&gt;1,1,L104)</f>
        <v>0</v>
      </c>
      <c r="N104" s="5" t="str">
        <f>IF($E$2=$B$93,M104,IF($E$2=$B$95,M104,IF($E$2=$B$97,M104,"NÃO CABE")))</f>
        <v>NÃO CABE</v>
      </c>
      <c r="O104" s="255"/>
      <c r="X104" s="11"/>
      <c r="Y104" s="11"/>
      <c r="Z104" s="11"/>
      <c r="AA104" s="11"/>
      <c r="AB104" s="11"/>
      <c r="AC104" s="69"/>
      <c r="AD104" s="70"/>
      <c r="AE104" s="70"/>
      <c r="AF104" s="70"/>
      <c r="AG104" s="69"/>
      <c r="AZ104" s="11"/>
      <c r="BA104" s="85"/>
      <c r="BB104" s="714" t="s">
        <v>389</v>
      </c>
      <c r="BC104" s="715" t="s">
        <v>373</v>
      </c>
      <c r="BD104" s="716" t="s">
        <v>374</v>
      </c>
      <c r="BE104" s="716" t="s">
        <v>375</v>
      </c>
      <c r="BF104" s="716" t="s">
        <v>378</v>
      </c>
      <c r="BG104" s="716" t="s">
        <v>381</v>
      </c>
      <c r="BH104" s="717" t="s">
        <v>388</v>
      </c>
      <c r="BI104" s="718">
        <f>A137*1.45</f>
        <v>5.8</v>
      </c>
      <c r="BJ104" s="719">
        <v>90.32</v>
      </c>
      <c r="BK104" s="720">
        <v>100</v>
      </c>
      <c r="BL104" s="721">
        <v>125.44</v>
      </c>
    </row>
    <row r="105" spans="2:64" hidden="1" thickBot="1" x14ac:dyDescent="0.2">
      <c r="B105" s="34" t="s">
        <v>476</v>
      </c>
      <c r="C105" s="17"/>
      <c r="D105" s="16"/>
      <c r="E105" s="58" t="str">
        <f>IF(E2=B98,IF(C65&gt;0,"TEMPO A CUMPRIR",IF(F105=1,75%,IF(F105=2,80%,IF(F105=3,85%,IF(F105=4,90%,IF(F105=5,95%,IF(F105&gt;=6,100%,70%))))))),"NÃO CABE")</f>
        <v>NÃO CABE</v>
      </c>
      <c r="F105" s="10">
        <f>IF(G10="X",ROUNDDOWN((F61-(25*365+E43))/365,0),ROUNDDOWN((F61-(30*365+E43))/365,0))</f>
        <v>-37</v>
      </c>
      <c r="G105" s="28"/>
      <c r="I105" s="17" t="s">
        <v>476</v>
      </c>
      <c r="J105" s="5" t="str">
        <f>IF(E2=B98,E105,"NÃO CABE")</f>
        <v>NÃO CABE</v>
      </c>
      <c r="K105" s="27"/>
      <c r="L105" s="65"/>
      <c r="M105" s="66">
        <f>O10</f>
        <v>0</v>
      </c>
      <c r="N105" s="60">
        <v>38037</v>
      </c>
      <c r="O105" s="255"/>
      <c r="X105" s="11"/>
      <c r="Y105" s="11"/>
      <c r="Z105" s="11"/>
      <c r="AA105" s="11"/>
      <c r="AB105" s="11"/>
      <c r="AC105" s="69"/>
      <c r="AD105" s="70"/>
      <c r="AE105" s="70"/>
      <c r="AF105" s="70"/>
      <c r="AG105" s="69"/>
      <c r="AZ105" s="11"/>
      <c r="BA105" s="85"/>
      <c r="BB105" s="714" t="s">
        <v>390</v>
      </c>
      <c r="BC105" s="715" t="s">
        <v>373</v>
      </c>
      <c r="BD105" s="716" t="s">
        <v>374</v>
      </c>
      <c r="BE105" s="716" t="s">
        <v>375</v>
      </c>
      <c r="BF105" s="716" t="s">
        <v>378</v>
      </c>
      <c r="BG105" s="716" t="s">
        <v>381</v>
      </c>
      <c r="BH105" s="717" t="s">
        <v>388</v>
      </c>
      <c r="BI105" s="718"/>
      <c r="BJ105" s="719"/>
      <c r="BK105" s="720"/>
      <c r="BL105" s="721"/>
    </row>
    <row r="106" spans="2:64" hidden="1" thickBot="1" x14ac:dyDescent="0.2">
      <c r="B106" s="35" t="s">
        <v>464</v>
      </c>
      <c r="C106" s="33"/>
      <c r="D106" s="16"/>
      <c r="E106" s="36" t="s">
        <v>457</v>
      </c>
      <c r="F106" s="5">
        <f>IF($D$12="X",50-$N$11,55-$N$11)</f>
        <v>55</v>
      </c>
      <c r="G106" s="28"/>
      <c r="H106" s="59" t="str">
        <f>IF($G$10="X",IF($O$9&gt;=17532,IF($O$10&gt;=38718,1-($F$106*0.05),1-($F$106*0.035)),"NÃO CABE"),IF($O$9&gt;=19359,IF($O$10&gt;=38718,1-($F$107*0.05),1-($F$107*0.035)),"NÃO CABE"))</f>
        <v>NÃO CABE</v>
      </c>
      <c r="I106" s="33" t="s">
        <v>464</v>
      </c>
      <c r="J106" s="61">
        <f>IF(E2=B99,H107,"NÃO CABE")</f>
        <v>0</v>
      </c>
      <c r="K106" s="27"/>
      <c r="L106" s="6"/>
      <c r="M106" s="27"/>
      <c r="N106" s="60"/>
      <c r="O106" s="255"/>
      <c r="X106" s="11"/>
      <c r="Y106" s="11"/>
      <c r="Z106" s="11"/>
      <c r="AA106" s="11"/>
      <c r="AB106" s="11"/>
      <c r="AC106" s="69"/>
      <c r="AD106" s="70"/>
      <c r="AE106" s="70"/>
      <c r="AF106" s="70"/>
      <c r="AG106" s="69"/>
      <c r="AX106" s="11"/>
      <c r="AY106" s="11"/>
      <c r="AZ106" s="11"/>
      <c r="BA106" s="85"/>
      <c r="BB106" s="714" t="s">
        <v>391</v>
      </c>
      <c r="BC106" s="715" t="s">
        <v>373</v>
      </c>
      <c r="BD106" s="716" t="s">
        <v>374</v>
      </c>
      <c r="BE106" s="716" t="s">
        <v>375</v>
      </c>
      <c r="BF106" s="716" t="s">
        <v>378</v>
      </c>
      <c r="BG106" s="716" t="s">
        <v>381</v>
      </c>
      <c r="BH106" s="717" t="s">
        <v>388</v>
      </c>
      <c r="BI106" s="718" t="e">
        <f>A139*1.45</f>
        <v>#VALUE!</v>
      </c>
      <c r="BJ106" s="719">
        <v>101.15</v>
      </c>
      <c r="BK106" s="720">
        <v>101.15</v>
      </c>
      <c r="BL106" s="721">
        <v>140.4</v>
      </c>
    </row>
    <row r="107" spans="2:64" ht="13.5" hidden="1" x14ac:dyDescent="0.15">
      <c r="B107" s="39">
        <v>38717</v>
      </c>
      <c r="C107" s="11">
        <v>38717</v>
      </c>
      <c r="D107" s="16"/>
      <c r="E107" s="36" t="s">
        <v>456</v>
      </c>
      <c r="F107" s="5">
        <f>IF($D$12="X",55-$N$11,60-$N$11)</f>
        <v>60</v>
      </c>
      <c r="G107" s="28"/>
      <c r="H107" s="14">
        <f>IF(H106="NÃO CABE",0,IF(H106&gt;1,1,H106))</f>
        <v>0</v>
      </c>
      <c r="I107" s="18"/>
      <c r="J107" s="5"/>
      <c r="K107" s="27"/>
      <c r="L107" s="6"/>
      <c r="M107" s="27"/>
      <c r="N107" s="60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S107" s="69"/>
      <c r="AX107" s="11"/>
      <c r="AY107" s="11"/>
      <c r="AZ107" s="11"/>
      <c r="BA107" s="85"/>
      <c r="BB107" s="714" t="s">
        <v>392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/>
      <c r="BJ107" s="719"/>
      <c r="BK107" s="720"/>
      <c r="BL107" s="721"/>
    </row>
    <row r="108" spans="2:64" ht="13.5" hidden="1" x14ac:dyDescent="0.15">
      <c r="B108" s="39">
        <v>38718</v>
      </c>
      <c r="C108" s="11">
        <v>38718</v>
      </c>
      <c r="D108" s="8"/>
      <c r="E108" s="63"/>
      <c r="F108" s="6"/>
      <c r="G108" s="6"/>
      <c r="H108" s="6"/>
      <c r="I108" s="18"/>
      <c r="J108" s="9"/>
      <c r="K108" s="5"/>
      <c r="L108" s="6"/>
      <c r="M108" s="10"/>
      <c r="N108" s="11"/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X108" s="11"/>
      <c r="AY108" s="11"/>
      <c r="AZ108" s="11"/>
      <c r="BA108" s="85"/>
      <c r="BB108" s="714" t="s">
        <v>393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A140*1.45</f>
        <v>8.6999999999999993</v>
      </c>
      <c r="BJ108" s="719">
        <v>113.29</v>
      </c>
      <c r="BK108" s="720">
        <v>113.29</v>
      </c>
      <c r="BL108" s="721">
        <v>157.35</v>
      </c>
    </row>
    <row r="109" spans="2:64" ht="13.5" hidden="1" x14ac:dyDescent="0.15">
      <c r="B109" s="62"/>
      <c r="C109" s="38">
        <v>38097</v>
      </c>
      <c r="D109" s="8"/>
      <c r="E109" s="5"/>
      <c r="F109" s="6"/>
      <c r="G109" s="6"/>
      <c r="H109" s="6"/>
      <c r="I109" s="6"/>
      <c r="J109" s="9"/>
      <c r="K109" s="5"/>
      <c r="L109" s="6"/>
      <c r="M109" s="10"/>
      <c r="N109" s="11"/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X109" s="11"/>
      <c r="AY109" s="11"/>
      <c r="AZ109" s="11"/>
      <c r="BA109" s="85"/>
      <c r="BB109" s="714" t="s">
        <v>394</v>
      </c>
      <c r="BC109" s="715" t="s">
        <v>373</v>
      </c>
      <c r="BD109" s="716" t="s">
        <v>374</v>
      </c>
      <c r="BE109" s="716" t="s">
        <v>375</v>
      </c>
      <c r="BF109" s="716" t="s">
        <v>378</v>
      </c>
      <c r="BG109" s="716" t="s">
        <v>381</v>
      </c>
      <c r="BH109" s="717" t="s">
        <v>388</v>
      </c>
      <c r="BI109" s="718">
        <f>A141*1.45</f>
        <v>10.15</v>
      </c>
      <c r="BJ109" s="719">
        <v>113.29</v>
      </c>
      <c r="BK109" s="720">
        <v>113.29</v>
      </c>
      <c r="BL109" s="721">
        <v>157.35</v>
      </c>
    </row>
    <row r="110" spans="2:64" ht="13.5" hidden="1" x14ac:dyDescent="0.15">
      <c r="B110" s="6"/>
      <c r="C110" s="38"/>
      <c r="D110" s="8"/>
      <c r="E110" s="5"/>
      <c r="F110" s="6"/>
      <c r="G110" s="6"/>
      <c r="H110" s="6"/>
      <c r="I110" s="6"/>
      <c r="J110" s="9"/>
      <c r="K110" s="5"/>
      <c r="L110" s="6"/>
      <c r="M110" s="10"/>
      <c r="N110" s="11"/>
      <c r="O110" s="255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395</v>
      </c>
      <c r="BC110" s="715" t="s">
        <v>396</v>
      </c>
      <c r="BD110" s="716" t="s">
        <v>397</v>
      </c>
      <c r="BE110" s="716" t="s">
        <v>397</v>
      </c>
      <c r="BF110" s="716" t="s">
        <v>398</v>
      </c>
      <c r="BG110" s="716" t="s">
        <v>398</v>
      </c>
      <c r="BH110" s="716" t="s">
        <v>398</v>
      </c>
      <c r="BI110" s="718"/>
      <c r="BJ110" s="719"/>
      <c r="BK110" s="720"/>
      <c r="BL110" s="721"/>
    </row>
    <row r="111" spans="2:64" ht="13.5" hidden="1" x14ac:dyDescent="0.15">
      <c r="B111" s="1849" t="s">
        <v>477</v>
      </c>
      <c r="C111" s="1849"/>
      <c r="D111" s="1849"/>
      <c r="E111" s="1849"/>
      <c r="F111" s="1849"/>
      <c r="G111" s="1849"/>
      <c r="H111" s="1849"/>
      <c r="I111" s="1849"/>
      <c r="J111" s="1849"/>
      <c r="K111" s="1849" t="s">
        <v>477</v>
      </c>
      <c r="L111" s="1849"/>
      <c r="M111" s="1849"/>
      <c r="N111" s="1849"/>
      <c r="O111" s="1849"/>
      <c r="P111" s="1849"/>
      <c r="Q111" s="1849"/>
      <c r="R111" s="1849"/>
      <c r="S111" s="1849"/>
      <c r="T111" s="11"/>
      <c r="U111" s="11"/>
      <c r="V111" s="11"/>
      <c r="W111" s="11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X111" s="11"/>
      <c r="AY111" s="11"/>
      <c r="AZ111" s="11"/>
      <c r="BA111" s="85"/>
      <c r="BB111" s="714" t="s">
        <v>399</v>
      </c>
      <c r="BC111" s="715" t="s">
        <v>396</v>
      </c>
      <c r="BD111" s="716" t="s">
        <v>397</v>
      </c>
      <c r="BE111" s="716" t="s">
        <v>397</v>
      </c>
      <c r="BF111" s="716" t="s">
        <v>398</v>
      </c>
      <c r="BG111" s="716" t="s">
        <v>398</v>
      </c>
      <c r="BH111" s="716" t="s">
        <v>398</v>
      </c>
      <c r="BI111" s="718">
        <f>A144*1.45</f>
        <v>13.049999999999999</v>
      </c>
      <c r="BJ111" s="719">
        <v>126.89</v>
      </c>
      <c r="BK111" s="720">
        <v>126.89</v>
      </c>
      <c r="BL111" s="721">
        <v>176.23</v>
      </c>
    </row>
    <row r="112" spans="2:64" ht="13.5" hidden="1" x14ac:dyDescent="0.15">
      <c r="B112" s="19" t="s">
        <v>480</v>
      </c>
      <c r="C112" s="8"/>
      <c r="D112" s="8"/>
      <c r="E112" s="5"/>
      <c r="F112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2" s="6"/>
      <c r="H112" s="6"/>
      <c r="I112" s="6"/>
      <c r="J112" s="9"/>
      <c r="K112" s="5"/>
      <c r="L112" s="41" t="s">
        <v>450</v>
      </c>
      <c r="M112" s="10"/>
      <c r="N112" s="11"/>
      <c r="O112" s="255" t="b">
        <f>IF(E2=L112,IF(K2=O3,F112,IF(K2=O4,F114,IF(K2=O6,F112,IF(K2=O7,F113,IF(K2=O2,"NADA A CRITICAR","REANALISAR FUNDAMENTAÇÃO E/OU MODALIDADE"))))))</f>
        <v>0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400</v>
      </c>
      <c r="BC112" s="715" t="s">
        <v>396</v>
      </c>
      <c r="BD112" s="716" t="s">
        <v>397</v>
      </c>
      <c r="BE112" s="716" t="s">
        <v>397</v>
      </c>
      <c r="BF112" s="716" t="s">
        <v>398</v>
      </c>
      <c r="BG112" s="716" t="s">
        <v>398</v>
      </c>
      <c r="BH112" s="716" t="s">
        <v>398</v>
      </c>
      <c r="BI112" s="718"/>
      <c r="BJ112" s="719"/>
      <c r="BK112" s="720"/>
      <c r="BL112" s="721"/>
    </row>
    <row r="113" spans="2:64" ht="13.5" hidden="1" x14ac:dyDescent="0.15">
      <c r="B113" s="6" t="s">
        <v>481</v>
      </c>
      <c r="D113" s="10"/>
      <c r="E113" s="11"/>
      <c r="F113" s="6" t="str">
        <f>IF(G10="X",IF(O9&gt;=I126,"ATENDE LIMITE MÍNIMO DE IDADE","NÃO ATENDE LIMITE MÍNIMO DE IDADE"),IF(O9&gt;=J126,"ATENDE LIMITE MÍNIMO DE IDADE","NÃO ATENDE LIMITE MÍNIMO DE IDADE"))</f>
        <v>NÃO ATENDE LIMITE MÍNIMO DE IDADE</v>
      </c>
      <c r="G113" s="6"/>
      <c r="H113" s="6"/>
      <c r="I113" s="6"/>
      <c r="J113" s="9"/>
      <c r="L113" s="41" t="s">
        <v>455</v>
      </c>
      <c r="O113" s="255" t="str">
        <f>IF(E2=L113,IF(K2=O3,F115,IF(K2=O4,F118,IF(K2=O6,F115,IF(K2=O2,"NADA A CRITICAR","REANALISAR FUNDAMENTAÇÃO E/OU MODALIDADE")))),"REANALISAR FUNDAMENTAÇÃO E/OU MODALIDADE")</f>
        <v>REANALISAR FUNDAMENTAÇÃO E/OU MODALIDADE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401</v>
      </c>
      <c r="BC113" s="715" t="s">
        <v>396</v>
      </c>
      <c r="BD113" s="716" t="s">
        <v>397</v>
      </c>
      <c r="BE113" s="716" t="s">
        <v>397</v>
      </c>
      <c r="BF113" s="716" t="s">
        <v>398</v>
      </c>
      <c r="BG113" s="716" t="s">
        <v>398</v>
      </c>
      <c r="BH113" s="716" t="s">
        <v>398</v>
      </c>
      <c r="BI113" s="718">
        <f>A146*1.45</f>
        <v>15.95</v>
      </c>
      <c r="BJ113" s="719">
        <v>142.12</v>
      </c>
      <c r="BK113" s="720">
        <v>142.12</v>
      </c>
      <c r="BL113" s="721">
        <v>197.38</v>
      </c>
    </row>
    <row r="114" spans="2:64" ht="13.5" hidden="1" x14ac:dyDescent="0.15">
      <c r="B114" s="20" t="s">
        <v>482</v>
      </c>
      <c r="F114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4" s="5"/>
      <c r="L114" s="41" t="s">
        <v>467</v>
      </c>
      <c r="O114" s="254" t="str">
        <f>IF(E2=L114,IF(K2=O3,F116,IF(K2=O2,F116,"REANALISAR FUNDAMENTAÇÃO E/OU MODALIDADE")),"REANALISAR FUNDAMENTAÇÃO E/OU MODALIDADE")</f>
        <v>REANALISAR FUNDAMENTAÇÃO E/OU MODALIDADE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22" t="s">
        <v>402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6" t="s">
        <v>478</v>
      </c>
      <c r="C115" s="8"/>
      <c r="D115" s="8"/>
      <c r="E115" s="5"/>
      <c r="F115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5" s="6"/>
      <c r="H115" s="6"/>
      <c r="I115" s="6"/>
      <c r="J115" s="9"/>
      <c r="K115" s="5"/>
      <c r="L115" s="11" t="s">
        <v>487</v>
      </c>
      <c r="M115" s="10"/>
      <c r="N115" s="11"/>
      <c r="O115" s="255" t="str">
        <f>IF(E2=L115,IF(K2=O4,F117,IF(K2=O2,"NADA A CRITICAR","REANALISAR FUNDAMENTAÇÃO E/OU MODALIDADE")),"REANALISAR FUNDAMENTAÇÃO E/OU MODALIDADE")</f>
        <v>REANALISAR FUNDAMENTAÇÃO E/OU MODALIDADE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403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18.849999999999998</v>
      </c>
      <c r="BJ115" s="719">
        <v>159.16999999999999</v>
      </c>
      <c r="BK115" s="720">
        <v>159.16999999999999</v>
      </c>
      <c r="BL115" s="721">
        <v>221.06</v>
      </c>
    </row>
    <row r="116" spans="2:64" ht="13.5" hidden="1" x14ac:dyDescent="0.15">
      <c r="B116" s="6" t="s">
        <v>479</v>
      </c>
      <c r="C116" s="8"/>
      <c r="D116" s="8"/>
      <c r="E116" s="5"/>
      <c r="F116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16" s="6"/>
      <c r="H116" s="6"/>
      <c r="I116" s="6"/>
      <c r="J116" s="9"/>
      <c r="K116" s="5"/>
      <c r="L116" s="42" t="s">
        <v>484</v>
      </c>
      <c r="M116" s="10"/>
      <c r="N116" s="11"/>
      <c r="O116" s="255" t="str">
        <f>IF(E2=L116,IF(K2=O5,F114,"REANALISAR FUNDAMENTAÇÃO E/OU MODALIDADE"),"REANALISAR FUNDAMENTAÇÃO E/OU MODALIDADE")</f>
        <v>NÃO ATENDE LIMITE MÍNIMO DE IDADE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404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>
        <f>A149*1.45</f>
        <v>20.3</v>
      </c>
      <c r="BJ116" s="719">
        <v>101.15</v>
      </c>
      <c r="BK116" s="720">
        <v>101.15</v>
      </c>
      <c r="BL116" s="721">
        <v>140.4</v>
      </c>
    </row>
    <row r="117" spans="2:64" hidden="1" x14ac:dyDescent="0.15">
      <c r="B117" s="20" t="s">
        <v>483</v>
      </c>
      <c r="C117" s="43"/>
      <c r="D117" s="43"/>
      <c r="E117" s="44"/>
      <c r="F117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17" s="44"/>
      <c r="H117" s="44"/>
      <c r="I117" s="44"/>
      <c r="J117" s="44"/>
      <c r="K117" s="45"/>
      <c r="L117" s="46" t="s">
        <v>488</v>
      </c>
      <c r="M117" s="46"/>
      <c r="N117" s="47"/>
      <c r="O117" s="255" t="b">
        <f>IF($K$2=$O$2,IF($E$2=$B$94,$F$119,IF(E2=$B$95,$F$119,IF($E$2=$B$96,"EX OFFICIO",IF($E$2=$B$97,"EX OFFICIO","REANALISAR FUNDAMENTAÇÃO E/OU MODALIDADE")))),IF($K$2=$O$3,IF($E$2=$B$94,$F$119,IF($E$2=$B$95,$F$119,IF($E$2=$B$96,"EX OFFICIO",IF($E$2=$B$97,"EX OFFICIO","REANALISAR FUNDAMENTAÇÃO E/OU MODADALIDADE"))))))</f>
        <v>0</v>
      </c>
      <c r="P117" s="3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14" t="s">
        <v>405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/>
      <c r="BJ117" s="719"/>
      <c r="BK117" s="720"/>
      <c r="BL117" s="721"/>
    </row>
    <row r="118" spans="2:64" ht="13.5" hidden="1" x14ac:dyDescent="0.15">
      <c r="B118" s="20" t="s">
        <v>486</v>
      </c>
      <c r="C118" s="43"/>
      <c r="D118" s="43"/>
      <c r="E118" s="44"/>
      <c r="F118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18" s="44"/>
      <c r="H118" s="44"/>
      <c r="I118" s="44"/>
      <c r="J118" s="44"/>
      <c r="K118" s="46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3" t="s">
        <v>406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44" t="s">
        <v>503</v>
      </c>
      <c r="C119" s="43"/>
      <c r="D119" s="43"/>
      <c r="E119" s="44"/>
      <c r="F119" s="44" t="str">
        <f>IF($N$11&gt;=70,"ATENDE LIMITE MÍNIMO DE IDADE","NÃO ATENDE LIMITE MÍNIMO DE IDADE")</f>
        <v>NÃO ATENDE LIMITE MÍNIMO DE IDADE</v>
      </c>
      <c r="G119" s="44"/>
      <c r="H119" s="44"/>
      <c r="I119" s="44"/>
      <c r="J119" s="44"/>
      <c r="K119" s="46"/>
      <c r="L119" s="48"/>
      <c r="M119" s="48"/>
      <c r="N119" s="47"/>
      <c r="O119" s="255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23" t="s">
        <v>407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/>
      <c r="BJ119" s="719"/>
      <c r="BK119" s="720"/>
      <c r="BL119" s="721"/>
    </row>
    <row r="120" spans="2:64" ht="13.5" hidden="1" x14ac:dyDescent="0.15">
      <c r="B120" s="44"/>
      <c r="C120" s="43"/>
      <c r="D120" s="43"/>
      <c r="E120" s="44"/>
      <c r="F120" s="44"/>
      <c r="G120" s="44"/>
      <c r="H120" s="44"/>
      <c r="I120" s="44"/>
      <c r="J120" s="44"/>
      <c r="K120" s="46"/>
      <c r="L120" s="49" t="s">
        <v>498</v>
      </c>
      <c r="M120" s="11"/>
      <c r="N120" s="11"/>
      <c r="O120" s="255"/>
      <c r="P120" s="79"/>
      <c r="Q120" s="79"/>
      <c r="R120" s="79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23" t="s">
        <v>408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/>
      <c r="BJ120" s="719"/>
      <c r="BK120" s="720"/>
      <c r="BL120" s="721"/>
    </row>
    <row r="121" spans="2:64" ht="13.5" hidden="1" x14ac:dyDescent="0.15">
      <c r="B121" s="50"/>
      <c r="C121" s="50"/>
      <c r="D121" s="50"/>
      <c r="E121" s="50"/>
      <c r="F121" s="50"/>
      <c r="G121" s="50"/>
      <c r="H121" s="50"/>
      <c r="I121" s="50"/>
      <c r="J121" s="50"/>
      <c r="K121" s="51"/>
      <c r="L121" s="11" t="s">
        <v>499</v>
      </c>
      <c r="M121" s="11"/>
      <c r="N121" s="11"/>
      <c r="O121" s="255"/>
      <c r="P121" s="79"/>
      <c r="Q121" s="86">
        <f>IF(K2=O4,IF(E2=B91,R121,IF(E2=B92,R121,IF(E2=B98,R121,IF(G10="X",(30*365)-F61,(35*365)-F61)))),IF(K2=O5,IF(E2=B99,R121,IF(G10="X",(30*365)-F61,(35*365)-F61))))</f>
        <v>15330</v>
      </c>
      <c r="R121" s="86">
        <f>IF($K$2=$O$4,IF($F$61&gt;=($F$37+$E$44),0,($F$37+$E$44)-$F$61),IF($K$2=$O$5,IF($F$61&gt;=($F$37+$E$44),0,($F$37+$E$44)-$F$61)))</f>
        <v>15330</v>
      </c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23" t="s">
        <v>409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52"/>
      <c r="C122" s="52"/>
      <c r="D122" s="52"/>
      <c r="E122" s="52"/>
      <c r="F122" s="52"/>
      <c r="G122" s="52"/>
      <c r="H122" s="52"/>
      <c r="I122" s="52"/>
      <c r="J122" s="52"/>
      <c r="K122" s="53"/>
      <c r="L122" s="42" t="s">
        <v>500</v>
      </c>
      <c r="M122" s="11"/>
      <c r="N122" s="11"/>
      <c r="O122" s="255"/>
      <c r="P122" s="79"/>
      <c r="Q122" s="86">
        <f>IF(E2="VOLUNTÁRIA ESPECIAL",IF(D12="X",IF(G10="X",(25*365)-F61,(30*365)-F61)),IF(G10="X",(30*365)-F61,(35*365)-F61))</f>
        <v>12775</v>
      </c>
      <c r="R122" s="79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69"/>
      <c r="AD122" s="70"/>
      <c r="AE122" s="70"/>
      <c r="AF122" s="70"/>
      <c r="AG122" s="69"/>
      <c r="AX122" s="11"/>
      <c r="AY122" s="11"/>
      <c r="AZ122" s="11"/>
      <c r="BA122" s="85"/>
      <c r="BB122" s="723" t="s">
        <v>410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x14ac:dyDescent="0.15"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17" t="s">
        <v>463</v>
      </c>
      <c r="M123" s="11"/>
      <c r="N123" s="11"/>
      <c r="O123" s="255" t="s">
        <v>504</v>
      </c>
      <c r="P123" s="79"/>
      <c r="Q123" s="87"/>
      <c r="R123" s="86">
        <f>IF(E2="VOLUNTÁRIA ESPECIAL",IF(D12="X",IF(G10="X",(25*365)-$F$37,(30*365)-$F$37)),IF(G10="X",(30*365)-$F$37,(35*365)-$F$37))</f>
        <v>12775</v>
      </c>
      <c r="S123" s="11"/>
      <c r="T123" s="5"/>
      <c r="U123" s="5"/>
      <c r="V123" s="5"/>
      <c r="W123" s="5"/>
      <c r="X123" s="5"/>
      <c r="Y123" s="5"/>
      <c r="Z123" s="5"/>
      <c r="AA123" s="5"/>
      <c r="AB123" s="5"/>
      <c r="AC123" s="69"/>
      <c r="AD123" s="70"/>
      <c r="AE123" s="70"/>
      <c r="AF123" s="70"/>
      <c r="AG123" s="69"/>
      <c r="AX123" s="11"/>
      <c r="AY123" s="11"/>
      <c r="AZ123" s="5"/>
      <c r="BA123" s="724"/>
      <c r="BB123" s="723" t="s">
        <v>411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3.5" hidden="1" customHeight="1" x14ac:dyDescent="0.15">
      <c r="B124" s="6"/>
      <c r="C124" s="1943" t="s">
        <v>459</v>
      </c>
      <c r="D124" s="1943"/>
      <c r="E124" s="1943"/>
      <c r="F124" s="1943" t="s">
        <v>460</v>
      </c>
      <c r="G124" s="1943"/>
      <c r="H124" s="1943"/>
      <c r="I124" s="1943" t="s">
        <v>461</v>
      </c>
      <c r="J124" s="1943"/>
      <c r="K124" s="51"/>
      <c r="L124" s="51"/>
      <c r="M124" s="54"/>
      <c r="N124" s="54"/>
      <c r="O124" s="255" t="s">
        <v>487</v>
      </c>
      <c r="P124" s="78"/>
      <c r="Q124" s="78"/>
      <c r="R124" s="86">
        <f>IF(E2=B98,IF(G10="X",(25*365)-$F$37,(30*365)-$F$37),IF(G10="X",(30*365)-$F$37,(35*365)-$F$37))</f>
        <v>12775</v>
      </c>
      <c r="AX124" s="11"/>
      <c r="AY124" s="11"/>
      <c r="BB124" s="723" t="s">
        <v>412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2.75" hidden="1" customHeight="1" x14ac:dyDescent="0.15">
      <c r="B125" s="40" t="s">
        <v>454</v>
      </c>
      <c r="C125" s="40" t="s">
        <v>457</v>
      </c>
      <c r="D125" s="8"/>
      <c r="E125" s="5" t="s">
        <v>456</v>
      </c>
      <c r="F125" s="6" t="s">
        <v>457</v>
      </c>
      <c r="G125" s="6"/>
      <c r="H125" s="6" t="s">
        <v>456</v>
      </c>
      <c r="I125" s="8" t="s">
        <v>457</v>
      </c>
      <c r="J125" s="8" t="s">
        <v>456</v>
      </c>
      <c r="K125" s="51"/>
      <c r="L125" s="18" t="s">
        <v>466</v>
      </c>
      <c r="M125" s="54"/>
      <c r="N125" s="54"/>
      <c r="O125" s="255" t="s">
        <v>509</v>
      </c>
      <c r="P125" s="78"/>
      <c r="Q125" s="86">
        <f>IF(K2=O7,IF($E$2=B91,IF($G$10="X",(30*365)-$F$61,(35*365)-$F$61)),IF($G$10="X",(30*365)-$F$61,(35*365)-$F$61))</f>
        <v>12775</v>
      </c>
      <c r="R125" s="78"/>
      <c r="AX125" s="11"/>
      <c r="AY125" s="11"/>
      <c r="BB125" s="723" t="s">
        <v>413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3.5" hidden="1" customHeight="1" x14ac:dyDescent="0.15">
      <c r="B126" s="16" t="s">
        <v>450</v>
      </c>
      <c r="C126" s="55">
        <f>30*365</f>
        <v>10950</v>
      </c>
      <c r="D126" s="55"/>
      <c r="E126" s="55">
        <f>35*365</f>
        <v>12775</v>
      </c>
      <c r="F126" s="55">
        <v>20089</v>
      </c>
      <c r="G126" s="55"/>
      <c r="H126" s="55">
        <v>21914</v>
      </c>
      <c r="I126" s="55">
        <f>F126-C129</f>
        <v>31039</v>
      </c>
      <c r="J126" s="55">
        <f>H126-E129</f>
        <v>34689</v>
      </c>
      <c r="K126" s="51"/>
      <c r="L126" s="51"/>
      <c r="M126" s="54"/>
      <c r="N126" s="54"/>
      <c r="P126" s="78"/>
      <c r="Q126" s="78"/>
      <c r="R126" s="78"/>
      <c r="AX126" s="11"/>
      <c r="AY126" s="11"/>
      <c r="BB126" s="723" t="s">
        <v>414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2.75" hidden="1" customHeight="1" x14ac:dyDescent="0.15">
      <c r="B127" s="16" t="s">
        <v>455</v>
      </c>
      <c r="C127" s="47">
        <f>25*365</f>
        <v>9125</v>
      </c>
      <c r="D127" s="47"/>
      <c r="E127" s="47">
        <f>30*365</f>
        <v>10950</v>
      </c>
      <c r="F127" s="55">
        <v>18264</v>
      </c>
      <c r="G127" s="55"/>
      <c r="H127" s="55">
        <v>20089</v>
      </c>
      <c r="I127" s="47">
        <f>ROUNDDOWN(I126/365,0)</f>
        <v>85</v>
      </c>
      <c r="J127" s="47">
        <f>ROUNDDOWN(J126/365,0)</f>
        <v>95</v>
      </c>
      <c r="K127" s="51"/>
      <c r="L127" s="51"/>
      <c r="M127" s="54"/>
      <c r="N127" s="54"/>
      <c r="P127" s="78"/>
      <c r="Q127" s="78"/>
      <c r="R127" s="78"/>
      <c r="AX127" s="11"/>
      <c r="AY127" s="11"/>
      <c r="BB127" s="723" t="s">
        <v>415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2.75" hidden="1" customHeight="1" x14ac:dyDescent="0.15">
      <c r="B128" s="48"/>
      <c r="C128" s="48"/>
      <c r="D128" s="48"/>
      <c r="E128" s="46"/>
      <c r="F128" s="48"/>
      <c r="G128" s="48"/>
      <c r="H128" s="48"/>
      <c r="I128" s="48"/>
      <c r="J128" s="46"/>
      <c r="K128" s="51"/>
      <c r="L128" s="51"/>
      <c r="M128" s="54"/>
      <c r="N128" s="54"/>
      <c r="AX128" s="5"/>
      <c r="AY128" s="5"/>
      <c r="BB128" s="723" t="s">
        <v>416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48" t="s">
        <v>458</v>
      </c>
      <c r="C129" s="56">
        <f>ROUNDDOWN((F61-C126),0)</f>
        <v>-10950</v>
      </c>
      <c r="D129" s="48"/>
      <c r="E129" s="56">
        <f>ROUNDDOWN((F61-E126),0)</f>
        <v>-12775</v>
      </c>
      <c r="F129" s="48"/>
      <c r="G129" s="48"/>
      <c r="H129" s="48"/>
      <c r="I129" s="48"/>
      <c r="J129" s="46"/>
      <c r="K129" s="51"/>
      <c r="L129" s="51"/>
      <c r="M129" s="54"/>
      <c r="N129" s="54"/>
      <c r="BB129" s="723" t="s">
        <v>417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2.75" hidden="1" customHeight="1" x14ac:dyDescent="0.15"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4"/>
      <c r="N130" s="54"/>
      <c r="BB130" s="723" t="s">
        <v>418</v>
      </c>
      <c r="BC130" s="715" t="s">
        <v>396</v>
      </c>
      <c r="BD130" s="716" t="s">
        <v>397</v>
      </c>
      <c r="BE130" s="716" t="s">
        <v>397</v>
      </c>
      <c r="BF130" s="716" t="s">
        <v>398</v>
      </c>
      <c r="BG130" s="716" t="s">
        <v>398</v>
      </c>
      <c r="BH130" s="716" t="s">
        <v>398</v>
      </c>
      <c r="BI130" s="718"/>
      <c r="BJ130" s="719"/>
      <c r="BK130" s="720"/>
      <c r="BL130" s="721"/>
    </row>
    <row r="131" spans="1:64" ht="12.75" hidden="1" customHeight="1" thickBot="1" x14ac:dyDescent="0.2">
      <c r="B131" s="1848" t="s">
        <v>548</v>
      </c>
      <c r="C131" s="1848"/>
      <c r="D131" s="1848"/>
      <c r="E131" s="1848"/>
      <c r="F131" s="1848"/>
      <c r="G131" s="1848"/>
      <c r="H131" s="1848"/>
      <c r="I131" s="1848"/>
      <c r="J131" s="1848"/>
      <c r="K131" s="1848"/>
      <c r="L131" s="1848"/>
      <c r="M131" s="1848"/>
      <c r="N131" s="1848"/>
      <c r="BB131" s="312"/>
      <c r="BC131" s="313"/>
      <c r="BD131" s="314"/>
      <c r="BE131" s="314"/>
      <c r="BF131" s="315"/>
      <c r="BG131" s="315"/>
      <c r="BH131" s="316"/>
      <c r="BI131" s="317">
        <f>A151*1.45</f>
        <v>23.2</v>
      </c>
      <c r="BJ131" s="318">
        <v>113.29</v>
      </c>
      <c r="BK131" s="319">
        <v>113.29</v>
      </c>
      <c r="BL131" s="320">
        <v>157.35</v>
      </c>
    </row>
    <row r="132" spans="1:64" ht="12.75" hidden="1" customHeight="1" x14ac:dyDescent="0.15">
      <c r="B132" s="51" t="s">
        <v>656</v>
      </c>
      <c r="C132" s="21" t="s">
        <v>657</v>
      </c>
      <c r="D132" s="101">
        <v>36145</v>
      </c>
      <c r="E132" s="101">
        <v>37986</v>
      </c>
      <c r="F132" s="102">
        <v>37986</v>
      </c>
      <c r="G132" s="246" t="s">
        <v>608</v>
      </c>
      <c r="H132" s="51" t="s">
        <v>609</v>
      </c>
      <c r="I132" s="51" t="s">
        <v>610</v>
      </c>
      <c r="J132" s="21" t="s">
        <v>612</v>
      </c>
      <c r="M132" s="40" t="s">
        <v>658</v>
      </c>
      <c r="P132" s="109"/>
      <c r="Q132" s="110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BB132" s="321"/>
      <c r="BC132" s="322"/>
      <c r="BD132" s="322"/>
      <c r="BE132" s="322"/>
      <c r="BF132" s="323"/>
      <c r="BG132" s="323"/>
      <c r="BH132" s="323"/>
      <c r="BI132" s="324"/>
      <c r="BJ132" s="325"/>
      <c r="BK132" s="326"/>
      <c r="BL132" s="327"/>
    </row>
    <row r="133" spans="1:64" ht="12.75" hidden="1" customHeight="1" x14ac:dyDescent="0.15">
      <c r="A133" s="259">
        <v>1</v>
      </c>
      <c r="B133" s="107" t="s">
        <v>549</v>
      </c>
      <c r="C133" s="21" t="s">
        <v>613</v>
      </c>
      <c r="D133" s="104">
        <f>IF(ISERROR(HLOOKUP($N$34,$Q$39:$AA$40,2)),0,HLOOKUP($N$34,$Q$39:$AA$40,2))</f>
        <v>0</v>
      </c>
      <c r="E133" s="105">
        <f>IF(ISERROR(HLOOKUP($O$34,$Q$39:$AA$40,2)),0,HLOOKUP($O$34,$Q$39:$AA$40,2))</f>
        <v>0</v>
      </c>
      <c r="F133" s="106">
        <f>IF(ISERROR(HLOOKUP($O$60,$Q$39:$AA$40,2)),0,HLOOKUP($O$60,$Q$39:$AA$40,2))</f>
        <v>0</v>
      </c>
      <c r="G133" s="21" t="s">
        <v>611</v>
      </c>
      <c r="J133" s="21" t="s">
        <v>611</v>
      </c>
      <c r="M133" s="21" t="s">
        <v>659</v>
      </c>
      <c r="P133" s="328"/>
      <c r="Q133" s="328"/>
      <c r="R133" s="5"/>
      <c r="S133" s="8"/>
      <c r="T133" s="5"/>
      <c r="U133" s="5"/>
      <c r="V133" s="5"/>
      <c r="W133" s="27"/>
      <c r="X133" s="5"/>
      <c r="Y133" s="5"/>
      <c r="Z133" s="100"/>
      <c r="AA133" s="5"/>
      <c r="AB133" s="5"/>
      <c r="BB133" s="321"/>
      <c r="BC133" s="322"/>
      <c r="BD133" s="322"/>
      <c r="BE133" s="322"/>
      <c r="BF133" s="323"/>
      <c r="BG133" s="323"/>
      <c r="BH133" s="323"/>
      <c r="BI133" s="324"/>
      <c r="BJ133" s="325"/>
      <c r="BK133" s="326"/>
      <c r="BL133" s="327"/>
    </row>
    <row r="134" spans="1:64" ht="12.75" hidden="1" customHeight="1" x14ac:dyDescent="0.15">
      <c r="A134" s="259">
        <v>2</v>
      </c>
      <c r="B134" s="51" t="s">
        <v>550</v>
      </c>
      <c r="C134" s="21" t="s">
        <v>527</v>
      </c>
      <c r="D134" s="104">
        <f>IF(ISERROR(HLOOKUP($J$134,$Q$26:$AT$27,2)),0,HLOOKUP($J$134,$Q$26:$AT$27,2))</f>
        <v>0</v>
      </c>
      <c r="E134" s="105">
        <f>IF(ISERROR(HLOOKUP($K$134,$Q$26:$AT$27,2)),0,HLOOKUP($K$134,$Q$26:$AT$27,2))</f>
        <v>0</v>
      </c>
      <c r="F134" s="106">
        <f>IF(ISERROR(HLOOKUP($L$134,$Q$26:$AT$27,2)),0,HLOOKUP($L$134,$Q$26:$AT$27,2))</f>
        <v>0</v>
      </c>
      <c r="G134" s="67">
        <f>SUM($F$27:$F$32)</f>
        <v>0</v>
      </c>
      <c r="H134" s="67">
        <f>SUM($F$27:$F$32)+$J$51</f>
        <v>0</v>
      </c>
      <c r="I134" s="67">
        <f>SUM($F$27:$F$32)+$J$51+$J$60</f>
        <v>0</v>
      </c>
      <c r="J134" s="21">
        <f t="shared" ref="J134:J156" si="7">ROUNDDOWN(G134/365,0)</f>
        <v>0</v>
      </c>
      <c r="K134" s="21">
        <f t="shared" ref="K134:K156" si="8">ROUNDDOWN(H134/365,0)</f>
        <v>0</v>
      </c>
      <c r="L134" s="21">
        <f t="shared" ref="L134:L156" si="9">ROUNDDOWN(I134/365,0)</f>
        <v>0</v>
      </c>
      <c r="M134" s="21" t="s">
        <v>660</v>
      </c>
      <c r="P134" s="328"/>
      <c r="Q134" s="328"/>
      <c r="BB134" s="321"/>
      <c r="BC134" s="322"/>
      <c r="BD134" s="322"/>
      <c r="BE134" s="322"/>
      <c r="BF134" s="323"/>
      <c r="BG134" s="323"/>
      <c r="BH134" s="323"/>
      <c r="BI134" s="324"/>
      <c r="BJ134" s="325"/>
      <c r="BK134" s="326"/>
      <c r="BL134" s="327"/>
    </row>
    <row r="135" spans="1:64" ht="12.75" hidden="1" customHeight="1" x14ac:dyDescent="0.15">
      <c r="A135" s="259" t="s">
        <v>554</v>
      </c>
      <c r="B135" s="51" t="s">
        <v>615</v>
      </c>
      <c r="C135" s="21" t="s">
        <v>613</v>
      </c>
      <c r="D135" s="104">
        <f>IF(ISERROR(HLOOKUP($J$135,$Q$45:$AB$46,2)),0,HLOOKUP($J$135,$Q$45:$AB$46,2))</f>
        <v>0</v>
      </c>
      <c r="E135" s="105">
        <f>IF(ISERROR(HLOOKUP($K$135,$Q$45:$AB$46,2)),0,HLOOKUP($K$135,$Q$45:$AB$46,2))</f>
        <v>0</v>
      </c>
      <c r="F135" s="106">
        <f>IF(ISERROR(HLOOKUP($L$135,$Q$45:$AB$46,2)),0,HLOOKUP($L$135,$Q$45:$AB$46,2))</f>
        <v>0</v>
      </c>
      <c r="G135" s="67">
        <f>SUM($F$27:$F$32)</f>
        <v>0</v>
      </c>
      <c r="H135" s="67">
        <f>SUM($F$27:$F$32)+$J$51</f>
        <v>0</v>
      </c>
      <c r="I135" s="67">
        <f>SUM($F$27:$F$32)+$J$51+$J$60</f>
        <v>0</v>
      </c>
      <c r="J135" s="21">
        <f t="shared" si="7"/>
        <v>0</v>
      </c>
      <c r="K135" s="21">
        <f t="shared" si="8"/>
        <v>0</v>
      </c>
      <c r="L135" s="21">
        <f t="shared" si="9"/>
        <v>0</v>
      </c>
      <c r="M135" s="21" t="s">
        <v>660</v>
      </c>
      <c r="P135" s="328"/>
      <c r="Q135" s="328"/>
      <c r="BB135" s="321"/>
      <c r="BC135" s="322"/>
      <c r="BD135" s="322"/>
      <c r="BE135" s="322"/>
      <c r="BF135" s="323"/>
      <c r="BG135" s="323"/>
      <c r="BH135" s="323"/>
      <c r="BI135" s="324"/>
      <c r="BJ135" s="325"/>
      <c r="BK135" s="326"/>
      <c r="BL135" s="327"/>
    </row>
    <row r="136" spans="1:64" ht="12.75" hidden="1" customHeight="1" x14ac:dyDescent="0.15">
      <c r="A136" s="259">
        <v>3</v>
      </c>
      <c r="B136" s="51" t="s">
        <v>551</v>
      </c>
      <c r="C136" s="21" t="s">
        <v>613</v>
      </c>
      <c r="D136" s="104">
        <f>IF(ISERROR(HLOOKUP($J$136,$Q$48:$AB$49,2)),0,HLOOKUP($J$136,$Q$48:$AB$49,2))</f>
        <v>0</v>
      </c>
      <c r="E136" s="105">
        <f>IF(ISERROR(HLOOKUP($K$136,$Q$48:$AB$49,2)),0,HLOOKUP($K$136,$Q$48:$AB$49,2))</f>
        <v>0</v>
      </c>
      <c r="F136" s="106">
        <f>IF(ISERROR(HLOOKUP($L$136,$Q$48:$AB$49,2)),0,HLOOKUP($L$136,$Q$48:$AB$49,2))</f>
        <v>0</v>
      </c>
      <c r="G136" s="67">
        <f>SUM($F$30:$F$32)</f>
        <v>0</v>
      </c>
      <c r="H136" s="67">
        <f>SUM($F$30:$F$32)+$J$51</f>
        <v>0</v>
      </c>
      <c r="I136" s="67">
        <f>SUM($F$30:$F$32)+$J$51+$J$60</f>
        <v>0</v>
      </c>
      <c r="J136" s="21">
        <f t="shared" si="7"/>
        <v>0</v>
      </c>
      <c r="K136" s="21">
        <f t="shared" si="8"/>
        <v>0</v>
      </c>
      <c r="L136" s="21">
        <f t="shared" si="9"/>
        <v>0</v>
      </c>
      <c r="M136" s="21" t="s">
        <v>660</v>
      </c>
      <c r="P136" s="328"/>
      <c r="Q136" s="328"/>
      <c r="BB136" s="69"/>
      <c r="BC136" s="69"/>
      <c r="BD136" s="69"/>
      <c r="BE136" s="69"/>
      <c r="BF136" s="69"/>
      <c r="BG136" s="69"/>
      <c r="BH136" s="69"/>
      <c r="BI136" s="69"/>
      <c r="BJ136" s="69"/>
      <c r="BK136" s="326"/>
      <c r="BL136" s="327"/>
    </row>
    <row r="137" spans="1:64" ht="12.75" hidden="1" customHeight="1" x14ac:dyDescent="0.15">
      <c r="A137" s="259">
        <v>4</v>
      </c>
      <c r="B137" s="51" t="s">
        <v>552</v>
      </c>
      <c r="C137" s="21" t="s">
        <v>613</v>
      </c>
      <c r="D137" s="104">
        <f>IF(ISERROR(HLOOKUP($J$137,$Q$48:$Z$49,2)),0,HLOOKUP($J$137,$Q$48:$Z$49,2))</f>
        <v>0</v>
      </c>
      <c r="E137" s="105">
        <f>IF(ISERROR(HLOOKUP($K$137,$Q$48:$Z$49,2)),0,HLOOKUP($K$137,$Q$48:$Z$49,2))</f>
        <v>0</v>
      </c>
      <c r="F137" s="106">
        <f>IF(ISERROR(HLOOKUP($L$137,$Q$48:$Z$49,2)),0,HLOOKUP($L$137,$Q$48:$Z$49,2))</f>
        <v>0</v>
      </c>
      <c r="G137" s="67">
        <f>SUM($F$27:$F$32)</f>
        <v>0</v>
      </c>
      <c r="H137" s="67">
        <f>SUM($F$27:$F$32)+$J$51</f>
        <v>0</v>
      </c>
      <c r="I137" s="67">
        <f>SUM($F$27:$F$32)+$J$51+$J$60</f>
        <v>0</v>
      </c>
      <c r="J137" s="21">
        <f t="shared" si="7"/>
        <v>0</v>
      </c>
      <c r="K137" s="21">
        <f t="shared" si="8"/>
        <v>0</v>
      </c>
      <c r="L137" s="21">
        <f t="shared" si="9"/>
        <v>0</v>
      </c>
      <c r="M137" s="21" t="s">
        <v>660</v>
      </c>
      <c r="P137" s="328"/>
      <c r="Q137" s="328"/>
      <c r="BB137" s="69"/>
      <c r="BC137" s="69"/>
      <c r="BD137" s="69" t="s">
        <v>349</v>
      </c>
      <c r="BE137" s="70">
        <v>5</v>
      </c>
      <c r="BF137" s="70">
        <v>10</v>
      </c>
      <c r="BG137" s="70">
        <v>15</v>
      </c>
      <c r="BH137" s="70">
        <v>20</v>
      </c>
      <c r="BI137" s="70">
        <v>25</v>
      </c>
      <c r="BJ137" s="329" t="s">
        <v>365</v>
      </c>
      <c r="BK137" s="326"/>
      <c r="BL137" s="327"/>
    </row>
    <row r="138" spans="1:64" ht="12.75" hidden="1" customHeight="1" x14ac:dyDescent="0.15">
      <c r="A138" s="259">
        <v>5</v>
      </c>
      <c r="B138" s="51" t="s">
        <v>553</v>
      </c>
      <c r="C138" s="21" t="s">
        <v>613</v>
      </c>
      <c r="D138" s="104">
        <f>IF(ISERROR(HLOOKUP($J$138,$Q$48:$AB$49,2)),0,HLOOKUP($J$138,$Q$48:$AB$49,2))</f>
        <v>0</v>
      </c>
      <c r="E138" s="105">
        <f>IF(ISERROR(HLOOKUP($K$138,$Q$48:$AB$49,2)),0,HLOOKUP($K$138,$Q$48:$AB$49,2))</f>
        <v>0</v>
      </c>
      <c r="F138" s="106">
        <f>IF(ISERROR(HLOOKUP($L$138,$Q$48:$AB$49,2)),0,HLOOKUP($L$138,$Q$48:$AB$49,2))</f>
        <v>0</v>
      </c>
      <c r="G138" s="67">
        <f>SUM($F$30:$F$32)</f>
        <v>0</v>
      </c>
      <c r="H138" s="67">
        <f>SUM($F$30:$F$32)+$J$51</f>
        <v>0</v>
      </c>
      <c r="I138" s="67">
        <f>SUM($F$30:$F$32)+$J$51+$J$60</f>
        <v>0</v>
      </c>
      <c r="J138" s="21">
        <f t="shared" si="7"/>
        <v>0</v>
      </c>
      <c r="K138" s="21">
        <f t="shared" si="8"/>
        <v>0</v>
      </c>
      <c r="L138" s="21">
        <f t="shared" si="9"/>
        <v>0</v>
      </c>
      <c r="M138" s="21" t="s">
        <v>660</v>
      </c>
      <c r="P138" s="328"/>
      <c r="Q138" s="328"/>
      <c r="BB138" s="69"/>
      <c r="BC138" s="330" t="s">
        <v>419</v>
      </c>
      <c r="BD138" s="330" t="s">
        <v>420</v>
      </c>
      <c r="BE138" s="69" t="s">
        <v>421</v>
      </c>
      <c r="BF138" s="69" t="s">
        <v>422</v>
      </c>
      <c r="BG138" s="69" t="s">
        <v>423</v>
      </c>
      <c r="BH138" s="69" t="s">
        <v>424</v>
      </c>
      <c r="BI138" s="69" t="s">
        <v>425</v>
      </c>
      <c r="BJ138" s="69" t="s">
        <v>426</v>
      </c>
      <c r="BK138" s="326"/>
      <c r="BL138" s="327"/>
    </row>
    <row r="139" spans="1:64" ht="12.75" hidden="1" customHeight="1" x14ac:dyDescent="0.15">
      <c r="A139" s="259" t="s">
        <v>555</v>
      </c>
      <c r="B139" s="51" t="s">
        <v>616</v>
      </c>
      <c r="C139" s="21" t="s">
        <v>613</v>
      </c>
      <c r="D139" s="104">
        <f>IF(ISERROR(HLOOKUP($J$139,$Q$48:$V$49,2)),0,HLOOKUP($J$139,$Q$48:$V$49,2))</f>
        <v>0</v>
      </c>
      <c r="E139" s="105">
        <f>IF(ISERROR(HLOOKUP($K$139,$Q$48:$V$49,2)),0,HLOOKUP($K$139,$Q$48:$V$49,2))</f>
        <v>0</v>
      </c>
      <c r="F139" s="106">
        <f>IF(ISERROR(HLOOKUP($L$139,$Q$48:$V$49,2)),0,HLOOKUP($L$139,$Q$48:$V$49,2))</f>
        <v>0</v>
      </c>
      <c r="G139" s="67">
        <f>SUM($F$30:$F$32)</f>
        <v>0</v>
      </c>
      <c r="H139" s="67">
        <f>SUM($F$30:$F$32)+$J$51</f>
        <v>0</v>
      </c>
      <c r="I139" s="67">
        <f>SUM($F$30:$F$32)+$J$51+$J$60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69"/>
      <c r="BC139" s="330" t="s">
        <v>427</v>
      </c>
      <c r="BD139" s="330" t="s">
        <v>428</v>
      </c>
      <c r="BE139" s="69" t="s">
        <v>421</v>
      </c>
      <c r="BF139" s="69" t="s">
        <v>422</v>
      </c>
      <c r="BG139" s="69" t="s">
        <v>423</v>
      </c>
      <c r="BH139" s="69" t="s">
        <v>424</v>
      </c>
      <c r="BI139" s="69" t="s">
        <v>425</v>
      </c>
      <c r="BJ139" s="69" t="s">
        <v>426</v>
      </c>
      <c r="BK139" s="326"/>
      <c r="BL139" s="327"/>
    </row>
    <row r="140" spans="1:64" ht="12.75" hidden="1" customHeight="1" x14ac:dyDescent="0.15">
      <c r="A140" s="259">
        <v>6</v>
      </c>
      <c r="B140" s="51" t="s">
        <v>556</v>
      </c>
      <c r="C140" s="21" t="s">
        <v>613</v>
      </c>
      <c r="D140" s="104">
        <f>IF(ISERROR(HLOOKUP($J$140,$Q$48:$AA$49,2)),0,HLOOKUP($J$140,$Q$48:$AA$49,2))</f>
        <v>0</v>
      </c>
      <c r="E140" s="105">
        <f>IF(ISERROR(HLOOKUP(K140,$Q$48:$AA$49,2)),0,HLOOKUP(K140,$Q$48:$AA$49,2))</f>
        <v>0</v>
      </c>
      <c r="F140" s="106">
        <f>IF(ISERROR(HLOOKUP(L140,$Q$48:$AA$49,2)),0,HLOOKUP(L140,$Q$48:$AA$49,2))</f>
        <v>0</v>
      </c>
      <c r="G140" s="396">
        <f>SUM($F$27:$F$33)</f>
        <v>0</v>
      </c>
      <c r="H140" s="103">
        <f>SUM($F$27:$F$33)+$J$51</f>
        <v>0</v>
      </c>
      <c r="I140" s="103">
        <f>SUM($F$27:$F$33)+$J$51+$J$60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330" t="s">
        <v>429</v>
      </c>
      <c r="BD140" s="330" t="s">
        <v>430</v>
      </c>
      <c r="BE140" s="69" t="s">
        <v>421</v>
      </c>
      <c r="BF140" s="69" t="s">
        <v>422</v>
      </c>
      <c r="BG140" s="69" t="s">
        <v>423</v>
      </c>
      <c r="BH140" s="69" t="s">
        <v>424</v>
      </c>
      <c r="BI140" s="69" t="s">
        <v>425</v>
      </c>
      <c r="BJ140" s="69" t="s">
        <v>426</v>
      </c>
      <c r="BK140" s="7"/>
      <c r="BL140" s="7"/>
    </row>
    <row r="141" spans="1:64" ht="12.75" hidden="1" customHeight="1" x14ac:dyDescent="0.15">
      <c r="A141" s="259">
        <v>7</v>
      </c>
      <c r="B141" s="51" t="s">
        <v>557</v>
      </c>
      <c r="C141" s="21" t="s">
        <v>547</v>
      </c>
      <c r="D141" s="104">
        <f>IF(ISERROR(HLOOKUP($J$141,$Q$77:$W$78,2)),0,HLOOKUP($J$141,$Q$77:$W$78,2))</f>
        <v>0</v>
      </c>
      <c r="E141" s="105">
        <f>IF(ISERROR(HLOOKUP(K141,$Q$77:$W$78,2)),0,HLOOKUP(K141,$Q$77:$W$78,2))</f>
        <v>0</v>
      </c>
      <c r="F141" s="106">
        <f>IF(ISERROR(HLOOKUP(L141,$Q$77:$W$78,2)),0,HLOOKUP(L141,$Q$77:$W$78,2))</f>
        <v>0</v>
      </c>
      <c r="G141" s="396">
        <f>SUM($F$30:$F$32)</f>
        <v>0</v>
      </c>
      <c r="H141" s="103">
        <f>SUM($F$30:$F$32)+$J$51</f>
        <v>0</v>
      </c>
      <c r="I141" s="103">
        <f>SUM($F$30:$F$32)+$J$51+$J$60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330" t="s">
        <v>431</v>
      </c>
      <c r="BD141" s="330" t="s">
        <v>430</v>
      </c>
      <c r="BE141" s="69" t="s">
        <v>421</v>
      </c>
      <c r="BF141" s="69" t="s">
        <v>422</v>
      </c>
      <c r="BG141" s="69" t="s">
        <v>423</v>
      </c>
      <c r="BH141" s="69" t="s">
        <v>424</v>
      </c>
      <c r="BI141" s="69" t="s">
        <v>425</v>
      </c>
      <c r="BJ141" s="69" t="s">
        <v>426</v>
      </c>
      <c r="BK141" s="5"/>
      <c r="BL141" s="5"/>
    </row>
    <row r="142" spans="1:64" ht="12.75" hidden="1" customHeight="1" x14ac:dyDescent="0.15">
      <c r="A142" s="259" t="s">
        <v>558</v>
      </c>
      <c r="B142" s="51" t="s">
        <v>614</v>
      </c>
      <c r="C142" s="21" t="s">
        <v>547</v>
      </c>
      <c r="D142" s="104">
        <f>IF(ISERROR(HLOOKUP($J$142,$Q$77:$W$78,2)),0,HLOOKUP($J$142,$Q$77:$W$78,2))</f>
        <v>0</v>
      </c>
      <c r="E142" s="105">
        <f>IF(ISERROR(HLOOKUP(K142,$Q$77:$W$78,2)),0,HLOOKUP(K142,$Q$77:$W$78,2))</f>
        <v>0</v>
      </c>
      <c r="F142" s="106">
        <f>IF(ISERROR(HLOOKUP(L142,$Q$77:$W$78,2)),0,HLOOKUP(L142,$Q$77:$W$78,2))</f>
        <v>0</v>
      </c>
      <c r="G142" s="396">
        <f>SUM($F$30:$F$32)</f>
        <v>0</v>
      </c>
      <c r="H142" s="103">
        <f>SUM($F$30:$F$32)+$J$51</f>
        <v>0</v>
      </c>
      <c r="I142" s="103">
        <f>SUM($F$30:$F$32)+$J$51+$J$60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/>
      <c r="BC142" s="69" t="s">
        <v>400</v>
      </c>
      <c r="BD142" s="69"/>
      <c r="BE142" s="69" t="s">
        <v>329</v>
      </c>
      <c r="BF142" s="69" t="s">
        <v>356</v>
      </c>
      <c r="BG142" s="69" t="s">
        <v>432</v>
      </c>
      <c r="BH142" s="69" t="s">
        <v>432</v>
      </c>
      <c r="BI142" s="69" t="s">
        <v>432</v>
      </c>
      <c r="BJ142" s="69" t="s">
        <v>432</v>
      </c>
      <c r="BK142" s="5"/>
      <c r="BL142" s="5"/>
    </row>
    <row r="143" spans="1:64" ht="12.75" hidden="1" customHeight="1" x14ac:dyDescent="0.15">
      <c r="A143" s="259">
        <v>8</v>
      </c>
      <c r="B143" s="51" t="s">
        <v>559</v>
      </c>
      <c r="C143" s="21" t="s">
        <v>547</v>
      </c>
      <c r="D143" s="104">
        <f>IF(ISERROR(HLOOKUP($J$143,$Q$73:$W$74,2)),0,HLOOKUP($J$143,$Q$73:$W$74,2))</f>
        <v>0</v>
      </c>
      <c r="E143" s="105">
        <f>IF(ISERROR(HLOOKUP(K143,$Q$73:$W$74,2)),0,HLOOKUP(K143,$Q$73:$W$74,2))</f>
        <v>0</v>
      </c>
      <c r="F143" s="106">
        <f>IF(ISERROR(HLOOKUP(L143,$Q$73:$W$74,2)),0,HLOOKUP(L143,$Q$73:$W$74,2))</f>
        <v>0</v>
      </c>
      <c r="G143" s="396">
        <f>SUM($F$27:$F$32)</f>
        <v>0</v>
      </c>
      <c r="H143" s="103">
        <f>SUM($F$27:$F$32)+$J$51</f>
        <v>0</v>
      </c>
      <c r="I143" s="103">
        <f>SUM($F$27:$F$32)+$J$51+$J$60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>
        <v>26</v>
      </c>
      <c r="BC143" s="69"/>
      <c r="BD143" s="69"/>
      <c r="BE143" s="69"/>
      <c r="BF143" s="69"/>
      <c r="BG143" s="69"/>
      <c r="BH143" s="69"/>
      <c r="BI143" s="69"/>
      <c r="BJ143" s="69"/>
      <c r="BK143" s="5"/>
      <c r="BL143" s="5"/>
    </row>
    <row r="144" spans="1:64" ht="12.75" hidden="1" customHeight="1" x14ac:dyDescent="0.15">
      <c r="A144" s="259">
        <v>9</v>
      </c>
      <c r="B144" s="51" t="s">
        <v>560</v>
      </c>
      <c r="C144" s="21" t="s">
        <v>547</v>
      </c>
      <c r="D144" s="104">
        <f>IF(ISERROR(HLOOKUP($J$144,$Q$77:$W$78,2)),0,HLOOKUP($J$144,$Q$77:$W$78,2))</f>
        <v>0</v>
      </c>
      <c r="E144" s="105">
        <f>IF(ISERROR(HLOOKUP(K144,$Q$77:$W$78,2)),0,HLOOKUP(K144,$Q$77:$W$78,2))</f>
        <v>0</v>
      </c>
      <c r="F144" s="106">
        <f>IF(ISERROR(HLOOKUP(L144,$Q$77:$W$78,2)),0,HLOOKUP(L144,$Q$77:$W$78,2))</f>
        <v>0</v>
      </c>
      <c r="G144" s="396">
        <f>SUM($F$27:$F$32)</f>
        <v>0</v>
      </c>
      <c r="H144" s="103">
        <f>SUM($F$27:$F$32)+$J$51</f>
        <v>0</v>
      </c>
      <c r="I144" s="103">
        <f>SUM($F$27:$F$32)+$J$51+$J$60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331"/>
      <c r="BD144" s="116"/>
      <c r="BE144" s="69"/>
      <c r="BF144" s="69"/>
      <c r="BG144" s="69"/>
      <c r="BH144" s="69"/>
      <c r="BI144" s="69"/>
      <c r="BJ144" s="69"/>
      <c r="BK144" s="5"/>
      <c r="BL144" s="5"/>
    </row>
    <row r="145" spans="1:64" ht="12.75" hidden="1" customHeight="1" x14ac:dyDescent="0.15">
      <c r="A145" s="259">
        <v>10</v>
      </c>
      <c r="B145" s="51" t="s">
        <v>561</v>
      </c>
      <c r="C145" s="21" t="s">
        <v>613</v>
      </c>
      <c r="D145" s="104">
        <f>IF(ISERROR(HLOOKUP($J$145,$Q$39:$Y$40,2)),0,HLOOKUP($J$145,$Q$39:$Y$40,2))</f>
        <v>0</v>
      </c>
      <c r="E145" s="105">
        <f>IF(ISERROR(HLOOKUP(K145,$Q$39:$Y$40,2)),0,HLOOKUP(K145,$Q$39:$Y$40,2))</f>
        <v>0</v>
      </c>
      <c r="F145" s="106">
        <f>IF(ISERROR(HLOOKUP(L145,$Q$39:$Y$40,2)),0,HLOOKUP(L145,$Q$39:$Y$40,2))</f>
        <v>0</v>
      </c>
      <c r="G145" s="396">
        <f>SUM($F$27:$F$32)</f>
        <v>0</v>
      </c>
      <c r="H145" s="103">
        <f>SUM($F$27:$F$32)+$J$51</f>
        <v>0</v>
      </c>
      <c r="I145" s="103">
        <f>SUM($F$27:$F$32)+$J$51+$J$60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69"/>
      <c r="BD145" s="69"/>
      <c r="BE145" s="69"/>
      <c r="BF145" s="69"/>
      <c r="BG145" s="69"/>
      <c r="BH145" s="69"/>
      <c r="BI145" s="69"/>
      <c r="BJ145" s="69"/>
      <c r="BK145" s="5"/>
      <c r="BL145" s="5"/>
    </row>
    <row r="146" spans="1:64" ht="12.75" hidden="1" customHeight="1" x14ac:dyDescent="0.15">
      <c r="A146" s="259">
        <v>11</v>
      </c>
      <c r="B146" s="51" t="s">
        <v>562</v>
      </c>
      <c r="C146" s="21" t="s">
        <v>547</v>
      </c>
      <c r="D146" s="104">
        <f>IF(ISERROR(HLOOKUP($J$146,$Q$73:$AB$74,2)),0,HLOOKUP($J$146,$Q$73:$AB$74,2))</f>
        <v>0</v>
      </c>
      <c r="E146" s="105">
        <f>IF(ISERROR(HLOOKUP(K146,$Q$73:$AB$74,2)),0,HLOOKUP(K146,$Q$73:$AB$74,2))</f>
        <v>0</v>
      </c>
      <c r="F146" s="106">
        <f>IF(ISERROR(HLOOKUP(L146,$Q$73:$AB$74,2)),0,HLOOKUP(L146,$Q$73:$AB$74,2))</f>
        <v>0</v>
      </c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/>
      <c r="BD146" s="69"/>
      <c r="BE146" s="69"/>
      <c r="BF146" s="69"/>
      <c r="BG146" s="69"/>
      <c r="BH146" s="69"/>
      <c r="BI146" s="69"/>
      <c r="BJ146" s="69"/>
      <c r="BK146" s="5"/>
      <c r="BL146" s="5"/>
    </row>
    <row r="147" spans="1:64" ht="12.75" hidden="1" customHeight="1" x14ac:dyDescent="0.15">
      <c r="A147" s="259">
        <v>12</v>
      </c>
      <c r="B147" s="51" t="s">
        <v>563</v>
      </c>
      <c r="C147" s="21"/>
      <c r="D147" s="104"/>
      <c r="E147" s="105"/>
      <c r="F147" s="106"/>
      <c r="G147" s="396">
        <f>SUM($F$30:$F$32)</f>
        <v>0</v>
      </c>
      <c r="H147" s="103">
        <f>SUM($F$30:$F$32)+$J$51</f>
        <v>0</v>
      </c>
      <c r="I147" s="103">
        <f>SUM($F$30:$F$32)+$J$51+$J$60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/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13</v>
      </c>
      <c r="B148" s="51" t="s">
        <v>686</v>
      </c>
      <c r="C148" s="21" t="s">
        <v>527</v>
      </c>
      <c r="D148" s="104">
        <f>IF(ISERROR(HLOOKUP($J$148,$Q$26:$AT$27,2)),0,HLOOKUP($J$148,$Q$26:$AT$27,2))</f>
        <v>0</v>
      </c>
      <c r="E148" s="104">
        <f>IF(ISERROR(HLOOKUP(K148,$Q$26:$AT$27,2)),0,HLOOKUP(K148,$Q$26:$AT$27,2))</f>
        <v>0</v>
      </c>
      <c r="F148" s="104">
        <f>IF(ISERROR(HLOOKUP(L148,$Q$26:$AT$27,2)),0,HLOOKUP(L148,$Q$26:$AT$27,2))</f>
        <v>0</v>
      </c>
      <c r="G148" s="396">
        <f>SUM($F$30:$F$32)</f>
        <v>0</v>
      </c>
      <c r="H148" s="103">
        <f>SUM($F$30:$F$32)+$J$51</f>
        <v>0</v>
      </c>
      <c r="I148" s="103">
        <f>SUM($F$30:$F$32)+$J$51+$J$60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BB148" s="69"/>
      <c r="BC148" s="69"/>
      <c r="BD148" s="69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14</v>
      </c>
      <c r="B149" s="51" t="s">
        <v>564</v>
      </c>
      <c r="C149" s="21" t="s">
        <v>613</v>
      </c>
      <c r="D149" s="104">
        <f>IF(ISERROR(HLOOKUP(J149,$Q$48:$AB$49,2)),0,HLOOKUP(J149,$Q$48:$AB$49,2))</f>
        <v>0</v>
      </c>
      <c r="E149" s="104">
        <f>IF(ISERROR(HLOOKUP(K149,$Q$48:$AB$49,2)),0,HLOOKUP(K149,$Q$48:$AB$49,2))</f>
        <v>0</v>
      </c>
      <c r="F149" s="104">
        <f>IF(ISERROR(HLOOKUP(L149,$Q$48:$AB$49,2)),0,HLOOKUP(L149,$Q$48:$AB$49,2))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AS149" s="5"/>
      <c r="BB149" s="69"/>
      <c r="BC149" s="69"/>
      <c r="BD149" s="69"/>
      <c r="BE149" s="69"/>
      <c r="BF149" s="69"/>
      <c r="BG149" s="69"/>
      <c r="BH149" s="69"/>
      <c r="BI149" s="69"/>
      <c r="BJ149" s="69"/>
      <c r="BK149" s="5"/>
      <c r="BL149" s="5"/>
    </row>
    <row r="150" spans="1:64" ht="12.75" hidden="1" customHeight="1" x14ac:dyDescent="0.15">
      <c r="A150" s="259">
        <v>15</v>
      </c>
      <c r="B150" s="51" t="s">
        <v>565</v>
      </c>
      <c r="C150" s="21" t="s">
        <v>613</v>
      </c>
      <c r="D150" s="104">
        <f>IF(ISERROR(HLOOKUP(J150,$Q$42:$AG$43,2)),0,HLOOKUP(J150,$Q$42:$AG$43,2))</f>
        <v>0</v>
      </c>
      <c r="E150" s="104">
        <f>IF(ISERROR(HLOOKUP(K150,$Q$42:$AG$43,2)),0,HLOOKUP(K150,$Q$42:$AG$43,2))</f>
        <v>0</v>
      </c>
      <c r="F150" s="104">
        <f>IF(ISERROR(HLOOKUP(L150,$Q$42:$AG$43,2)),0,HLOOKUP(L150,$Q$42:$AG$43,2))</f>
        <v>0</v>
      </c>
      <c r="G150" s="396">
        <f>SUM($F$27:$F$32)</f>
        <v>0</v>
      </c>
      <c r="H150" s="103">
        <f>SUM($F$27:$F$32)+$J$51</f>
        <v>0</v>
      </c>
      <c r="I150" s="103">
        <f>SUM($F$27:$F$32)+$J$51+$J$60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AS150" s="5"/>
      <c r="BB150" s="69" t="s">
        <v>427</v>
      </c>
      <c r="BC150" s="69"/>
      <c r="BD150" s="69"/>
      <c r="BE150" s="69"/>
      <c r="BF150" s="69"/>
      <c r="BG150" s="69"/>
      <c r="BH150" s="69"/>
      <c r="BI150" s="69"/>
      <c r="BJ150" s="69"/>
      <c r="BK150" s="116"/>
      <c r="BL150" s="332"/>
    </row>
    <row r="151" spans="1:64" ht="12.75" hidden="1" customHeight="1" x14ac:dyDescent="0.15">
      <c r="A151" s="259">
        <v>16</v>
      </c>
      <c r="B151" s="51" t="s">
        <v>566</v>
      </c>
      <c r="C151" s="21" t="s">
        <v>527</v>
      </c>
      <c r="D151" s="104">
        <f>IF(ISERROR(HLOOKUP(J151,$Q$26:$AT$27,2)),0,HLOOKUP(J151,$Q$26:$AT$27,2))</f>
        <v>0</v>
      </c>
      <c r="E151" s="104">
        <f>IF(ISERROR(HLOOKUP(K151,$Q$26:$AT$27,2)),0,HLOOKUP(K151,$Q$26:$AT$27,2))</f>
        <v>0</v>
      </c>
      <c r="F151" s="104">
        <f>IF(ISERROR(HLOOKUP(L151,$Q$26:$AT$27,2)),0,HLOOKUP(L151,$Q$26:$AT$27,2))</f>
        <v>0</v>
      </c>
      <c r="G151" s="396">
        <f t="shared" ref="G151:G156" si="10">SUM($F$30:$F$32)</f>
        <v>0</v>
      </c>
      <c r="H151" s="103">
        <f t="shared" ref="H151:H156" si="11">SUM($F$30:$F$32)+$J$51</f>
        <v>0</v>
      </c>
      <c r="I151" s="103">
        <f t="shared" ref="I151:I156" si="12">SUM($F$30:$F$32)+$J$51+$J$60</f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AS151" s="5"/>
      <c r="BB151" s="69"/>
      <c r="BC151" s="69"/>
      <c r="BD151" s="69"/>
      <c r="BE151" s="333"/>
      <c r="BF151" s="69"/>
      <c r="BG151" s="69"/>
      <c r="BH151" s="69"/>
      <c r="BI151" s="69"/>
      <c r="BJ151" s="69"/>
      <c r="BK151" s="69"/>
      <c r="BL151" s="69"/>
    </row>
    <row r="152" spans="1:64" ht="12.75" hidden="1" customHeight="1" x14ac:dyDescent="0.15">
      <c r="A152" s="259">
        <v>17</v>
      </c>
      <c r="B152" s="51" t="s">
        <v>567</v>
      </c>
      <c r="C152" s="21" t="s">
        <v>547</v>
      </c>
      <c r="D152" s="104">
        <f>IF(ISERROR(HLOOKUP(J152,$Q$73:$V$74,2)),0,HLOOKUP(J152,$Q$73:$V$74,2))</f>
        <v>0</v>
      </c>
      <c r="E152" s="104">
        <f>IF(ISERROR(HLOOKUP(K152,$Q$73:$V$74,2)),0,HLOOKUP(K152,$Q$73:$V$74,2))</f>
        <v>0</v>
      </c>
      <c r="F152" s="104">
        <f>IF(ISERROR(HLOOKUP(L152,$Q$73:$V$74,2)),0,HLOOKUP(L152,$Q$73:$V$74,2))</f>
        <v>0</v>
      </c>
      <c r="G152" s="396">
        <f t="shared" si="10"/>
        <v>0</v>
      </c>
      <c r="H152" s="103">
        <f t="shared" si="11"/>
        <v>0</v>
      </c>
      <c r="I152" s="103">
        <f t="shared" si="12"/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AS152" s="5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</row>
    <row r="153" spans="1:64" ht="12.75" hidden="1" customHeight="1" x14ac:dyDescent="0.15">
      <c r="A153" s="259">
        <v>18</v>
      </c>
      <c r="B153" s="51" t="s">
        <v>568</v>
      </c>
      <c r="C153" s="21" t="s">
        <v>527</v>
      </c>
      <c r="D153" s="104">
        <f>IF(ISERROR(HLOOKUP(J153,$Q$32:$AF$33,2)),0,HLOOKUP(J153,$Q$32:$AF$33,2))</f>
        <v>0</v>
      </c>
      <c r="E153" s="104">
        <f>IF(ISERROR(HLOOKUP(K153,$Q$32:$AF$33,2)),0,HLOOKUP(K153,$Q$32:$AF$33,2))</f>
        <v>0</v>
      </c>
      <c r="F153" s="104">
        <f>IF(ISERROR(HLOOKUP(L153,$Q$32:$AF$33,2)),0,HLOOKUP(L153,$Q$32:$AF$33,2))</f>
        <v>0</v>
      </c>
      <c r="G153" s="396">
        <f t="shared" si="10"/>
        <v>0</v>
      </c>
      <c r="H153" s="103">
        <f t="shared" si="11"/>
        <v>0</v>
      </c>
      <c r="I153" s="103">
        <f t="shared" si="12"/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69"/>
      <c r="BC153" s="69"/>
      <c r="BD153" s="69"/>
      <c r="BE153" s="333"/>
      <c r="BF153" s="69"/>
      <c r="BG153" s="69"/>
      <c r="BH153" s="69"/>
      <c r="BI153" s="69"/>
      <c r="BJ153" s="69"/>
      <c r="BK153" s="69"/>
      <c r="BL153" s="69"/>
    </row>
    <row r="154" spans="1:64" ht="12.75" hidden="1" customHeight="1" x14ac:dyDescent="0.15">
      <c r="A154" s="259">
        <v>19</v>
      </c>
      <c r="B154" s="51" t="s">
        <v>569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 t="shared" si="10"/>
        <v>0</v>
      </c>
      <c r="H154" s="103">
        <f t="shared" si="11"/>
        <v>0</v>
      </c>
      <c r="I154" s="103">
        <f t="shared" si="12"/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11"/>
      <c r="BC154" s="5"/>
    </row>
    <row r="155" spans="1:64" ht="12.75" hidden="1" customHeight="1" x14ac:dyDescent="0.15">
      <c r="A155" s="259">
        <v>20</v>
      </c>
      <c r="B155" s="51" t="s">
        <v>570</v>
      </c>
      <c r="C155" s="21" t="s">
        <v>613</v>
      </c>
      <c r="D155" s="104">
        <f t="shared" ref="D155:F156" si="13">IF(ISERROR(HLOOKUP(J155,$Q$39:$Y$40,2)),0,HLOOKUP(J155,$Q$39:$Y$40,2))</f>
        <v>0</v>
      </c>
      <c r="E155" s="104">
        <f t="shared" si="13"/>
        <v>0</v>
      </c>
      <c r="F155" s="104">
        <f t="shared" si="13"/>
        <v>0</v>
      </c>
      <c r="G155" s="396">
        <f t="shared" si="10"/>
        <v>0</v>
      </c>
      <c r="H155" s="103">
        <f t="shared" si="11"/>
        <v>0</v>
      </c>
      <c r="I155" s="103">
        <f t="shared" si="12"/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11"/>
      <c r="BC155" s="5"/>
    </row>
    <row r="156" spans="1:64" ht="12.75" hidden="1" customHeight="1" x14ac:dyDescent="0.15">
      <c r="A156" s="259">
        <v>21</v>
      </c>
      <c r="B156" s="51" t="s">
        <v>571</v>
      </c>
      <c r="C156" s="21" t="s">
        <v>613</v>
      </c>
      <c r="D156" s="104">
        <f t="shared" si="13"/>
        <v>0</v>
      </c>
      <c r="E156" s="104">
        <f t="shared" si="13"/>
        <v>0</v>
      </c>
      <c r="F156" s="104">
        <f t="shared" si="13"/>
        <v>0</v>
      </c>
      <c r="G156" s="396">
        <f t="shared" si="10"/>
        <v>0</v>
      </c>
      <c r="H156" s="103">
        <f t="shared" si="11"/>
        <v>0</v>
      </c>
      <c r="I156" s="103">
        <f t="shared" si="12"/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  <c r="BB156" s="11"/>
      <c r="BC156" s="5"/>
    </row>
    <row r="157" spans="1:64" ht="12.75" hidden="1" customHeight="1" x14ac:dyDescent="0.15">
      <c r="A157" s="259">
        <v>22</v>
      </c>
      <c r="B157" s="51" t="s">
        <v>572</v>
      </c>
      <c r="C157" s="21"/>
      <c r="D157" s="334"/>
      <c r="E157" s="335"/>
      <c r="F157" s="336"/>
      <c r="G157" s="397"/>
      <c r="H157" s="51"/>
      <c r="M157" s="21" t="s">
        <v>660</v>
      </c>
      <c r="P157" s="328"/>
      <c r="Q157" s="328"/>
      <c r="AS157" s="5"/>
      <c r="BB157" s="11"/>
      <c r="BC157" s="5"/>
    </row>
    <row r="158" spans="1:64" ht="12.75" hidden="1" customHeight="1" x14ac:dyDescent="0.15">
      <c r="A158" s="259">
        <v>23</v>
      </c>
      <c r="B158" s="51" t="s">
        <v>573</v>
      </c>
      <c r="C158" s="21"/>
      <c r="D158" s="334"/>
      <c r="E158" s="335"/>
      <c r="F158" s="336"/>
      <c r="G158" s="397"/>
      <c r="H158" s="51"/>
      <c r="M158" s="21" t="s">
        <v>660</v>
      </c>
      <c r="P158" s="328"/>
      <c r="Q158" s="328"/>
      <c r="AS158" s="5"/>
    </row>
    <row r="159" spans="1:64" ht="12.75" hidden="1" customHeight="1" x14ac:dyDescent="0.15">
      <c r="A159" s="259">
        <v>24</v>
      </c>
      <c r="B159" s="51" t="s">
        <v>574</v>
      </c>
      <c r="C159" s="21" t="s">
        <v>613</v>
      </c>
      <c r="D159" s="104">
        <f>IF(ISERROR(HLOOKUP(J159,$Q$42:$AG$43,2)),0,HLOOKUP(J159,$Q$42:$AG$43,2))</f>
        <v>0</v>
      </c>
      <c r="E159" s="104">
        <f>IF(ISERROR(HLOOKUP(K159,$Q$42:$AG$43,2)),0,HLOOKUP(K159,$Q$42:$AG$43,2))</f>
        <v>0</v>
      </c>
      <c r="F159" s="104">
        <f>IF(ISERROR(HLOOKUP(L159,$Q$42:$AG$43,2)),0,HLOOKUP(L159,$Q$42:$AG$43,2))</f>
        <v>0</v>
      </c>
      <c r="G159" s="396">
        <f>SUM($F$27:$F$32)</f>
        <v>0</v>
      </c>
      <c r="H159" s="103">
        <f>SUM($F$27:$F$32)+$J$51</f>
        <v>0</v>
      </c>
      <c r="I159" s="103">
        <f>SUM($F$27:$F$32)+$J$51+$J$60</f>
        <v>0</v>
      </c>
      <c r="J159" s="21">
        <f t="shared" ref="J159:J190" si="14">ROUNDDOWN(G159/365,0)</f>
        <v>0</v>
      </c>
      <c r="K159" s="21">
        <f t="shared" ref="K159:K190" si="15">ROUNDDOWN(H159/365,0)</f>
        <v>0</v>
      </c>
      <c r="L159" s="21">
        <f t="shared" ref="L159:L190" si="16">ROUNDDOWN(I159/365,0)</f>
        <v>0</v>
      </c>
      <c r="M159" s="21" t="s">
        <v>660</v>
      </c>
      <c r="P159" s="328"/>
      <c r="Q159" s="328"/>
      <c r="AS159" s="5"/>
    </row>
    <row r="160" spans="1:64" ht="12.75" hidden="1" customHeight="1" x14ac:dyDescent="0.15">
      <c r="A160" s="259">
        <v>25</v>
      </c>
      <c r="B160" s="51" t="s">
        <v>580</v>
      </c>
      <c r="C160" s="21" t="s">
        <v>527</v>
      </c>
      <c r="D160" s="104">
        <f>IF(ISERROR(HLOOKUP(J160,$Q$29:$AT$30,2)),0,HLOOKUP(J160,$Q$29:$AT$30,2))</f>
        <v>0</v>
      </c>
      <c r="E160" s="104">
        <f>IF(ISERROR(HLOOKUP(K160,$Q$29:$AT$30,2)),0,HLOOKUP(K160,$Q$29:$AT$30,2))</f>
        <v>0</v>
      </c>
      <c r="F160" s="104">
        <f>IF(ISERROR(HLOOKUP(L160,$Q$29:$AT$30,2)),0,HLOOKUP(L160,$Q$29:$AT$30,2))</f>
        <v>0</v>
      </c>
      <c r="G160" s="396">
        <f>SUM($F$30:$F$32)</f>
        <v>0</v>
      </c>
      <c r="H160" s="103">
        <f>SUM($F$30:$F$32)+$J$51</f>
        <v>0</v>
      </c>
      <c r="I160" s="103">
        <f>SUM($F$30:$F$32)+$J$51+$J$60</f>
        <v>0</v>
      </c>
      <c r="J160" s="21">
        <f t="shared" si="14"/>
        <v>0</v>
      </c>
      <c r="K160" s="21">
        <f t="shared" si="15"/>
        <v>0</v>
      </c>
      <c r="L160" s="21">
        <f t="shared" si="16"/>
        <v>0</v>
      </c>
      <c r="M160" s="21" t="s">
        <v>660</v>
      </c>
      <c r="P160" s="328"/>
      <c r="Q160" s="328"/>
      <c r="AS160" s="5"/>
    </row>
    <row r="161" spans="1:45" ht="12.75" hidden="1" customHeight="1" x14ac:dyDescent="0.15">
      <c r="A161" s="259">
        <v>26</v>
      </c>
      <c r="B161" s="51" t="s">
        <v>581</v>
      </c>
      <c r="C161" s="21" t="s">
        <v>547</v>
      </c>
      <c r="D161" s="104">
        <f>IF(ISERROR(HLOOKUP(J161,$Q$73:$W$74,2)),0,HLOOKUP(J161,$Q$73:$W$74,2))</f>
        <v>0</v>
      </c>
      <c r="E161" s="104">
        <f>IF(ISERROR(HLOOKUP(K161,$Q$73:$W$74,2)),0,HLOOKUP(K161,$Q$73:$W$74,2))</f>
        <v>0</v>
      </c>
      <c r="F161" s="104">
        <f>IF(ISERROR(HLOOKUP(L161,$Q$73:$W$74,2)),0,HLOOKUP(L161,$Q$73:$W$74,2))</f>
        <v>0</v>
      </c>
      <c r="G161" s="396">
        <f>SUM($F$27:$F$32)</f>
        <v>0</v>
      </c>
      <c r="H161" s="103">
        <f>SUM($F$27:$F$32)+$J$51</f>
        <v>0</v>
      </c>
      <c r="I161" s="103">
        <f>SUM($F$27:$F$32)+$J$51+$J$60</f>
        <v>0</v>
      </c>
      <c r="J161" s="21">
        <f t="shared" si="14"/>
        <v>0</v>
      </c>
      <c r="K161" s="21">
        <f t="shared" si="15"/>
        <v>0</v>
      </c>
      <c r="L161" s="21">
        <f t="shared" si="16"/>
        <v>0</v>
      </c>
      <c r="M161" s="21" t="s">
        <v>660</v>
      </c>
      <c r="P161" s="328"/>
      <c r="Q161" s="328"/>
      <c r="AS161" s="5"/>
    </row>
    <row r="162" spans="1:45" ht="12.75" hidden="1" customHeight="1" x14ac:dyDescent="0.15">
      <c r="A162" s="259" t="s">
        <v>582</v>
      </c>
      <c r="B162" s="51" t="s">
        <v>684</v>
      </c>
      <c r="C162" s="21" t="s">
        <v>547</v>
      </c>
      <c r="D162" s="104">
        <f>IF(ISERROR(HLOOKUP(J162,$Q$73:$V$74,2)),0,HLOOKUP(J162,$Q$73:$V$74,2))</f>
        <v>0</v>
      </c>
      <c r="E162" s="104">
        <f>IF(ISERROR(HLOOKUP(K162,$Q$73:$V$74,2)),0,HLOOKUP(K162,$Q$73:$V$74,2))</f>
        <v>0</v>
      </c>
      <c r="F162" s="104">
        <f>IF(ISERROR(HLOOKUP(L162,$Q$73:$V$74,2)),0,HLOOKUP(L162,$Q$73:$V$74,2))</f>
        <v>0</v>
      </c>
      <c r="G162" s="396">
        <f>SUM($F$27:$F$32)</f>
        <v>0</v>
      </c>
      <c r="H162" s="103">
        <f>SUM($F$27:$F$32)+$J$51</f>
        <v>0</v>
      </c>
      <c r="I162" s="103">
        <f>SUM($F$27:$F$32)+$J$51+$J$60</f>
        <v>0</v>
      </c>
      <c r="J162" s="21">
        <f t="shared" si="14"/>
        <v>0</v>
      </c>
      <c r="K162" s="21">
        <f t="shared" si="15"/>
        <v>0</v>
      </c>
      <c r="L162" s="21">
        <f t="shared" si="16"/>
        <v>0</v>
      </c>
      <c r="M162" s="21" t="s">
        <v>660</v>
      </c>
      <c r="P162" s="328"/>
      <c r="Q162" s="328"/>
      <c r="AS162" s="5"/>
    </row>
    <row r="163" spans="1:45" ht="12.75" hidden="1" customHeight="1" x14ac:dyDescent="0.15">
      <c r="A163" s="259">
        <v>27</v>
      </c>
      <c r="B163" s="51" t="s">
        <v>583</v>
      </c>
      <c r="C163" s="21" t="s">
        <v>613</v>
      </c>
      <c r="D163" s="104">
        <f>IF(ISERROR(HLOOKUP(J163,$Q$48:$Z$49,2)),0,HLOOKUP(J163,$Q$48:$Z$49,2))</f>
        <v>0</v>
      </c>
      <c r="E163" s="104">
        <f>IF(ISERROR(HLOOKUP(K163,$Q$48:$Z$49,2)),0,HLOOKUP(K163,$Q$48:$Z$49,2))</f>
        <v>0</v>
      </c>
      <c r="F163" s="104">
        <f>IF(ISERROR(HLOOKUP(L163,$Q$48:$Z$49,2)),0,HLOOKUP(L163,$Q$48:$Z$49,2))</f>
        <v>0</v>
      </c>
      <c r="G163" s="396">
        <f t="shared" ref="G163:G170" si="17">SUM($F$30:$F$32)</f>
        <v>0</v>
      </c>
      <c r="H163" s="103">
        <f t="shared" ref="H163:H170" si="18">SUM($F$30:$F$32)+$J$51</f>
        <v>0</v>
      </c>
      <c r="I163" s="103">
        <f t="shared" ref="I163:I170" si="19">SUM($F$30:$F$32)+$J$51+$J$60</f>
        <v>0</v>
      </c>
      <c r="J163" s="21">
        <f t="shared" si="14"/>
        <v>0</v>
      </c>
      <c r="K163" s="21">
        <f t="shared" si="15"/>
        <v>0</v>
      </c>
      <c r="L163" s="21">
        <f t="shared" si="16"/>
        <v>0</v>
      </c>
      <c r="M163" s="21" t="s">
        <v>660</v>
      </c>
      <c r="P163" s="328"/>
      <c r="Q163" s="328"/>
      <c r="AS163" s="5"/>
    </row>
    <row r="164" spans="1:45" ht="12.75" hidden="1" customHeight="1" x14ac:dyDescent="0.15">
      <c r="A164" s="259">
        <v>28</v>
      </c>
      <c r="B164" s="51" t="s">
        <v>584</v>
      </c>
      <c r="C164" s="21" t="s">
        <v>547</v>
      </c>
      <c r="D164" s="104">
        <f>IF(ISERROR(HLOOKUP(J164,$Q$73:$W$74,2)),0,HLOOKUP(J164,$Q$73:$W$74,2))</f>
        <v>0</v>
      </c>
      <c r="E164" s="104">
        <f>IF(ISERROR(HLOOKUP(K164,$Q$73:$W$74,2)),0,HLOOKUP(K164,$Q$73:$W$74,2))</f>
        <v>0</v>
      </c>
      <c r="F164" s="104">
        <f>IF(ISERROR(HLOOKUP(L164,$Q$73:$W$74,2)),0,HLOOKUP(L164,$Q$73:$W$74,2))</f>
        <v>0</v>
      </c>
      <c r="G164" s="396">
        <f t="shared" si="17"/>
        <v>0</v>
      </c>
      <c r="H164" s="103">
        <f t="shared" si="18"/>
        <v>0</v>
      </c>
      <c r="I164" s="103">
        <f t="shared" si="19"/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45" ht="12.75" hidden="1" customHeight="1" x14ac:dyDescent="0.15">
      <c r="A165" s="259">
        <v>29</v>
      </c>
      <c r="B165" s="51" t="s">
        <v>585</v>
      </c>
      <c r="C165" s="21" t="s">
        <v>613</v>
      </c>
      <c r="D165" s="104">
        <f>IF(ISERROR(HLOOKUP(J165,$Q$48:$V$49,2)),0,HLOOKUP(J165,$Q$48:$V$49,2))</f>
        <v>0</v>
      </c>
      <c r="E165" s="104">
        <f>IF(ISERROR(HLOOKUP(K165,$Q$48:$V$49,2)),0,HLOOKUP(K165,$Q$48:$V$49,2))</f>
        <v>0</v>
      </c>
      <c r="F165" s="104">
        <f>IF(ISERROR(HLOOKUP(L165,$Q$48:$V$49,2)),0,HLOOKUP(L165,$Q$48:$V$49,2))</f>
        <v>0</v>
      </c>
      <c r="G165" s="396">
        <f t="shared" si="17"/>
        <v>0</v>
      </c>
      <c r="H165" s="103">
        <f t="shared" si="18"/>
        <v>0</v>
      </c>
      <c r="I165" s="103">
        <f t="shared" si="19"/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45" ht="13.5" hidden="1" customHeight="1" x14ac:dyDescent="0.15">
      <c r="A166" s="259">
        <v>30</v>
      </c>
      <c r="B166" s="51" t="s">
        <v>586</v>
      </c>
      <c r="C166" s="21" t="s">
        <v>613</v>
      </c>
      <c r="D166" s="104">
        <f>IF(ISERROR(HLOOKUP(J166,$Q$48:$AA$49,2)),0,HLOOKUP(J166,$Q$48:$AA$49,2))</f>
        <v>0</v>
      </c>
      <c r="E166" s="104">
        <f>IF(ISERROR(HLOOKUP(K166,$Q$48:$AA$49,2)),0,HLOOKUP(K166,$Q$48:$AA$49,2))</f>
        <v>0</v>
      </c>
      <c r="F166" s="104">
        <f>IF(ISERROR(HLOOKUP(L166,$Q$48:$AA$49,2)),0,HLOOKUP(L166,$Q$48:$AA$49,2))</f>
        <v>0</v>
      </c>
      <c r="G166" s="396">
        <f t="shared" si="17"/>
        <v>0</v>
      </c>
      <c r="H166" s="103">
        <f t="shared" si="18"/>
        <v>0</v>
      </c>
      <c r="I166" s="103">
        <f t="shared" si="19"/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5"/>
    </row>
    <row r="167" spans="1:45" ht="12.75" hidden="1" customHeight="1" x14ac:dyDescent="0.15">
      <c r="A167" s="259" t="s">
        <v>587</v>
      </c>
      <c r="B167" s="51" t="s">
        <v>685</v>
      </c>
      <c r="C167" s="21" t="s">
        <v>547</v>
      </c>
      <c r="D167" s="104">
        <f>IF(ISERROR(HLOOKUP(J167,$Q$73:$X$74,2)),0,HLOOKUP(J167,$Q$73:$X$74,2))</f>
        <v>0</v>
      </c>
      <c r="E167" s="104">
        <f>IF(ISERROR(HLOOKUP(K167,$Q$73:$X$74,2)),0,HLOOKUP(K167,$Q$73:$X$74,2))</f>
        <v>0</v>
      </c>
      <c r="F167" s="104">
        <f>IF(ISERROR(HLOOKUP(L167,$Q$73:$X$74,2)),0,HLOOKUP(L167,$Q$73:$X$74,2))</f>
        <v>0</v>
      </c>
      <c r="G167" s="396">
        <f t="shared" si="17"/>
        <v>0</v>
      </c>
      <c r="H167" s="103">
        <f t="shared" si="18"/>
        <v>0</v>
      </c>
      <c r="I167" s="103">
        <f t="shared" si="19"/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116"/>
    </row>
    <row r="168" spans="1:45" ht="12.75" hidden="1" customHeight="1" x14ac:dyDescent="0.15">
      <c r="A168" s="259">
        <v>31</v>
      </c>
      <c r="B168" s="51" t="s">
        <v>588</v>
      </c>
      <c r="C168" s="21" t="s">
        <v>613</v>
      </c>
      <c r="D168" s="104">
        <f>IF(ISERROR(HLOOKUP(J168,$Q$42:$AG$43,2)),0,HLOOKUP(J168,$Q$42:$AG$43,2))</f>
        <v>0</v>
      </c>
      <c r="E168" s="104">
        <f>IF(ISERROR(HLOOKUP(K168,$Q$42:$AG$43,2)),0,HLOOKUP(K168,$Q$42:$AG$43,2))</f>
        <v>0</v>
      </c>
      <c r="F168" s="104">
        <f>IF(ISERROR(HLOOKUP(L168,$Q$42:$AG$43,2)),0,HLOOKUP(L168,$Q$42:$AG$43,2))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21" t="s">
        <v>660</v>
      </c>
      <c r="P168" s="328"/>
      <c r="Q168" s="328"/>
      <c r="AS168" s="69"/>
    </row>
    <row r="169" spans="1:45" ht="12.75" hidden="1" customHeight="1" x14ac:dyDescent="0.15">
      <c r="A169" s="259">
        <v>32</v>
      </c>
      <c r="B169" s="338" t="s">
        <v>617</v>
      </c>
      <c r="C169" s="21" t="s">
        <v>613</v>
      </c>
      <c r="D169" s="104">
        <f>IF(ISERROR(HLOOKUP(J169,$Q$42:$AA$43,2)),0,HLOOKUP(J169,$Q$42:$AA$43,2))</f>
        <v>0</v>
      </c>
      <c r="E169" s="104">
        <f>IF(ISERROR(HLOOKUP(K169,$Q$42:$AA$43,2)),0,HLOOKUP(K169,$Q$42:$AA$43,2))</f>
        <v>0</v>
      </c>
      <c r="F169" s="104">
        <f>IF(ISERROR(HLOOKUP(L169,$Q$42:$AA$43,2)),0,HLOOKUP(L169,$Q$42:$AA$43,2))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78" t="s">
        <v>661</v>
      </c>
      <c r="P169" s="44"/>
      <c r="Q169" s="44"/>
      <c r="AS169" s="69"/>
    </row>
    <row r="170" spans="1:45" ht="12.75" hidden="1" customHeight="1" x14ac:dyDescent="0.15">
      <c r="A170" s="259">
        <v>33</v>
      </c>
      <c r="B170" s="338" t="s">
        <v>618</v>
      </c>
      <c r="C170" s="21" t="s">
        <v>613</v>
      </c>
      <c r="D170" s="104">
        <f>IF(ISERROR(HLOOKUP(J170,$Q$39:$AA$40,2)),0,HLOOKUP(J170,$Q$39:$AA$40,2))</f>
        <v>0</v>
      </c>
      <c r="E170" s="104">
        <f>IF(ISERROR(HLOOKUP(K170,$Q$39:$AA$40,2)),0,HLOOKUP(K170,$Q$39:$AA$40,2))</f>
        <v>0</v>
      </c>
      <c r="F170" s="104">
        <f>IF(ISERROR(HLOOKUP(L170,$Q$39:$AA$40,2)),0,HLOOKUP(L170,$Q$39:$AA$40,2))</f>
        <v>0</v>
      </c>
      <c r="G170" s="396">
        <f t="shared" si="17"/>
        <v>0</v>
      </c>
      <c r="H170" s="103">
        <f t="shared" si="18"/>
        <v>0</v>
      </c>
      <c r="I170" s="103">
        <f t="shared" si="19"/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78" t="s">
        <v>661</v>
      </c>
      <c r="P170" s="44"/>
      <c r="Q170" s="44"/>
      <c r="AS170" s="69"/>
    </row>
    <row r="171" spans="1:45" ht="12.75" hidden="1" customHeight="1" x14ac:dyDescent="0.15">
      <c r="A171" s="259">
        <v>34</v>
      </c>
      <c r="B171" s="338" t="s">
        <v>619</v>
      </c>
      <c r="C171" s="21" t="s">
        <v>527</v>
      </c>
      <c r="D171" s="104">
        <f>IF(ISERROR(HLOOKUP(J171,$Q$26:$AY$27,2)),0,HLOOKUP(J171,$Q$26:$AY$27,2))</f>
        <v>0</v>
      </c>
      <c r="E171" s="104">
        <f>IF(ISERROR(HLOOKUP(K171,$Q$26:$AY$27,2)),0,HLOOKUP(K171,$Q$26:$AY$27,2))</f>
        <v>0</v>
      </c>
      <c r="F171" s="104">
        <f>IF(ISERROR(HLOOKUP(L171,$Q$26:$AY$27,2)),0,HLOOKUP(L171,$Q$26:$AY$27,2))</f>
        <v>0</v>
      </c>
      <c r="G171" s="396">
        <f>SUM($F$27:$F$33)</f>
        <v>0</v>
      </c>
      <c r="H171" s="103">
        <f>SUM($F$27:$F$33)+$J$51</f>
        <v>0</v>
      </c>
      <c r="I171" s="103">
        <f>SUM($F$27:$F$33)+$J$51+$J$60</f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78" t="s">
        <v>661</v>
      </c>
      <c r="P171" s="44"/>
      <c r="Q171" s="44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</row>
    <row r="172" spans="1:45" ht="12.75" hidden="1" customHeight="1" x14ac:dyDescent="0.15">
      <c r="A172" s="259">
        <v>35</v>
      </c>
      <c r="B172" s="338" t="s">
        <v>620</v>
      </c>
      <c r="C172" s="21" t="s">
        <v>613</v>
      </c>
      <c r="D172" s="104">
        <f>IF(ISERROR(HLOOKUP(J172,$Q$39:$AB$40,2)),0,HLOOKUP(J172,$Q$39:$AB$40,2))</f>
        <v>0</v>
      </c>
      <c r="E172" s="104">
        <f>IF(ISERROR(HLOOKUP(K172,$Q$39:$AB$40,2)),0,HLOOKUP(K172,$Q$39:$AB$40,2))</f>
        <v>0</v>
      </c>
      <c r="F172" s="104">
        <f>IF(ISERROR(HLOOKUP(L172,$Q$39:$AB$40,2)),0,HLOOKUP(L172,$Q$39:$AB$40,2))</f>
        <v>0</v>
      </c>
      <c r="G172" s="396">
        <f>SUM($F$27:$F$32)</f>
        <v>0</v>
      </c>
      <c r="H172" s="103">
        <f>SUM($F$27:$F$32)+$J$51</f>
        <v>0</v>
      </c>
      <c r="I172" s="103">
        <f>SUM($F$27:$F$32)+$J$51+$J$60</f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78" t="s">
        <v>661</v>
      </c>
      <c r="P172" s="44"/>
      <c r="Q172" s="44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</row>
    <row r="173" spans="1:45" ht="12.75" hidden="1" customHeight="1" x14ac:dyDescent="0.15">
      <c r="A173" s="259">
        <v>36</v>
      </c>
      <c r="B173" s="339" t="s">
        <v>621</v>
      </c>
      <c r="C173" s="21" t="s">
        <v>613</v>
      </c>
      <c r="D173" s="104">
        <f>IF(ISERROR(HLOOKUP(J173,$Q$39:$AA$40,2)),0,HLOOKUP(J173,$Q$39:$AA$40,2))</f>
        <v>0</v>
      </c>
      <c r="E173" s="104">
        <f>IF(ISERROR(HLOOKUP(K173,$Q$39:$AA$40,2)),0,HLOOKUP(K173,$Q$39:$AA$40,2))</f>
        <v>0</v>
      </c>
      <c r="F173" s="104">
        <f>IF(ISERROR(HLOOKUP(L173,$Q$39:$AA$40,2)),0,HLOOKUP(L173,$Q$39:$AA$40,2))</f>
        <v>0</v>
      </c>
      <c r="G173" s="396">
        <f>SUM($F$30:$F$32)</f>
        <v>0</v>
      </c>
      <c r="H173" s="103">
        <f>SUM($F$30:$F$32)+$J$51</f>
        <v>0</v>
      </c>
      <c r="I173" s="103">
        <f>SUM($F$30:$F$32)+$J$51+$J$60</f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</row>
    <row r="174" spans="1:45" ht="12.75" hidden="1" customHeight="1" x14ac:dyDescent="0.15">
      <c r="A174" s="259">
        <v>37</v>
      </c>
      <c r="B174" s="340" t="s">
        <v>622</v>
      </c>
      <c r="C174" s="21" t="s">
        <v>547</v>
      </c>
      <c r="D174" s="104">
        <f t="shared" ref="D174:F175" si="20">IF(ISERROR(HLOOKUP(J174,$Q$73:$AB$74,2)),0,HLOOKUP(J174,$Q$73:$AB$74,2))</f>
        <v>0</v>
      </c>
      <c r="E174" s="104">
        <f t="shared" si="20"/>
        <v>0</v>
      </c>
      <c r="F174" s="104">
        <f t="shared" si="20"/>
        <v>0</v>
      </c>
      <c r="G174" s="396">
        <f>SUM($F$27:$F$32)</f>
        <v>0</v>
      </c>
      <c r="H174" s="103">
        <f>SUM($F$27:$F$32)+$J$51</f>
        <v>0</v>
      </c>
      <c r="I174" s="103">
        <f>SUM($F$27:$F$32)+$J$51+$J$60</f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H174" s="69"/>
      <c r="AI174" s="116"/>
      <c r="AJ174" s="116"/>
      <c r="AK174" s="116"/>
      <c r="AL174" s="69"/>
      <c r="AM174" s="69"/>
      <c r="AN174" s="69"/>
      <c r="AO174" s="69"/>
      <c r="AP174" s="69"/>
      <c r="AQ174" s="69"/>
      <c r="AR174" s="69"/>
      <c r="AS174" s="69"/>
    </row>
    <row r="175" spans="1:45" ht="12.75" hidden="1" customHeight="1" x14ac:dyDescent="0.15">
      <c r="A175" s="259">
        <v>38</v>
      </c>
      <c r="B175" s="340" t="s">
        <v>623</v>
      </c>
      <c r="C175" s="21" t="s">
        <v>547</v>
      </c>
      <c r="D175" s="104">
        <f t="shared" si="20"/>
        <v>0</v>
      </c>
      <c r="E175" s="104">
        <f t="shared" si="20"/>
        <v>0</v>
      </c>
      <c r="F175" s="104">
        <f t="shared" si="20"/>
        <v>0</v>
      </c>
      <c r="G175" s="396">
        <f>SUM($F$30:$F$32)</f>
        <v>0</v>
      </c>
      <c r="H175" s="103">
        <f>SUM($F$30:$F$32)+$J$51</f>
        <v>0</v>
      </c>
      <c r="I175" s="103">
        <f>SUM($F$30:$F$32)+$J$51+$J$60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</row>
    <row r="176" spans="1:45" ht="12.75" hidden="1" customHeight="1" thickBot="1" x14ac:dyDescent="0.2">
      <c r="A176" s="259">
        <v>39</v>
      </c>
      <c r="B176" s="340" t="s">
        <v>624</v>
      </c>
      <c r="C176" s="21" t="s">
        <v>613</v>
      </c>
      <c r="D176" s="104">
        <f>IF(ISERROR(HLOOKUP(J176,$Q$48:$Y$49,2)),0,HLOOKUP(J176,$Q$48:$Y$49,2))</f>
        <v>0</v>
      </c>
      <c r="E176" s="104">
        <f>IF(ISERROR(HLOOKUP(K176,$Q$48:$Y$49,2)),0,HLOOKUP(K176,$Q$48:$Y$49,2))</f>
        <v>0</v>
      </c>
      <c r="F176" s="104">
        <f>IF(ISERROR(HLOOKUP(L176,$Q$48:$Y$49,2)),0,HLOOKUP(L176,$Q$48:$Y$49,2))</f>
        <v>0</v>
      </c>
      <c r="G176" s="396">
        <f>SUM($F$30:$F$32)</f>
        <v>0</v>
      </c>
      <c r="H176" s="103">
        <f>SUM($F$30:$F$32)+$J$51</f>
        <v>0</v>
      </c>
      <c r="I176" s="103">
        <f>SUM($F$30:$F$32)+$J$51+$J$60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P176" s="44"/>
      <c r="Q176" s="44"/>
    </row>
    <row r="177" spans="1:20" ht="12.75" hidden="1" customHeight="1" x14ac:dyDescent="0.15">
      <c r="A177" s="259">
        <v>40</v>
      </c>
      <c r="B177" s="340" t="s">
        <v>625</v>
      </c>
      <c r="C177" s="21" t="s">
        <v>613</v>
      </c>
      <c r="D177" s="104">
        <f>IF(ISERROR(HLOOKUP(J177,$Q$48:$AA$49,2)),0,HLOOKUP(J177,$Q$48:$AA$49,2))</f>
        <v>0</v>
      </c>
      <c r="E177" s="104">
        <f>IF(ISERROR(HLOOKUP(K177,$Q$48:$AA$49,2)),0,HLOOKUP(K177,$Q$48:$AA$49,2))</f>
        <v>0</v>
      </c>
      <c r="F177" s="104">
        <f>IF(ISERROR(HLOOKUP(L177,$Q$48:$AA$49,2)),0,HLOOKUP(L177,$Q$48:$AA$49,2))</f>
        <v>0</v>
      </c>
      <c r="G177" s="396">
        <f>SUM($F$27:$F$32)</f>
        <v>0</v>
      </c>
      <c r="H177" s="103">
        <f>SUM($F$27:$F$32)+$J$51</f>
        <v>0</v>
      </c>
      <c r="I177" s="103">
        <f>SUM($F$27:$F$32)+$J$51+$J$60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N177" s="341" t="s">
        <v>613</v>
      </c>
      <c r="O177" s="256">
        <f>IF(ISERROR(HLOOKUP(J178,$Q$63:$AA$64,2)),0,HLOOKUP(J178,$Q$63:$AA$64,2))</f>
        <v>0</v>
      </c>
      <c r="P177" s="144">
        <f>IF(ISERROR(HLOOKUP(K178,$Q$63:$AA$64,2)),0,HLOOKUP(K178,$Q$63:$AA$64,2))</f>
        <v>0</v>
      </c>
      <c r="Q177" s="144">
        <f>IF(ISERROR(HLOOKUP(L178,$Q$63:$AA$64,2)),0,HLOOKUP(L178,$Q$63:$AA$64,2))</f>
        <v>0</v>
      </c>
      <c r="R177" s="342" t="s">
        <v>695</v>
      </c>
    </row>
    <row r="178" spans="1:20" ht="12.75" hidden="1" customHeight="1" thickBot="1" x14ac:dyDescent="0.2">
      <c r="A178" s="259">
        <v>41</v>
      </c>
      <c r="B178" s="340" t="s">
        <v>626</v>
      </c>
      <c r="C178" s="21" t="str">
        <f>IF($N$8&gt;=$R$178,$P$20,$P$19)</f>
        <v>TRIÊNIO</v>
      </c>
      <c r="D178" s="343">
        <f>IF($C$178=$N$177,$O$177,$O$178)</f>
        <v>0</v>
      </c>
      <c r="E178" s="343">
        <f>IF($C$178=$N$177,$P$177,$P$178)</f>
        <v>0</v>
      </c>
      <c r="F178" s="343">
        <f>IF($C$178=$N$177,$Q$177,$Q$178)</f>
        <v>0</v>
      </c>
      <c r="G178" s="396">
        <f>SUM($F$30:$F$32)</f>
        <v>0</v>
      </c>
      <c r="H178" s="103">
        <f>SUM($F$30:$F$32)+$J$51</f>
        <v>0</v>
      </c>
      <c r="I178" s="103">
        <f>SUM($F$30:$F$32)+$J$51+$J$60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N178" s="344" t="s">
        <v>547</v>
      </c>
      <c r="O178" s="257">
        <f>IF(ISERROR(HLOOKUP(J178,$Q$73:$W$74,2)),0,HLOOKUP(J178,$Q$73:$W$74,2))</f>
        <v>0</v>
      </c>
      <c r="P178" s="145">
        <f>IF(ISERROR(HLOOKUP(K178,$Q$73:$W$74,2)),0,HLOOKUP(K178,$Q$73:$W$74,2))</f>
        <v>0</v>
      </c>
      <c r="Q178" s="145">
        <f>IF(ISERROR(HLOOKUP(L178,$Q$73:$W$74,2)),0,HLOOKUP(L178,$Q$73:$W$74,2))</f>
        <v>0</v>
      </c>
      <c r="R178" s="398">
        <v>36539</v>
      </c>
      <c r="S178" s="103"/>
      <c r="T178" s="103"/>
    </row>
    <row r="179" spans="1:20" ht="12.75" hidden="1" customHeight="1" x14ac:dyDescent="0.15">
      <c r="A179" s="259">
        <v>42</v>
      </c>
      <c r="B179" s="340" t="s">
        <v>627</v>
      </c>
      <c r="C179" s="21"/>
      <c r="D179" s="54"/>
      <c r="E179" s="54"/>
      <c r="F179" s="54"/>
      <c r="G179" s="396">
        <f>SUM($F$27:$F$32)</f>
        <v>0</v>
      </c>
      <c r="H179" s="103">
        <f>SUM($F$27:$F$32)+$J$51</f>
        <v>0</v>
      </c>
      <c r="I179" s="103">
        <f>SUM($F$27:$F$32)+$J$51+$J$60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</row>
    <row r="180" spans="1:20" ht="12.75" hidden="1" customHeight="1" x14ac:dyDescent="0.15">
      <c r="A180" s="259">
        <v>43</v>
      </c>
      <c r="B180" s="340" t="s">
        <v>628</v>
      </c>
      <c r="C180" s="21" t="s">
        <v>527</v>
      </c>
      <c r="D180" s="104">
        <f>IF(ISERROR(HLOOKUP(J180,$Q$26:$AY$27,2)),0,HLOOKUP(J180,$Q$26:$AY$27,2))</f>
        <v>0</v>
      </c>
      <c r="E180" s="104">
        <f>IF(ISERROR(HLOOKUP(K180,$Q$26:$AY$27,2)),0,HLOOKUP(K180,$Q$26:$AY$27,2))</f>
        <v>0</v>
      </c>
      <c r="F180" s="104">
        <f>IF(ISERROR(HLOOKUP(L180,$Q$26:$AY$27,2)),0,HLOOKUP(L180,$Q$26:$AY$27,2))</f>
        <v>0</v>
      </c>
      <c r="G180" s="396">
        <f>SUM($F$27:$F$33)</f>
        <v>0</v>
      </c>
      <c r="H180" s="103">
        <f>SUM($F$27:$F$33)+$J$51</f>
        <v>0</v>
      </c>
      <c r="I180" s="103">
        <f>SUM($F$27:$F$33)+$J$51+$J$60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20" ht="12.75" hidden="1" customHeight="1" x14ac:dyDescent="0.15">
      <c r="A181" s="259">
        <v>44</v>
      </c>
      <c r="B181" s="340" t="s">
        <v>629</v>
      </c>
      <c r="C181" s="21" t="s">
        <v>547</v>
      </c>
      <c r="D181" s="104">
        <f t="shared" ref="D181:F182" si="21">IF(ISERROR(HLOOKUP(J181,$Q$73:$W$74,2)),0,HLOOKUP(J181,$Q$73:$W$74,2))</f>
        <v>0</v>
      </c>
      <c r="E181" s="104">
        <f t="shared" si="21"/>
        <v>0</v>
      </c>
      <c r="F181" s="104">
        <f t="shared" si="21"/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P181" s="44"/>
      <c r="Q181" s="44"/>
    </row>
    <row r="182" spans="1:20" ht="12.75" hidden="1" customHeight="1" x14ac:dyDescent="0.15">
      <c r="A182" s="259">
        <v>45</v>
      </c>
      <c r="B182" s="340" t="s">
        <v>630</v>
      </c>
      <c r="C182" s="21" t="s">
        <v>547</v>
      </c>
      <c r="D182" s="104">
        <f t="shared" si="21"/>
        <v>0</v>
      </c>
      <c r="E182" s="104">
        <f t="shared" si="21"/>
        <v>0</v>
      </c>
      <c r="F182" s="104">
        <f t="shared" si="21"/>
        <v>0</v>
      </c>
      <c r="G182" s="396">
        <f>SUM($F$27:$F$32)</f>
        <v>0</v>
      </c>
      <c r="H182" s="103">
        <f>SUM($F$27:$F$32)+$J$51</f>
        <v>0</v>
      </c>
      <c r="I182" s="103">
        <f>SUM($F$27:$F$32)+$J$51+$J$60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P182" s="44"/>
      <c r="Q182" s="44"/>
    </row>
    <row r="183" spans="1:20" ht="12.75" hidden="1" customHeight="1" x14ac:dyDescent="0.15">
      <c r="A183" s="259">
        <v>46</v>
      </c>
      <c r="B183" s="340" t="s">
        <v>631</v>
      </c>
      <c r="C183" s="21" t="s">
        <v>527</v>
      </c>
      <c r="D183" s="104">
        <f>IF(ISERROR(HLOOKUP(J183,$Q$26:$AY$27,2)),0,HLOOKUP(J183,$Q$26:$AY$27,2))</f>
        <v>0</v>
      </c>
      <c r="E183" s="104">
        <f>IF(ISERROR(HLOOKUP(K183,$Q$26:$AY$27,2)),0,HLOOKUP(K183,$Q$26:$AY$27,2))</f>
        <v>0</v>
      </c>
      <c r="F183" s="104">
        <f>IF(ISERROR(HLOOKUP(L183,$Q$26:$AY$27,2)),0,HLOOKUP(L183,$Q$26:$AY$27,2))</f>
        <v>0</v>
      </c>
      <c r="G183" s="396">
        <f>SUM($F$27:$F$32)</f>
        <v>0</v>
      </c>
      <c r="H183" s="103">
        <f>SUM($F$27:$F$32)+$J$51</f>
        <v>0</v>
      </c>
      <c r="I183" s="103">
        <f>SUM($F$27:$F$32)+$J$51+$J$60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20" ht="12.75" hidden="1" customHeight="1" x14ac:dyDescent="0.15">
      <c r="A184" s="259">
        <v>47</v>
      </c>
      <c r="B184" s="340" t="s">
        <v>632</v>
      </c>
      <c r="C184" s="21" t="s">
        <v>613</v>
      </c>
      <c r="D184" s="104">
        <f>IF(ISERROR(HLOOKUP(J184,$Q$48:$Z$49,2)),0,HLOOKUP(J184,$Q$48:$Z$49,2))</f>
        <v>0</v>
      </c>
      <c r="E184" s="104">
        <f>IF(ISERROR(HLOOKUP(K184,$Q$48:$Z$49,2)),0,HLOOKUP(K184,$Q$48:$Z$49,2))</f>
        <v>0</v>
      </c>
      <c r="F184" s="104">
        <f>IF(ISERROR(HLOOKUP(L184,$Q$48:$Z$49,2)),0,HLOOKUP(L184,$Q$48:$Z$49,2))</f>
        <v>0</v>
      </c>
      <c r="G184" s="396">
        <f>SUM($F$30:$F$32)</f>
        <v>0</v>
      </c>
      <c r="H184" s="103">
        <f>SUM($F$30:$F$32)+$J$51</f>
        <v>0</v>
      </c>
      <c r="I184" s="103">
        <f>SUM($F$30:$F$32)+$J$51+$J$60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20" ht="12.75" hidden="1" customHeight="1" x14ac:dyDescent="0.15">
      <c r="A185" s="259">
        <v>48</v>
      </c>
      <c r="B185" s="340" t="s">
        <v>633</v>
      </c>
      <c r="C185" s="21" t="s">
        <v>613</v>
      </c>
      <c r="D185" s="104">
        <f>IF(ISERROR(HLOOKUP(J185,$Q$48:$AJ$49,2)),0,HLOOKUP(J185,$Q$48:$AJ$49,2))</f>
        <v>0</v>
      </c>
      <c r="E185" s="104">
        <f>IF(ISERROR(HLOOKUP(K185,$Q$48:$AJ$49,2)),0,HLOOKUP(K185,$Q$48:$AJ$49,2))</f>
        <v>0</v>
      </c>
      <c r="F185" s="104">
        <f>IF(ISERROR(HLOOKUP(L185,$Q$48:$AJ$49,2)),0,HLOOKUP(L185,$Q$48:$AJ$49,2))</f>
        <v>0</v>
      </c>
      <c r="G185" s="396">
        <f>SUM($F$30:$F$33)</f>
        <v>0</v>
      </c>
      <c r="H185" s="103">
        <f>SUM($F$30:$F$33)+$J$51</f>
        <v>0</v>
      </c>
      <c r="I185" s="103">
        <f>SUM($F$30:$F$33)+$J$51+$J$60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20" ht="12.75" hidden="1" customHeight="1" x14ac:dyDescent="0.15">
      <c r="A186" s="259">
        <v>49</v>
      </c>
      <c r="B186" s="340" t="s">
        <v>634</v>
      </c>
      <c r="C186" s="21" t="s">
        <v>613</v>
      </c>
      <c r="D186" s="104">
        <f>IF(ISERROR(HLOOKUP(J186,$Q$48:$Z$49,2)),0,HLOOKUP(J186,$Q$48:$Z$49,2))</f>
        <v>0</v>
      </c>
      <c r="E186" s="104">
        <f>IF(ISERROR(HLOOKUP(K186,$Q$48:$Z$49,2)),0,HLOOKUP(K186,$Q$48:$Z$49,2))</f>
        <v>0</v>
      </c>
      <c r="F186" s="104">
        <f>IF(ISERROR(HLOOKUP(L186,$Q$48:$Z$49,2)),0,HLOOKUP(L186,$Q$48:$Z$49,2))</f>
        <v>0</v>
      </c>
      <c r="G186" s="396">
        <f>SUM($F$30:$F$33)</f>
        <v>0</v>
      </c>
      <c r="H186" s="103">
        <f>SUM($F$30:$F$33)+$J$51</f>
        <v>0</v>
      </c>
      <c r="I186" s="103">
        <f>SUM($F$30:$F$33)+$J$51+$J$60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20" ht="12.75" hidden="1" customHeight="1" x14ac:dyDescent="0.15">
      <c r="A187" s="259">
        <v>50</v>
      </c>
      <c r="B187" s="340" t="s">
        <v>635</v>
      </c>
      <c r="C187" s="21" t="s">
        <v>613</v>
      </c>
      <c r="D187" s="104">
        <f>IF(ISERROR(HLOOKUP(J187,$Q$39:$AB$40,2)),0,HLOOKUP(J187,$Q$39:$AB$40,2))</f>
        <v>0</v>
      </c>
      <c r="E187" s="104">
        <f>IF(ISERROR(HLOOKUP(K187,$Q$39:$AB$40,2)),0,HLOOKUP(K187,$Q$39:$AB$40,2))</f>
        <v>0</v>
      </c>
      <c r="F187" s="104">
        <f>IF(ISERROR(HLOOKUP(L187,$Q$39:$AB$40,2)),0,HLOOKUP(L187,$Q$39:$AB$40,2))</f>
        <v>0</v>
      </c>
      <c r="G187" s="396">
        <f>SUM($F$30:$F$32)</f>
        <v>0</v>
      </c>
      <c r="H187" s="103">
        <f>SUM($F$30:$F$32)+$J$51</f>
        <v>0</v>
      </c>
      <c r="I187" s="103">
        <f>SUM($F$30:$F$32)+$J$51+$J$60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20" ht="12.75" hidden="1" customHeight="1" x14ac:dyDescent="0.15">
      <c r="A188" s="259">
        <v>51</v>
      </c>
      <c r="B188" s="340" t="s">
        <v>636</v>
      </c>
      <c r="C188" s="21" t="s">
        <v>613</v>
      </c>
      <c r="D188" s="104">
        <f>IF(ISERROR(HLOOKUP(J188,$Q$39:$AA$40,2)),0,HLOOKUP(J188,$Q$39:$AA$40,2))</f>
        <v>0</v>
      </c>
      <c r="E188" s="104">
        <f>IF(ISERROR(HLOOKUP(K188,$Q$39:$AA$40,2)),0,HLOOKUP(K188,$Q$39:$AA$40,2))</f>
        <v>0</v>
      </c>
      <c r="F188" s="104">
        <f>IF(ISERROR(HLOOKUP(L188,$Q$39:$AA$40,2)),0,HLOOKUP(L188,$Q$39:$AA$40,2))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20" ht="12.75" hidden="1" customHeight="1" x14ac:dyDescent="0.15">
      <c r="A189" s="259">
        <v>52</v>
      </c>
      <c r="B189" s="340" t="s">
        <v>637</v>
      </c>
      <c r="C189" s="21" t="s">
        <v>613</v>
      </c>
      <c r="D189" s="104">
        <f>IF(ISERROR(HLOOKUP(J189,$Q$66:$X$67,2)),0,HLOOKUP(J189,$Q$66:$X$67,2))</f>
        <v>0</v>
      </c>
      <c r="E189" s="104">
        <f>IF(ISERROR(HLOOKUP(K189,$Q$66:$X$67,2)),0,HLOOKUP(K189,$Q$66:$X$67,2))</f>
        <v>0</v>
      </c>
      <c r="F189" s="104">
        <f>IF(ISERROR(HLOOKUP(L189,$Q$66:$X$67,2)),0,HLOOKUP(L189,$Q$66:$X$67,2))</f>
        <v>0</v>
      </c>
      <c r="G189" s="396">
        <f>SUM($F$27:$F$32)</f>
        <v>0</v>
      </c>
      <c r="H189" s="103">
        <f>SUM($F$27:$F$32)+$J$51</f>
        <v>0</v>
      </c>
      <c r="I189" s="103">
        <f>SUM($F$27:$F$32)+$J$51+$J$60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20" ht="12.75" hidden="1" customHeight="1" x14ac:dyDescent="0.15">
      <c r="A190" s="259">
        <v>53</v>
      </c>
      <c r="B190" s="340" t="s">
        <v>638</v>
      </c>
      <c r="C190" s="21" t="s">
        <v>613</v>
      </c>
      <c r="D190" s="104">
        <f>IF(ISERROR(HLOOKUP(J190,$Q$48:$AA$49,2)),0,HLOOKUP(J190,$Q$48:$AA$49,2))</f>
        <v>0</v>
      </c>
      <c r="E190" s="104">
        <f>IF(ISERROR(HLOOKUP(K190,$Q$48:$AA$49,2)),0,HLOOKUP(K190,$Q$48:$AA$49,2))</f>
        <v>0</v>
      </c>
      <c r="F190" s="104">
        <f>IF(ISERROR(HLOOKUP(L190,$Q$48:$AA$49,2)),0,HLOOKUP(L190,$Q$48:$AA$49,2))</f>
        <v>0</v>
      </c>
      <c r="G190" s="396">
        <f>SUM($F$30:$F$32)</f>
        <v>0</v>
      </c>
      <c r="H190" s="103">
        <f>SUM($F$30:$F$32)+$J$51</f>
        <v>0</v>
      </c>
      <c r="I190" s="103">
        <f>SUM($F$30:$F$32)+$J$51+$J$60</f>
        <v>0</v>
      </c>
      <c r="J190" s="21">
        <f t="shared" si="14"/>
        <v>0</v>
      </c>
      <c r="K190" s="21">
        <f t="shared" si="15"/>
        <v>0</v>
      </c>
      <c r="L190" s="21">
        <f t="shared" si="16"/>
        <v>0</v>
      </c>
      <c r="M190" s="78" t="s">
        <v>661</v>
      </c>
      <c r="P190" s="44"/>
      <c r="Q190" s="44"/>
    </row>
    <row r="191" spans="1:20" ht="12.75" hidden="1" customHeight="1" x14ac:dyDescent="0.15">
      <c r="A191" s="259">
        <v>54</v>
      </c>
      <c r="B191" s="340" t="s">
        <v>639</v>
      </c>
      <c r="C191" s="21" t="s">
        <v>613</v>
      </c>
      <c r="D191" s="104">
        <f>IF(ISERROR(HLOOKUP(J191,$Q$39:$AA$40,2)),0,HLOOKUP(J191,$Q$39:$AA$40,2))</f>
        <v>0</v>
      </c>
      <c r="E191" s="104">
        <f>IF(ISERROR(HLOOKUP(K191,$Q$39:$AA$40,2)),0,HLOOKUP(K191,$Q$39:$AA$40,2))</f>
        <v>0</v>
      </c>
      <c r="F191" s="104">
        <f>IF(ISERROR(HLOOKUP(L191,$Q$39:$AA$40,2)),0,HLOOKUP(L191,$Q$39:$AA$40,2))</f>
        <v>0</v>
      </c>
      <c r="G191" s="396">
        <f>SUM($F$27:$F$32)</f>
        <v>0</v>
      </c>
      <c r="H191" s="103">
        <f>SUM($F$27:$F$32)+$J$51</f>
        <v>0</v>
      </c>
      <c r="I191" s="103">
        <f>SUM($F$27:$F$32)+$J$51+$J$60</f>
        <v>0</v>
      </c>
      <c r="J191" s="21">
        <f t="shared" ref="J191:J222" si="22">ROUNDDOWN(G191/365,0)</f>
        <v>0</v>
      </c>
      <c r="K191" s="21">
        <f t="shared" ref="K191:K222" si="23">ROUNDDOWN(H191/365,0)</f>
        <v>0</v>
      </c>
      <c r="L191" s="21">
        <f t="shared" ref="L191:L222" si="24">ROUNDDOWN(I191/365,0)</f>
        <v>0</v>
      </c>
      <c r="M191" s="78" t="s">
        <v>661</v>
      </c>
      <c r="P191" s="44"/>
      <c r="Q191" s="44"/>
    </row>
    <row r="192" spans="1:20" ht="12.75" hidden="1" customHeight="1" x14ac:dyDescent="0.15">
      <c r="A192" s="259">
        <v>55</v>
      </c>
      <c r="B192" s="340" t="s">
        <v>640</v>
      </c>
      <c r="C192" s="21" t="s">
        <v>613</v>
      </c>
      <c r="D192" s="104">
        <f>IF(ISERROR(HLOOKUP(J192,$Q$60:$AA$61,2)),0,HLOOKUP(J192,$Q$60:$AA$61,2))</f>
        <v>0</v>
      </c>
      <c r="E192" s="104">
        <f>IF(ISERROR(HLOOKUP(K192,$Q$60:$AA$61,2)),0,HLOOKUP(K192,$Q$60:$AA$61,2))</f>
        <v>0</v>
      </c>
      <c r="F192" s="104">
        <f>IF(ISERROR(HLOOKUP(L192,$Q$60:$AA$61,2)),0,HLOOKUP(L192,$Q$60:$AA$61,2))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22"/>
        <v>0</v>
      </c>
      <c r="K192" s="21">
        <f t="shared" si="23"/>
        <v>0</v>
      </c>
      <c r="L192" s="21">
        <f t="shared" si="24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56</v>
      </c>
      <c r="B193" s="340" t="s">
        <v>683</v>
      </c>
      <c r="C193" s="21" t="s">
        <v>547</v>
      </c>
      <c r="D193" s="104">
        <f>IF(ISERROR(HLOOKUP(J193,$Q$80:$W$81,2)),0,HLOOKUP(J193,$Q$80:$W$81,2))</f>
        <v>0</v>
      </c>
      <c r="E193" s="104">
        <f>IF(ISERROR(HLOOKUP(K193,$Q$80:$W$81,2)),0,HLOOKUP(K193,$Q$80:$W$81,2))</f>
        <v>0</v>
      </c>
      <c r="F193" s="104">
        <f>IF(ISERROR(HLOOKUP(L193,$Q$80:$W$81,2)),0,HLOOKUP(L193,$Q$80:$W$81,2))</f>
        <v>0</v>
      </c>
      <c r="G193" s="396">
        <f>SUM($F$30:$F$32)</f>
        <v>0</v>
      </c>
      <c r="H193" s="103">
        <f>SUM($F$30:$F$32)+$J$51</f>
        <v>0</v>
      </c>
      <c r="I193" s="103">
        <f>SUM($F$30:$F$32)+$J$51+$J$60</f>
        <v>0</v>
      </c>
      <c r="J193" s="21">
        <f t="shared" si="22"/>
        <v>0</v>
      </c>
      <c r="K193" s="21">
        <f t="shared" si="23"/>
        <v>0</v>
      </c>
      <c r="L193" s="21">
        <f t="shared" si="24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57</v>
      </c>
      <c r="B194" s="340" t="s">
        <v>699</v>
      </c>
      <c r="C194" s="21" t="s">
        <v>613</v>
      </c>
      <c r="D194" s="104">
        <f>IF(ISERROR(HLOOKUP(J194,$Q$48:$AA$49,2)),0,HLOOKUP(J194,$Q$48:$AA$49,2))</f>
        <v>0</v>
      </c>
      <c r="E194" s="104">
        <f>IF(ISERROR(HLOOKUP(K194,$Q$48:$AA$49,2)),0,HLOOKUP(K194,$Q$48:$AA$49,2))</f>
        <v>0</v>
      </c>
      <c r="F194" s="104">
        <f>IF(ISERROR(HLOOKUP(L194,$Q$48:$AA$49,2)),0,HLOOKUP(L194,$Q$48:$AA$49,2))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22"/>
        <v>0</v>
      </c>
      <c r="K194" s="21">
        <f t="shared" si="23"/>
        <v>0</v>
      </c>
      <c r="L194" s="21">
        <f t="shared" si="24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58</v>
      </c>
      <c r="B195" s="340" t="s">
        <v>641</v>
      </c>
      <c r="C195" s="21" t="s">
        <v>613</v>
      </c>
      <c r="D195" s="104">
        <f>IF(ISERROR(HLOOKUP(J195,$Q$69:$AC$70,2)),0,HLOOKUP(J195,$Q$69:$AC$70,2))</f>
        <v>0</v>
      </c>
      <c r="E195" s="104">
        <f>IF(ISERROR(HLOOKUP(K195,$Q$69:$AC$70,2)),0,HLOOKUP(K195,$Q$69:$AC$70,2))</f>
        <v>0</v>
      </c>
      <c r="F195" s="104">
        <f>IF(ISERROR(HLOOKUP(L195,$Q$69:$AC$70,2)),0,HLOOKUP(L195,$Q$69:$AC$70,2))</f>
        <v>0</v>
      </c>
      <c r="G195" s="396">
        <f>SUM($F$30:$F$32)</f>
        <v>0</v>
      </c>
      <c r="H195" s="103">
        <f>SUM($F$30:$F$32)+$J$51</f>
        <v>0</v>
      </c>
      <c r="I195" s="103">
        <f>SUM($F$30:$F$32)+$J$51+$J$60</f>
        <v>0</v>
      </c>
      <c r="J195" s="21">
        <f t="shared" si="22"/>
        <v>0</v>
      </c>
      <c r="K195" s="21">
        <f t="shared" si="23"/>
        <v>0</v>
      </c>
      <c r="L195" s="21">
        <f t="shared" si="24"/>
        <v>0</v>
      </c>
      <c r="M195" s="78" t="s">
        <v>661</v>
      </c>
      <c r="P195" s="44"/>
      <c r="Q195" s="44"/>
    </row>
    <row r="196" spans="1:33" ht="12.75" hidden="1" customHeight="1" x14ac:dyDescent="0.15">
      <c r="A196" s="259">
        <v>59</v>
      </c>
      <c r="B196" s="340" t="s">
        <v>642</v>
      </c>
      <c r="C196" s="21" t="s">
        <v>613</v>
      </c>
      <c r="D196" s="104">
        <f>IF(ISERROR(HLOOKUP(J196,$Q$39:$AB$40,2)),0,HLOOKUP(J196,$Q$39:$AB$40,2))</f>
        <v>0</v>
      </c>
      <c r="E196" s="104">
        <f>IF(ISERROR(HLOOKUP(K196,$Q$39:$AB$40,2)),0,HLOOKUP(K196,$Q$39:$AB$40,2))</f>
        <v>0</v>
      </c>
      <c r="F196" s="104">
        <f>IF(ISERROR(HLOOKUP(L196,$Q$39:$AB$40,2)),0,HLOOKUP(L196,$Q$39:$AB$40,2))</f>
        <v>0</v>
      </c>
      <c r="G196" s="396">
        <f>SUM($F$27:$F$33)</f>
        <v>0</v>
      </c>
      <c r="H196" s="103">
        <f>SUM($F$27:$F$33)+$J$51</f>
        <v>0</v>
      </c>
      <c r="I196" s="103">
        <f>SUM($F$27:$F$33)+$J$51+$J$60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  <c r="AC196" s="69"/>
      <c r="AD196" s="69"/>
      <c r="AE196" s="69"/>
      <c r="AF196" s="69"/>
      <c r="AG196" s="69"/>
    </row>
    <row r="197" spans="1:33" ht="12.75" hidden="1" customHeight="1" x14ac:dyDescent="0.15">
      <c r="A197" s="259">
        <v>60</v>
      </c>
      <c r="B197" s="340" t="s">
        <v>643</v>
      </c>
      <c r="C197" s="21" t="s">
        <v>547</v>
      </c>
      <c r="D197" s="104">
        <f>IF(ISERROR(HLOOKUP(J197,$Q$80:$W$81,2)),0,HLOOKUP(J197,$Q$80:$W$81,2))</f>
        <v>0</v>
      </c>
      <c r="E197" s="104">
        <f>IF(ISERROR(HLOOKUP(K197,$Q$80:$W$81,2)),0,HLOOKUP(K197,$Q$80:$W$81,2))</f>
        <v>0</v>
      </c>
      <c r="F197" s="104">
        <f>IF(ISERROR(HLOOKUP(L197,$Q$80:$W$81,2)),0,HLOOKUP(L197,$Q$80:$W$81,2))</f>
        <v>0</v>
      </c>
      <c r="G197" s="396">
        <f>SUM($F$30:$F$33)</f>
        <v>0</v>
      </c>
      <c r="H197" s="103">
        <f>SUM($F$30:$F$33)+$J$51</f>
        <v>0</v>
      </c>
      <c r="I197" s="103">
        <f>SUM($F$30:$F$33)+$J$51+$J$60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  <c r="AC197" s="69"/>
      <c r="AD197" s="69"/>
      <c r="AE197" s="69"/>
      <c r="AF197" s="69"/>
      <c r="AG197" s="69"/>
    </row>
    <row r="198" spans="1:33" ht="12.75" hidden="1" customHeight="1" x14ac:dyDescent="0.15">
      <c r="A198" s="259">
        <v>61</v>
      </c>
      <c r="B198" s="340" t="s">
        <v>644</v>
      </c>
      <c r="C198" s="21" t="s">
        <v>613</v>
      </c>
      <c r="D198" s="104">
        <f>IF(ISERROR(HLOOKUP(J198,$Q$39:$AA$40,2)),0,HLOOKUP(J198,$Q$39:$AA$40,2))</f>
        <v>0</v>
      </c>
      <c r="E198" s="104">
        <f>IF(ISERROR(HLOOKUP(K198,$Q$39:$AA$40,2)),0,HLOOKUP(K198,$Q$39:$AA$40,2))</f>
        <v>0</v>
      </c>
      <c r="F198" s="104">
        <f>IF(ISERROR(HLOOKUP(L198,$Q$39:$AA$40,2)),0,HLOOKUP(L198,$Q$39:$AA$40,2))</f>
        <v>0</v>
      </c>
      <c r="G198" s="396">
        <f>SUM($F$27:$F$33)</f>
        <v>0</v>
      </c>
      <c r="H198" s="103">
        <f>SUM($F$27:$F$33)+$J$51</f>
        <v>0</v>
      </c>
      <c r="I198" s="103">
        <f>SUM($F$27:$F$33)+$J$51+$J$60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78" t="s">
        <v>661</v>
      </c>
      <c r="P198" s="44"/>
      <c r="Q198" s="44"/>
      <c r="AC198" s="69"/>
      <c r="AD198" s="69"/>
      <c r="AE198" s="69"/>
      <c r="AF198" s="69"/>
      <c r="AG198" s="69"/>
    </row>
    <row r="199" spans="1:33" ht="12.75" hidden="1" customHeight="1" x14ac:dyDescent="0.15">
      <c r="A199" s="259">
        <v>62</v>
      </c>
      <c r="B199" s="345" t="s">
        <v>645</v>
      </c>
      <c r="C199" s="21" t="s">
        <v>527</v>
      </c>
      <c r="D199" s="104">
        <f>IF(ISERROR(HLOOKUP(J199,$Q$26:$AY$27,2)),0,HLOOKUP(J199,$Q$26:$AY$27,2))</f>
        <v>0</v>
      </c>
      <c r="E199" s="104">
        <f>IF(ISERROR(HLOOKUP(K199,$Q$26:$AY$27,2)),0,HLOOKUP(K199,$Q$26:$AY$27,2))</f>
        <v>0</v>
      </c>
      <c r="F199" s="104">
        <f>IF(ISERROR(HLOOKUP(L199,$Q$26:$AY$27,2)),0,HLOOKUP(L199,$Q$26:$AY$27,2))</f>
        <v>0</v>
      </c>
      <c r="G199" s="396">
        <f>SUM($F$30:$F$32)</f>
        <v>0</v>
      </c>
      <c r="H199" s="103">
        <f>SUM($F$27:$F$32)+$J$51</f>
        <v>0</v>
      </c>
      <c r="I199" s="103">
        <f>SUM($F$27:$F$32)+$J$51+$J$60</f>
        <v>0</v>
      </c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346" t="s">
        <v>662</v>
      </c>
      <c r="P199" s="44"/>
      <c r="Q199" s="44"/>
      <c r="AC199" s="69"/>
      <c r="AD199" s="69"/>
      <c r="AE199" s="69"/>
      <c r="AF199" s="69"/>
      <c r="AG199" s="69"/>
    </row>
    <row r="200" spans="1:33" ht="12.75" hidden="1" customHeight="1" x14ac:dyDescent="0.15">
      <c r="A200" s="259">
        <v>63</v>
      </c>
      <c r="B200" s="345" t="s">
        <v>646</v>
      </c>
      <c r="C200" s="21"/>
      <c r="D200" s="54"/>
      <c r="E200" s="54"/>
      <c r="F200" s="54"/>
      <c r="G200" s="54"/>
      <c r="H200" s="54"/>
      <c r="I200" s="347"/>
      <c r="J200" s="21">
        <f t="shared" si="22"/>
        <v>0</v>
      </c>
      <c r="K200" s="21">
        <f t="shared" si="23"/>
        <v>0</v>
      </c>
      <c r="L200" s="21">
        <f t="shared" si="24"/>
        <v>0</v>
      </c>
      <c r="M200" s="346" t="s">
        <v>662</v>
      </c>
      <c r="P200" s="44"/>
      <c r="Q200" s="44"/>
      <c r="AC200" s="69"/>
      <c r="AD200" s="69"/>
      <c r="AE200" s="69"/>
      <c r="AF200" s="69"/>
      <c r="AG200" s="348"/>
    </row>
    <row r="201" spans="1:33" s="308" customFormat="1" ht="12.75" hidden="1" customHeight="1" x14ac:dyDescent="0.15">
      <c r="A201" s="304">
        <v>64</v>
      </c>
      <c r="B201" s="349" t="s">
        <v>647</v>
      </c>
      <c r="C201" s="308" t="s">
        <v>613</v>
      </c>
      <c r="D201" s="305">
        <f>IF(ISERROR(HLOOKUP(J201,$Q$48:$AB$49,2)),0,HLOOKUP(J201,$Q$48:$AB$49,2))</f>
        <v>0</v>
      </c>
      <c r="E201" s="305">
        <f>IF(ISERROR(HLOOKUP(K201,$Q$48:$AB$49,2)),0,HLOOKUP(K201,$Q$48:$AB$49,2))</f>
        <v>0</v>
      </c>
      <c r="F201" s="305">
        <f>IF(ISERROR(HLOOKUP(L201,$Q$48:$AB$49,2)),0,HLOOKUP(L201,$Q$48:$AB$49,2))</f>
        <v>0</v>
      </c>
      <c r="G201" s="350">
        <f>SUM($F$30:$F$33)+$O$201</f>
        <v>0</v>
      </c>
      <c r="H201" s="350">
        <f>$G$201+$J$51</f>
        <v>0</v>
      </c>
      <c r="I201" s="350">
        <f>$G$201+$J$51+$J$60</f>
        <v>0</v>
      </c>
      <c r="J201" s="351">
        <f t="shared" si="22"/>
        <v>0</v>
      </c>
      <c r="K201" s="351">
        <f t="shared" si="23"/>
        <v>0</v>
      </c>
      <c r="L201" s="351">
        <f t="shared" si="24"/>
        <v>0</v>
      </c>
      <c r="M201" s="352" t="s">
        <v>662</v>
      </c>
      <c r="N201" s="310">
        <f>SUM($F$27:$F$29)</f>
        <v>0</v>
      </c>
      <c r="O201" s="309">
        <f>IF($N$201&gt;365,365,$N$201)</f>
        <v>0</v>
      </c>
      <c r="P201" s="353"/>
      <c r="Q201" s="353"/>
      <c r="AC201" s="354"/>
      <c r="AD201" s="354"/>
      <c r="AE201" s="354"/>
      <c r="AF201" s="354"/>
      <c r="AG201" s="354"/>
    </row>
    <row r="202" spans="1:33" ht="12.75" hidden="1" customHeight="1" x14ac:dyDescent="0.15">
      <c r="A202" s="259">
        <v>65</v>
      </c>
      <c r="B202" s="345" t="s">
        <v>648</v>
      </c>
      <c r="C202" s="21" t="s">
        <v>547</v>
      </c>
      <c r="D202" s="104">
        <f>IF(ISERROR(HLOOKUP(J202,$Q$73:$AB$74,2)),0,HLOOKUP(J202,$Q$73:$AB$74,2))</f>
        <v>0</v>
      </c>
      <c r="E202" s="105">
        <f>IF(ISERROR(HLOOKUP(K202,$Q$73:$AB$74,2)),0,HLOOKUP(K202,$Q$73:$AB$74,2))</f>
        <v>0</v>
      </c>
      <c r="F202" s="106">
        <f>IF(ISERROR(HLOOKUP(L202,$Q$73:$AB$74,2)),0,HLOOKUP(L202,$Q$73:$AB$74,2))</f>
        <v>0</v>
      </c>
      <c r="G202" s="355">
        <f>SUM($F$27:$F$32)</f>
        <v>0</v>
      </c>
      <c r="H202" s="355">
        <f>SUM($F$27:$F$32)+$J$51</f>
        <v>0</v>
      </c>
      <c r="I202" s="355">
        <f>SUM($F$27:$F$32)+$J$51+$J$60</f>
        <v>0</v>
      </c>
      <c r="J202" s="21">
        <f t="shared" si="22"/>
        <v>0</v>
      </c>
      <c r="K202" s="21">
        <f t="shared" si="23"/>
        <v>0</v>
      </c>
      <c r="L202" s="21">
        <f t="shared" si="24"/>
        <v>0</v>
      </c>
      <c r="M202" s="346" t="s">
        <v>662</v>
      </c>
      <c r="P202" s="44"/>
      <c r="Q202" s="44"/>
      <c r="AC202" s="69"/>
      <c r="AD202" s="69"/>
      <c r="AE202" s="69"/>
      <c r="AF202" s="69"/>
      <c r="AG202" s="348"/>
    </row>
    <row r="203" spans="1:33" ht="12.75" hidden="1" customHeight="1" x14ac:dyDescent="0.15">
      <c r="A203" s="259">
        <v>66</v>
      </c>
      <c r="B203" s="345" t="s">
        <v>649</v>
      </c>
      <c r="C203" s="21" t="s">
        <v>613</v>
      </c>
      <c r="D203" s="104">
        <f>IF(ISERROR(HLOOKUP(J203,$Q$39:$Z$40,2)),0,HLOOKUP(J203,$Q$39:$Z$40,2))</f>
        <v>0</v>
      </c>
      <c r="E203" s="104">
        <f>IF(ISERROR(HLOOKUP(K203,$Q$39:$Z$40,2)),0,HLOOKUP(K203,$Q$39:$Z$40,2))</f>
        <v>0</v>
      </c>
      <c r="F203" s="104">
        <f>IF(ISERROR(HLOOKUP(L203,$Q$39:$Z$40,2)),0,HLOOKUP(L203,$Q$39:$Z$40,2))</f>
        <v>0</v>
      </c>
      <c r="G203" s="355">
        <f>SUM($F$30:$F$32)</f>
        <v>0</v>
      </c>
      <c r="H203" s="355">
        <f>SUM($F$30:$F$32)+$J$51</f>
        <v>0</v>
      </c>
      <c r="I203" s="355">
        <f>SUM($F$30:$F$32)+$J$51+$J$60</f>
        <v>0</v>
      </c>
      <c r="J203" s="356">
        <f t="shared" si="22"/>
        <v>0</v>
      </c>
      <c r="K203" s="356">
        <f t="shared" si="23"/>
        <v>0</v>
      </c>
      <c r="L203" s="356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348"/>
    </row>
    <row r="204" spans="1:33" ht="12.75" hidden="1" customHeight="1" x14ac:dyDescent="0.15">
      <c r="A204" s="259">
        <v>67</v>
      </c>
      <c r="B204" s="345" t="s">
        <v>650</v>
      </c>
      <c r="C204" s="21" t="s">
        <v>613</v>
      </c>
      <c r="D204" s="104">
        <f>IF(ISERROR(HLOOKUP(J204,$Q$51:$Y$52,2)),0,HLOOKUP(J204,$Q$51:$Y$52,2))</f>
        <v>0</v>
      </c>
      <c r="E204" s="104">
        <f>IF(ISERROR(HLOOKUP(K204,$Q$51:$Y$52,2)),0,HLOOKUP(K204,$Q$51:$Y$52,2))</f>
        <v>0</v>
      </c>
      <c r="F204" s="104">
        <f>IF(ISERROR(HLOOKUP(L204,$Q$51:$Y$52,2)),0,HLOOKUP(L204,$Q$51:$Y$52,2))</f>
        <v>0</v>
      </c>
      <c r="G204" s="396">
        <f>SUM($F$30:$F$32)</f>
        <v>0</v>
      </c>
      <c r="H204" s="103">
        <f>SUM($F$30:$F$32)+$J$51</f>
        <v>0</v>
      </c>
      <c r="I204" s="103">
        <f>SUM($F$30:$F$32)+$J$51+$J$60</f>
        <v>0</v>
      </c>
      <c r="J204" s="21">
        <f t="shared" si="22"/>
        <v>0</v>
      </c>
      <c r="K204" s="21">
        <f t="shared" si="23"/>
        <v>0</v>
      </c>
      <c r="L204" s="21">
        <f t="shared" si="24"/>
        <v>0</v>
      </c>
      <c r="M204" s="346" t="s">
        <v>662</v>
      </c>
      <c r="P204" s="44"/>
      <c r="Q204" s="44"/>
      <c r="AC204" s="69"/>
      <c r="AD204" s="69"/>
      <c r="AE204" s="69"/>
      <c r="AF204" s="69"/>
      <c r="AG204" s="348"/>
    </row>
    <row r="205" spans="1:33" s="308" customFormat="1" ht="12.75" hidden="1" customHeight="1" x14ac:dyDescent="0.15">
      <c r="A205" s="304">
        <v>68</v>
      </c>
      <c r="B205" s="349" t="s">
        <v>651</v>
      </c>
      <c r="C205" s="308" t="s">
        <v>547</v>
      </c>
      <c r="D205" s="305">
        <f>IF(ISERROR(HLOOKUP(J205,$Q$73:$W$74,2)),0,HLOOKUP(J205,$Q$73:$W$74,2))</f>
        <v>0</v>
      </c>
      <c r="E205" s="305">
        <f>IF(ISERROR(HLOOKUP(K205,$Q$73:$W$74,2)),0,HLOOKUP(K205,$Q$73:$W$74,2))</f>
        <v>0</v>
      </c>
      <c r="F205" s="305">
        <f>IF(ISERROR(HLOOKUP(L205,$Q$73:$W$74,2)),0,HLOOKUP(L205,$Q$73:$W$74,2))</f>
        <v>0</v>
      </c>
      <c r="G205" s="350">
        <f>$N$205</f>
        <v>0</v>
      </c>
      <c r="H205" s="350">
        <f>$G$205+$J$51</f>
        <v>0</v>
      </c>
      <c r="I205" s="350">
        <f>$G$205+$J$51+$J$60</f>
        <v>0</v>
      </c>
      <c r="J205" s="308">
        <f t="shared" si="22"/>
        <v>0</v>
      </c>
      <c r="K205" s="308">
        <f t="shared" si="23"/>
        <v>0</v>
      </c>
      <c r="L205" s="308">
        <f t="shared" si="24"/>
        <v>0</v>
      </c>
      <c r="M205" s="352" t="s">
        <v>662</v>
      </c>
      <c r="N205" s="310">
        <f>SUM(F30:F32)</f>
        <v>0</v>
      </c>
      <c r="O205" s="309"/>
      <c r="P205" s="353"/>
      <c r="Q205" s="353"/>
      <c r="AC205" s="354"/>
      <c r="AD205" s="354"/>
      <c r="AE205" s="354"/>
      <c r="AF205" s="354"/>
      <c r="AG205" s="354"/>
    </row>
    <row r="206" spans="1:33" ht="12.75" hidden="1" customHeight="1" x14ac:dyDescent="0.15">
      <c r="A206" s="259">
        <v>69</v>
      </c>
      <c r="B206" s="345" t="s">
        <v>652</v>
      </c>
      <c r="C206" s="21" t="s">
        <v>613</v>
      </c>
      <c r="D206" s="104">
        <f>IF(ISERROR(HLOOKUP(J206,$Q$39:$Z$40,2)),0,HLOOKUP(J206,$Q$39:$Z$40,2))</f>
        <v>0</v>
      </c>
      <c r="E206" s="104">
        <f>IF(ISERROR(HLOOKUP(K206,$Q$39:$Z$40,2)),0,HLOOKUP(K206,$Q$39:$Z$40,2))</f>
        <v>0</v>
      </c>
      <c r="F206" s="104">
        <f>IF(ISERROR(HLOOKUP(L206,$Q$39:$Z$40,2)),0,HLOOKUP(L206,$Q$39:$Z$40,2))</f>
        <v>0</v>
      </c>
      <c r="G206" s="396">
        <f>SUM($F$30:$F$32)</f>
        <v>0</v>
      </c>
      <c r="H206" s="103">
        <f>SUM($F$30:$F$32)+$J$51</f>
        <v>0</v>
      </c>
      <c r="I206" s="103">
        <f>SUM($F$30:$F$32)+$J$51+$J$60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  <c r="AC206" s="69"/>
      <c r="AD206" s="69"/>
      <c r="AE206" s="69"/>
      <c r="AF206" s="69"/>
      <c r="AG206" s="69"/>
    </row>
    <row r="207" spans="1:33" ht="13.5" hidden="1" x14ac:dyDescent="0.15">
      <c r="A207" s="259">
        <v>70</v>
      </c>
      <c r="B207" s="345" t="s">
        <v>653</v>
      </c>
      <c r="C207" s="21" t="s">
        <v>613</v>
      </c>
      <c r="D207" s="104">
        <f>IF(ISERROR(HLOOKUP(J207,$Q$48:$AB$49,2)),0,HLOOKUP(J207,$Q$48:$AB$49,2))</f>
        <v>0</v>
      </c>
      <c r="E207" s="104">
        <f>IF(ISERROR(HLOOKUP(K207,$Q$48:$AB$49,2)),0,HLOOKUP(K207,$Q$48:$AB$49,2))</f>
        <v>0</v>
      </c>
      <c r="F207" s="104">
        <f>IF(ISERROR(HLOOKUP(L207,$Q$48:$AB$49,2)),0,HLOOKUP(L207,$Q$48:$AB$49,2))</f>
        <v>0</v>
      </c>
      <c r="G207" s="396">
        <f>SUM($F$30:$F$32)</f>
        <v>0</v>
      </c>
      <c r="H207" s="103">
        <f>SUM($F$30:$F$32)+$J$51</f>
        <v>0</v>
      </c>
      <c r="I207" s="103">
        <f>SUM($F$30:$F$32)+$J$51+$J$60</f>
        <v>0</v>
      </c>
      <c r="J207" s="21">
        <f t="shared" si="22"/>
        <v>0</v>
      </c>
      <c r="K207" s="21">
        <f t="shared" si="23"/>
        <v>0</v>
      </c>
      <c r="L207" s="21">
        <f t="shared" si="24"/>
        <v>0</v>
      </c>
      <c r="M207" s="346" t="s">
        <v>662</v>
      </c>
      <c r="P207" s="44"/>
      <c r="Q207" s="44"/>
    </row>
    <row r="208" spans="1:33" ht="13.5" hidden="1" x14ac:dyDescent="0.15">
      <c r="A208" s="259">
        <v>71</v>
      </c>
      <c r="B208" s="345" t="s">
        <v>654</v>
      </c>
      <c r="C208" s="21" t="s">
        <v>613</v>
      </c>
      <c r="D208" s="104">
        <f>IF(ISERROR(HLOOKUP(J208,$Q$48:$AA$49,2)),0,HLOOKUP(J208,$Q$48:$AA$49,2))</f>
        <v>0</v>
      </c>
      <c r="E208" s="104">
        <f>IF(ISERROR(HLOOKUP(K208,$Q$48:$AA$49,2)),0,HLOOKUP(K208,$Q$48:$AA$49,2))</f>
        <v>0</v>
      </c>
      <c r="F208" s="104">
        <f>IF(ISERROR(HLOOKUP(L208,$Q$48:$AA$49,2)),0,HLOOKUP(L208,$Q$48:$AA$49,2))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</row>
    <row r="209" spans="1:32" ht="13.5" hidden="1" x14ac:dyDescent="0.15">
      <c r="A209" s="259">
        <v>72</v>
      </c>
      <c r="B209" s="345" t="s">
        <v>655</v>
      </c>
      <c r="C209" s="21" t="s">
        <v>527</v>
      </c>
      <c r="D209" s="104">
        <f>IF(ISERROR(HLOOKUP(J209,$Q$54:$AR$55,2)),0,HLOOKUP(J209,$Q$54:$AR$55,2))</f>
        <v>0</v>
      </c>
      <c r="E209" s="104">
        <f>IF(ISERROR(HLOOKUP(K209,$Q$54:$AR$55,2)),0,HLOOKUP(K209,$Q$54:$AR$55,2))</f>
        <v>0</v>
      </c>
      <c r="F209" s="104">
        <f>IF(ISERROR(HLOOKUP(L209,$Q$54:$AR$55,2)),0,HLOOKUP(L209,$Q$54:$AR$55,2))</f>
        <v>0</v>
      </c>
      <c r="G209" s="396">
        <f>SUM($F$27:$F$32)</f>
        <v>0</v>
      </c>
      <c r="H209" s="103">
        <f>SUM($F$27:$F$32)+$J$51</f>
        <v>0</v>
      </c>
      <c r="I209" s="103">
        <f>SUM($F$27:$F$32)+$J$51+$J$60</f>
        <v>0</v>
      </c>
      <c r="J209" s="21">
        <f t="shared" si="22"/>
        <v>0</v>
      </c>
      <c r="K209" s="21">
        <f t="shared" si="23"/>
        <v>0</v>
      </c>
      <c r="L209" s="21">
        <f t="shared" si="24"/>
        <v>0</v>
      </c>
      <c r="M209" s="346" t="s">
        <v>662</v>
      </c>
      <c r="P209" s="44"/>
      <c r="Q209" s="44"/>
    </row>
    <row r="210" spans="1:32" ht="13.5" hidden="1" x14ac:dyDescent="0.15">
      <c r="A210" s="259">
        <v>73</v>
      </c>
      <c r="B210" s="345" t="s">
        <v>663</v>
      </c>
      <c r="C210" s="21" t="s">
        <v>527</v>
      </c>
      <c r="D210" s="104">
        <f t="shared" ref="D210:F211" si="25">IF(ISERROR(HLOOKUP(J210,$Q$26:$AY$27,2)),0,HLOOKUP(J210,$Q$26:$AY$27,2))</f>
        <v>0</v>
      </c>
      <c r="E210" s="104">
        <f t="shared" si="25"/>
        <v>0</v>
      </c>
      <c r="F210" s="104">
        <f t="shared" si="25"/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</row>
    <row r="211" spans="1:32" ht="13.5" hidden="1" x14ac:dyDescent="0.15">
      <c r="A211" s="259">
        <v>74</v>
      </c>
      <c r="B211" s="345" t="s">
        <v>664</v>
      </c>
      <c r="C211" s="21" t="s">
        <v>527</v>
      </c>
      <c r="D211" s="104">
        <f t="shared" si="25"/>
        <v>0</v>
      </c>
      <c r="E211" s="104">
        <f t="shared" si="25"/>
        <v>0</v>
      </c>
      <c r="F211" s="104">
        <f t="shared" si="25"/>
        <v>0</v>
      </c>
      <c r="G211" s="396">
        <f>SUM($F$30:$F$32)</f>
        <v>0</v>
      </c>
      <c r="H211" s="103">
        <f>SUM($F$30:$F$32)+$J$51</f>
        <v>0</v>
      </c>
      <c r="I211" s="103">
        <f>SUM($F$30:$F$32)+$J$51+$J$60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2" ht="13.5" hidden="1" x14ac:dyDescent="0.15">
      <c r="A212" s="259">
        <v>75</v>
      </c>
      <c r="B212" s="345" t="s">
        <v>665</v>
      </c>
      <c r="C212" s="21" t="s">
        <v>547</v>
      </c>
      <c r="D212" s="104">
        <f>IF(ISERROR(HLOOKUP(J212,$Q$73:$W$74,2)),0,HLOOKUP(J212,$Q$73:$W$74,2))</f>
        <v>0</v>
      </c>
      <c r="E212" s="104">
        <f>IF(ISERROR(HLOOKUP(K212,$Q$73:$W$74,2)),0,HLOOKUP(K212,$Q$73:$W$74,2))</f>
        <v>0</v>
      </c>
      <c r="F212" s="104">
        <f>IF(ISERROR(HLOOKUP(L212,$Q$73:$W$74,2)),0,HLOOKUP(L212,$Q$73:$W$74,2))</f>
        <v>0</v>
      </c>
      <c r="G212" s="396">
        <f>SUM($F$27:$F$32)</f>
        <v>0</v>
      </c>
      <c r="H212" s="103">
        <f>SUM($F$27:$F$32)+$J$51</f>
        <v>0</v>
      </c>
      <c r="I212" s="103">
        <f>SUM($F$27:$F$32)+$J$51+$J$60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2" ht="13.5" hidden="1" x14ac:dyDescent="0.15">
      <c r="A213" s="259">
        <v>76</v>
      </c>
      <c r="B213" s="345" t="s">
        <v>689</v>
      </c>
      <c r="C213" s="21" t="s">
        <v>613</v>
      </c>
      <c r="D213" s="104">
        <f>IF(ISERROR(HLOOKUP(J213,$Q$48:$AB$49,2)),0,HLOOKUP(J213,$Q$48:$AB$49,2))</f>
        <v>0</v>
      </c>
      <c r="E213" s="104">
        <f>IF(ISERROR(HLOOKUP(K213,$Q$48:$AB$49,2)),0,HLOOKUP(K213,$Q$48:$AB$49,2))</f>
        <v>0</v>
      </c>
      <c r="F213" s="104">
        <f>IF(ISERROR(HLOOKUP(L213,$Q$48:$AB$49,2)),0,HLOOKUP(L213,$Q$48:$AB$49,2))</f>
        <v>0</v>
      </c>
      <c r="G213" s="396">
        <f>SUM($F$30:$F$32)</f>
        <v>0</v>
      </c>
      <c r="H213" s="103">
        <f>SUM($F$30:$F$32)+$J$51</f>
        <v>0</v>
      </c>
      <c r="I213" s="103">
        <f>SUM($F$30:$F$32)+$J$51+$J$60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2" ht="13.5" hidden="1" x14ac:dyDescent="0.15">
      <c r="A214" s="259">
        <v>77</v>
      </c>
      <c r="B214" s="345" t="s">
        <v>666</v>
      </c>
      <c r="C214" s="21" t="s">
        <v>613</v>
      </c>
      <c r="D214" s="104">
        <f>IF(ISERROR(HLOOKUP(J214,$Q$48:$AA$49,2)),0,HLOOKUP(J214,$Q$48:$AA$49,2))</f>
        <v>0</v>
      </c>
      <c r="E214" s="104">
        <f>IF(ISERROR(HLOOKUP(K214,$Q$48:$AA$49,2)),0,HLOOKUP(K214,$Q$48:$AA$49,2))</f>
        <v>0</v>
      </c>
      <c r="F214" s="104">
        <f>IF(ISERROR(HLOOKUP(L214,$Q$48:$AA$49,2)),0,HLOOKUP(L214,$Q$48:$AA$49,2))</f>
        <v>0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2" ht="13.5" hidden="1" x14ac:dyDescent="0.15">
      <c r="A215" s="259">
        <v>78</v>
      </c>
      <c r="B215" s="345" t="s">
        <v>667</v>
      </c>
      <c r="C215" s="21" t="s">
        <v>613</v>
      </c>
      <c r="D215" s="104">
        <f>IF(ISERROR(HLOOKUP(J215,$Q$57:$AA$58,2)),0,HLOOKUP(J215,$Q$57:$AA$58,2))</f>
        <v>0</v>
      </c>
      <c r="E215" s="104">
        <f>IF(ISERROR(HLOOKUP(K215,$Q$57:$AA$58,2)),0,HLOOKUP(K215,$Q$57:$AA$58,2))</f>
        <v>0</v>
      </c>
      <c r="F215" s="104">
        <f>IF(ISERROR(HLOOKUP(L215,$Q$57:$AA$58,2)),0,HLOOKUP(L215,$Q$57:$AA$58,2))</f>
        <v>0</v>
      </c>
      <c r="G215" s="396">
        <f>SUM($F$29:$F$32)</f>
        <v>0</v>
      </c>
      <c r="H215" s="103">
        <f>SUM($F$29:$F$32)+$J$51</f>
        <v>0</v>
      </c>
      <c r="I215" s="103">
        <f>SUM($F$29:$F$32)+$J$51+$J$60</f>
        <v>0</v>
      </c>
      <c r="J215" s="21">
        <f t="shared" si="22"/>
        <v>0</v>
      </c>
      <c r="K215" s="21">
        <f t="shared" si="23"/>
        <v>0</v>
      </c>
      <c r="L215" s="21">
        <f t="shared" si="24"/>
        <v>0</v>
      </c>
      <c r="M215" s="346" t="s">
        <v>662</v>
      </c>
      <c r="P215" s="44"/>
      <c r="Q215" s="44"/>
    </row>
    <row r="216" spans="1:32" s="308" customFormat="1" ht="13.5" hidden="1" x14ac:dyDescent="0.15">
      <c r="A216" s="304">
        <v>79</v>
      </c>
      <c r="B216" s="349" t="s">
        <v>668</v>
      </c>
      <c r="C216" s="308" t="s">
        <v>613</v>
      </c>
      <c r="D216" s="305">
        <f>IF(ISERROR(HLOOKUP(J216,$Q$39:$AA$40,2)),0,HLOOKUP(J216,$Q$39:$AA$40,2))</f>
        <v>0</v>
      </c>
      <c r="E216" s="305">
        <f>IF(ISERROR(HLOOKUP(K216,$Q$39:$AA$40,2)),0,HLOOKUP(K216,$Q$39:$AA$40,2))</f>
        <v>0</v>
      </c>
      <c r="F216" s="305">
        <f>IF(ISERROR(HLOOKUP(L216,$Q$39:$AA$40,2)),0,HLOOKUP(L216,$Q$39:$AA$40,2))</f>
        <v>0</v>
      </c>
      <c r="G216" s="399">
        <f>$N$216+$F$33</f>
        <v>0</v>
      </c>
      <c r="H216" s="307">
        <f>$G$216+$J$51</f>
        <v>0</v>
      </c>
      <c r="I216" s="307">
        <f>$N$216+$J$51+$J$60</f>
        <v>0</v>
      </c>
      <c r="J216" s="308">
        <f t="shared" si="22"/>
        <v>0</v>
      </c>
      <c r="K216" s="308">
        <f t="shared" si="23"/>
        <v>0</v>
      </c>
      <c r="L216" s="308">
        <f t="shared" si="24"/>
        <v>0</v>
      </c>
      <c r="M216" s="352" t="s">
        <v>662</v>
      </c>
      <c r="N216" s="308">
        <f>IF($C$30&gt;=$A$36,$E$30-$C$30+1,IF($C$31&gt;=$A$36,$E$31-$C$31+1,IF($C$32&gt;=$A$36,$E$32-$C$32+1,IF($E$30&lt;&gt;0,$E$30-$A$36+1,IF($E$31&lt;&gt;0,$E$31-$A$36+1,IF($E$32&lt;&gt;0,$E$32-$A$36+1,0))))))</f>
        <v>0</v>
      </c>
      <c r="O216" s="309"/>
      <c r="P216" s="353"/>
      <c r="Q216" s="353"/>
      <c r="AD216" s="310"/>
      <c r="AE216" s="310"/>
      <c r="AF216" s="310"/>
    </row>
    <row r="217" spans="1:32" ht="13.5" hidden="1" x14ac:dyDescent="0.15">
      <c r="A217" s="259">
        <v>80</v>
      </c>
      <c r="B217" s="345" t="s">
        <v>669</v>
      </c>
      <c r="C217" s="21" t="s">
        <v>547</v>
      </c>
      <c r="D217" s="104">
        <f>IF(ISERROR(HLOOKUP(J217,$Q$73:$V$74,2)),0,HLOOKUP(J217,$Q$73:$V$74,2))</f>
        <v>0</v>
      </c>
      <c r="E217" s="104">
        <f>IF(ISERROR(HLOOKUP(K217,$Q$73:$V$74,2)),0,HLOOKUP(K217,$Q$73:$V$74,2))</f>
        <v>0</v>
      </c>
      <c r="F217" s="104">
        <f>IF(ISERROR(HLOOKUP(L217,$Q$73:$V$74,2)),0,HLOOKUP(L217,$Q$73:$V$74,2))</f>
        <v>0</v>
      </c>
      <c r="G217" s="396">
        <f>SUM($F$27:$F$32)</f>
        <v>0</v>
      </c>
      <c r="H217" s="103">
        <f>SUM($F$27:$F$32)+$J$51</f>
        <v>0</v>
      </c>
      <c r="I217" s="103">
        <f>SUM($F$27:$F$32)+$J$51+$J$60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2" ht="13.5" hidden="1" x14ac:dyDescent="0.15">
      <c r="A218" s="259" t="s">
        <v>703</v>
      </c>
      <c r="B218" s="345" t="s">
        <v>701</v>
      </c>
      <c r="C218" s="21" t="s">
        <v>702</v>
      </c>
      <c r="D218" s="148">
        <f>IF(J218&lt;=10,0.1,IF(J218&lt;=20,0.2,0.3))</f>
        <v>0.1</v>
      </c>
      <c r="E218" s="148">
        <f>IF(K218&lt;=10,0.1,IF(K218&lt;=20,0.2,0.3))</f>
        <v>0.1</v>
      </c>
      <c r="F218" s="148">
        <f>IF(L218&lt;=10,0.1,IF(L218&lt;=20,0.2,0.3))</f>
        <v>0.1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2" ht="13.5" hidden="1" x14ac:dyDescent="0.15">
      <c r="A219" s="259">
        <v>81</v>
      </c>
      <c r="B219" s="345" t="s">
        <v>670</v>
      </c>
      <c r="C219" s="21" t="s">
        <v>547</v>
      </c>
      <c r="D219" s="104">
        <f>IF(ISERROR(HLOOKUP(J219,$Q$73:$W$74,2)),0,HLOOKUP(J219,$Q$73:$W$74,2))</f>
        <v>0</v>
      </c>
      <c r="E219" s="104">
        <f>IF(ISERROR(HLOOKUP(K219,$Q$73:$W$74,2)),0,HLOOKUP(K219,$Q$73:$W$74,2))</f>
        <v>0</v>
      </c>
      <c r="F219" s="104">
        <f>IF(ISERROR(HLOOKUP(L219,$Q$73:$W$74,2)),0,HLOOKUP(L219,$Q$73:$W$74,2))</f>
        <v>0</v>
      </c>
      <c r="G219" s="396">
        <f>SUM($F$27:$F$33)</f>
        <v>0</v>
      </c>
      <c r="H219" s="103">
        <f>SUM($F$27:$F$33)+$J$51</f>
        <v>0</v>
      </c>
      <c r="I219" s="103">
        <f>SUM($F$27:$F$33)+$J$51+$J$60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2" ht="13.5" hidden="1" x14ac:dyDescent="0.15">
      <c r="A220" s="259">
        <v>82</v>
      </c>
      <c r="B220" s="345" t="s">
        <v>671</v>
      </c>
      <c r="C220" s="21" t="s">
        <v>613</v>
      </c>
      <c r="D220" s="104">
        <f>IF(ISERROR(HLOOKUP(J220,$Q$42:$AA$43,2)),0,HLOOKUP(J220,$Q$42:$AA$43,2))</f>
        <v>0</v>
      </c>
      <c r="E220" s="104">
        <f>IF(ISERROR(HLOOKUP(K220,$Q$42:$AA$43,2)),0,HLOOKUP(K220,$Q$42:$AA$43,2))</f>
        <v>0</v>
      </c>
      <c r="F220" s="104">
        <f>IF(ISERROR(HLOOKUP(L220,$Q$42:$AA$43,2)),0,HLOOKUP(L220,$Q$42:$AA$43,2))</f>
        <v>0</v>
      </c>
      <c r="G220" s="396">
        <f>SUM($F$30:$F$32)</f>
        <v>0</v>
      </c>
      <c r="H220" s="103">
        <f>SUM($F$30:$F$32)+$J$51</f>
        <v>0</v>
      </c>
      <c r="I220" s="103">
        <f>SUM($F$30:$F$32)+$J$51+$J$60</f>
        <v>0</v>
      </c>
      <c r="J220" s="21">
        <f t="shared" si="22"/>
        <v>0</v>
      </c>
      <c r="K220" s="21">
        <f t="shared" si="23"/>
        <v>0</v>
      </c>
      <c r="L220" s="21">
        <f t="shared" si="24"/>
        <v>0</v>
      </c>
      <c r="M220" s="346" t="s">
        <v>662</v>
      </c>
      <c r="P220" s="44"/>
      <c r="Q220" s="44"/>
    </row>
    <row r="221" spans="1:32" ht="13.5" hidden="1" x14ac:dyDescent="0.15">
      <c r="A221" s="259">
        <v>83</v>
      </c>
      <c r="B221" s="345" t="s">
        <v>672</v>
      </c>
      <c r="C221" s="21"/>
      <c r="E221" s="40"/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P221" s="44"/>
      <c r="Q221" s="44"/>
    </row>
    <row r="222" spans="1:32" ht="13.5" hidden="1" x14ac:dyDescent="0.15">
      <c r="A222" s="259">
        <v>84</v>
      </c>
      <c r="B222" s="108" t="s">
        <v>673</v>
      </c>
      <c r="C222" s="21" t="s">
        <v>613</v>
      </c>
      <c r="D222" s="104">
        <f>IF(ISERROR(HLOOKUP(J222,$Q$48:$AB$49,2)),0,HLOOKUP(J222,$Q$48:$AB$49,2))</f>
        <v>0</v>
      </c>
      <c r="E222" s="104">
        <f>IF(ISERROR(HLOOKUP(K222,$Q$48:$AB$49,2)),0,HLOOKUP(K222,$Q$48:$AB$49,2))</f>
        <v>0</v>
      </c>
      <c r="F222" s="104">
        <f>IF(ISERROR(HLOOKUP(L222,$Q$48:$AB$49,2)),0,HLOOKUP(L222,$Q$48:$AB$49,2))</f>
        <v>0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22"/>
        <v>0</v>
      </c>
      <c r="K222" s="21">
        <f t="shared" si="23"/>
        <v>0</v>
      </c>
      <c r="L222" s="21">
        <f t="shared" si="24"/>
        <v>0</v>
      </c>
      <c r="M222" s="346" t="s">
        <v>662</v>
      </c>
      <c r="N222" s="104">
        <f>IF(ISERROR(HLOOKUP(L222,$Q$48:$AB$49,2)),0,HLOOKUP(L222,$Q$48:$AB$49,2))</f>
        <v>0</v>
      </c>
      <c r="P222" s="44"/>
      <c r="Q222" s="44"/>
    </row>
    <row r="223" spans="1:32" ht="13.5" hidden="1" x14ac:dyDescent="0.15">
      <c r="A223" s="259">
        <v>85</v>
      </c>
      <c r="B223" s="108" t="s">
        <v>674</v>
      </c>
      <c r="C223" s="21" t="s">
        <v>527</v>
      </c>
      <c r="D223" s="104">
        <f>IF(ISERROR(HLOOKUP(J223,$Q$35:$AY$36,2)),0,HLOOKUP(J223,$Q$35:$AY$36,2))</f>
        <v>0</v>
      </c>
      <c r="E223" s="104">
        <f>IF(ISERROR(HLOOKUP(K223,$Q$35:$AY$36,2)),0,HLOOKUP(K223,$Q$35:$AY$36,2))</f>
        <v>0</v>
      </c>
      <c r="F223" s="104">
        <f>IF(ISERROR(HLOOKUP(L223,$Q$35:$AY$36,2)),0,HLOOKUP(L223,$Q$35:$AY$36,2))</f>
        <v>0</v>
      </c>
      <c r="G223" s="396">
        <f>SUM($F$30:$F$32)</f>
        <v>0</v>
      </c>
      <c r="H223" s="103">
        <f>SUM($F$30:$F$32)+$J$51</f>
        <v>0</v>
      </c>
      <c r="I223" s="103">
        <f>SUM($F$30:$F$32)+$J$51+$J$60</f>
        <v>0</v>
      </c>
      <c r="J223" s="21">
        <f t="shared" ref="J223:J230" si="26">ROUNDDOWN(G223/365,0)</f>
        <v>0</v>
      </c>
      <c r="K223" s="21">
        <f t="shared" ref="K223:K230" si="27">ROUNDDOWN(H223/365,0)</f>
        <v>0</v>
      </c>
      <c r="L223" s="21">
        <f t="shared" ref="L223:L230" si="28">ROUNDDOWN(I223/365,0)</f>
        <v>0</v>
      </c>
      <c r="M223" s="346" t="s">
        <v>662</v>
      </c>
      <c r="P223" s="44"/>
      <c r="Q223" s="44"/>
    </row>
    <row r="224" spans="1:32" ht="13.5" hidden="1" x14ac:dyDescent="0.15">
      <c r="A224" s="259">
        <v>86</v>
      </c>
      <c r="B224" s="108" t="s">
        <v>675</v>
      </c>
      <c r="C224" s="21" t="s">
        <v>613</v>
      </c>
      <c r="D224" s="104">
        <f>IF(ISERROR(HLOOKUP(J224,$Q$60:$AC$61,2)),0,HLOOKUP(J224,$Q$60:$AC$61,2))</f>
        <v>0</v>
      </c>
      <c r="E224" s="104">
        <f>IF(ISERROR(HLOOKUP(K224,$Q$60:$AC$61,2)),0,HLOOKUP(K224,$Q$60:$AC$61,2))</f>
        <v>0</v>
      </c>
      <c r="F224" s="104">
        <f>IF(ISERROR(HLOOKUP(L224,$Q$60:$AC$61,2)),0,HLOOKUP(L224,$Q$60:$AC$61,2))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26"/>
        <v>0</v>
      </c>
      <c r="K224" s="21">
        <f t="shared" si="27"/>
        <v>0</v>
      </c>
      <c r="L224" s="21">
        <f t="shared" si="28"/>
        <v>0</v>
      </c>
      <c r="M224" s="346" t="s">
        <v>662</v>
      </c>
      <c r="P224" s="44"/>
      <c r="Q224" s="44"/>
    </row>
    <row r="225" spans="1:17" ht="13.5" hidden="1" x14ac:dyDescent="0.15">
      <c r="A225" s="259">
        <v>87</v>
      </c>
      <c r="B225" s="108" t="s">
        <v>677</v>
      </c>
      <c r="C225" s="21"/>
      <c r="D225" s="21"/>
      <c r="J225" s="21">
        <f t="shared" si="26"/>
        <v>0</v>
      </c>
      <c r="K225" s="21">
        <f t="shared" si="27"/>
        <v>0</v>
      </c>
      <c r="L225" s="21">
        <f t="shared" si="28"/>
        <v>0</v>
      </c>
      <c r="M225" s="346" t="s">
        <v>662</v>
      </c>
      <c r="P225" s="44"/>
      <c r="Q225" s="44"/>
    </row>
    <row r="226" spans="1:17" ht="13.5" hidden="1" x14ac:dyDescent="0.15">
      <c r="A226" s="259">
        <v>88</v>
      </c>
      <c r="B226" s="108" t="s">
        <v>678</v>
      </c>
      <c r="C226" s="21" t="s">
        <v>613</v>
      </c>
      <c r="D226" s="104">
        <f>IF(ISERROR(HLOOKUP(J226,$Q$39:$AA$40,2)),0,HLOOKUP(J226,$Q$39:$AA$40,2))</f>
        <v>0</v>
      </c>
      <c r="E226" s="104">
        <f>IF(ISERROR(HLOOKUP(K226,$Q$39:$AA$40,2)),0,HLOOKUP(K226,$Q$39:$AA$40,2))</f>
        <v>0</v>
      </c>
      <c r="F226" s="104">
        <f>IF(ISERROR(HLOOKUP(L226,$Q$39:$AA$40,2)),0,HLOOKUP(L226,$Q$39:$AA$40,2))</f>
        <v>0</v>
      </c>
      <c r="G226" s="396">
        <f>SUM($F$27:$F$32)</f>
        <v>0</v>
      </c>
      <c r="H226" s="103">
        <f>SUM($F$27:$F$32)+$J$51</f>
        <v>0</v>
      </c>
      <c r="I226" s="103">
        <f>SUM($F$27:$F$32)+$J$51+$J$60</f>
        <v>0</v>
      </c>
      <c r="J226" s="21">
        <f t="shared" si="26"/>
        <v>0</v>
      </c>
      <c r="K226" s="21">
        <f t="shared" si="27"/>
        <v>0</v>
      </c>
      <c r="L226" s="21">
        <f t="shared" si="28"/>
        <v>0</v>
      </c>
      <c r="M226" s="346" t="s">
        <v>662</v>
      </c>
      <c r="P226" s="44"/>
      <c r="Q226" s="44"/>
    </row>
    <row r="227" spans="1:17" ht="13.5" hidden="1" x14ac:dyDescent="0.15">
      <c r="A227" s="259">
        <v>89</v>
      </c>
      <c r="B227" s="108" t="s">
        <v>679</v>
      </c>
      <c r="C227" s="21" t="s">
        <v>613</v>
      </c>
      <c r="D227" s="104">
        <f>IF(ISERROR(HLOOKUP(J227,$Q$48:$V$49,2)),0,HLOOKUP(J227,$Q$48:$V$49,2))</f>
        <v>0</v>
      </c>
      <c r="E227" s="104">
        <f>IF(ISERROR(HLOOKUP(K227,$Q$48:$V$49,2)),0,HLOOKUP(K227,$Q$48:$V$49,2))</f>
        <v>0</v>
      </c>
      <c r="F227" s="104">
        <f>IF(ISERROR(HLOOKUP(L227,$Q$48:$V$49,2)),0,HLOOKUP(L227,$Q$48:$V$49,2))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si="26"/>
        <v>0</v>
      </c>
      <c r="K227" s="21">
        <f t="shared" si="27"/>
        <v>0</v>
      </c>
      <c r="L227" s="21">
        <f t="shared" si="28"/>
        <v>0</v>
      </c>
      <c r="M227" s="346" t="s">
        <v>662</v>
      </c>
      <c r="P227" s="44"/>
      <c r="Q227" s="44"/>
    </row>
    <row r="228" spans="1:17" ht="13.5" hidden="1" x14ac:dyDescent="0.15">
      <c r="A228" s="259">
        <v>90</v>
      </c>
      <c r="B228" s="108" t="s">
        <v>680</v>
      </c>
      <c r="C228" s="21" t="s">
        <v>527</v>
      </c>
      <c r="D228" s="104">
        <f>IF(ISERROR(HLOOKUP(J228,$Q$26:$AY$27,2)),0,HLOOKUP(J228,$Q$26:$AY$27,2))</f>
        <v>0</v>
      </c>
      <c r="E228" s="104">
        <f>IF(ISERROR(HLOOKUP(K228,$Q$26:$AY$27,2)),0,HLOOKUP(K228,$Q$26:$AY$27,2))</f>
        <v>0</v>
      </c>
      <c r="F228" s="104">
        <f>IF(ISERROR(HLOOKUP(L228,$Q$26:$AY$27,2)),0,HLOOKUP(L228,$Q$26:$AY$27,2))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91</v>
      </c>
      <c r="B229" s="108" t="s">
        <v>681</v>
      </c>
      <c r="C229" s="21" t="s">
        <v>613</v>
      </c>
      <c r="D229" s="104">
        <f>IF(ISERROR(HLOOKUP(J229,$Q$42:$AA$43,2)),0,HLOOKUP(J229,$Q$42:$AA$43,2))</f>
        <v>0</v>
      </c>
      <c r="E229" s="104">
        <f>IF(ISERROR(HLOOKUP(K229,$Q$42:$AA$43,2)),0,HLOOKUP(K229,$Q$42:$AA$43,2))</f>
        <v>0</v>
      </c>
      <c r="F229" s="104">
        <f>IF(ISERROR(HLOOKUP(L229,$Q$42:$AA$43,2)),0,HLOOKUP(L229,$Q$42:$AA$43,2))</f>
        <v>0</v>
      </c>
      <c r="G229" s="396">
        <f>SUM($F$30:$F$32)</f>
        <v>0</v>
      </c>
      <c r="H229" s="103">
        <f>SUM($F$30:$F$32)+$J$51</f>
        <v>0</v>
      </c>
      <c r="I229" s="103">
        <f>SUM($F$30:$F$32)+$J$51+$J$60</f>
        <v>0</v>
      </c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A230" s="259">
        <v>92</v>
      </c>
      <c r="B230" s="108" t="s">
        <v>682</v>
      </c>
      <c r="C230" s="21" t="s">
        <v>613</v>
      </c>
      <c r="D230" s="104">
        <f>IF(ISERROR(HLOOKUP(J230,$Q$42:$Z$43,2)),0,HLOOKUP(J230,$Q$42:$Z$43,2))</f>
        <v>0</v>
      </c>
      <c r="E230" s="104">
        <f>IF(ISERROR(HLOOKUP(K230,$Q$42:$Z$43,2)),0,HLOOKUP(K230,$Q$42:$Z$43,2))</f>
        <v>0</v>
      </c>
      <c r="F230" s="104">
        <f>IF(ISERROR(HLOOKUP(L230,$Q$42:$Z$43,2)),0,HLOOKUP(L230,$Q$42:$Z$43,2))</f>
        <v>0</v>
      </c>
      <c r="G230" s="396">
        <f>SUM($F$30:$F$32)</f>
        <v>0</v>
      </c>
      <c r="H230" s="103">
        <f>SUM($F$30:$F$32)+$J$51</f>
        <v>0</v>
      </c>
      <c r="I230" s="103">
        <f>SUM($F$30:$F$32)+$J$51+$J$60</f>
        <v>0</v>
      </c>
      <c r="J230" s="21">
        <f t="shared" si="26"/>
        <v>0</v>
      </c>
      <c r="K230" s="21">
        <f t="shared" si="27"/>
        <v>0</v>
      </c>
      <c r="L230" s="21">
        <f t="shared" si="28"/>
        <v>0</v>
      </c>
      <c r="M230" s="346" t="s">
        <v>662</v>
      </c>
      <c r="P230" s="44"/>
      <c r="Q230" s="44"/>
    </row>
    <row r="231" spans="1:17" ht="13.5" hidden="1" x14ac:dyDescent="0.15">
      <c r="B231" s="10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357"/>
      <c r="N231" s="54"/>
      <c r="O231" s="258"/>
      <c r="P231" s="44"/>
      <c r="Q231" s="44"/>
    </row>
    <row r="232" spans="1:17" ht="13.5" hidden="1" x14ac:dyDescent="0.15">
      <c r="B232" s="248" t="s">
        <v>720</v>
      </c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258"/>
    </row>
    <row r="233" spans="1:17" ht="13.5" hidden="1" x14ac:dyDescent="0.15">
      <c r="A233" s="259">
        <v>1</v>
      </c>
      <c r="B233" s="51" t="s">
        <v>550</v>
      </c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258"/>
    </row>
    <row r="234" spans="1:17" ht="13.5" hidden="1" x14ac:dyDescent="0.15">
      <c r="A234" s="259" t="s">
        <v>721</v>
      </c>
      <c r="B234" s="51" t="s">
        <v>615</v>
      </c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58"/>
    </row>
    <row r="235" spans="1:17" ht="13.5" hidden="1" x14ac:dyDescent="0.15">
      <c r="A235" s="259">
        <v>2</v>
      </c>
      <c r="B235" s="338" t="s">
        <v>617</v>
      </c>
      <c r="C235" s="109"/>
      <c r="D235" s="109"/>
      <c r="E235" s="110"/>
      <c r="F235" s="358"/>
      <c r="G235" s="111"/>
      <c r="H235" s="111"/>
      <c r="I235" s="111"/>
      <c r="J235" s="46"/>
      <c r="K235" s="46"/>
      <c r="L235" s="46"/>
      <c r="M235" s="46"/>
      <c r="N235" s="9"/>
      <c r="O235" s="258"/>
    </row>
    <row r="236" spans="1:17" ht="13.5" hidden="1" x14ac:dyDescent="0.15">
      <c r="A236" s="259">
        <v>3</v>
      </c>
      <c r="B236" s="345" t="s">
        <v>645</v>
      </c>
      <c r="C236" s="104"/>
      <c r="D236" s="105"/>
      <c r="E236" s="106"/>
      <c r="F236" s="47"/>
      <c r="G236" s="47"/>
      <c r="H236" s="47"/>
      <c r="I236" s="47"/>
      <c r="J236" s="46"/>
      <c r="K236" s="46"/>
      <c r="L236" s="46"/>
      <c r="M236" s="46"/>
      <c r="N236" s="46"/>
      <c r="O236" s="258"/>
    </row>
    <row r="237" spans="1:17" ht="13.5" hidden="1" x14ac:dyDescent="0.15">
      <c r="A237" s="259">
        <v>4</v>
      </c>
      <c r="B237" s="338" t="s">
        <v>618</v>
      </c>
      <c r="C237" s="104"/>
      <c r="D237" s="104"/>
      <c r="E237" s="104"/>
      <c r="F237" s="112"/>
      <c r="G237" s="112"/>
      <c r="H237" s="112"/>
      <c r="I237" s="112"/>
      <c r="J237" s="46"/>
      <c r="K237" s="46"/>
      <c r="L237" s="46"/>
      <c r="M237" s="46"/>
      <c r="N237" s="46"/>
      <c r="O237" s="258"/>
    </row>
    <row r="238" spans="1:17" ht="13.5" hidden="1" x14ac:dyDescent="0.15">
      <c r="A238" s="259">
        <v>5</v>
      </c>
      <c r="B238" s="345" t="s">
        <v>646</v>
      </c>
      <c r="C238" s="104"/>
      <c r="D238" s="104"/>
      <c r="E238" s="104"/>
      <c r="F238" s="112"/>
      <c r="G238" s="112"/>
      <c r="H238" s="112"/>
      <c r="I238" s="112"/>
      <c r="J238" s="46"/>
      <c r="K238" s="46"/>
      <c r="L238" s="46"/>
      <c r="M238" s="46"/>
      <c r="N238" s="46"/>
      <c r="O238" s="258"/>
    </row>
    <row r="239" spans="1:17" ht="13.5" hidden="1" x14ac:dyDescent="0.15">
      <c r="A239" s="259">
        <v>6</v>
      </c>
      <c r="B239" s="345" t="s">
        <v>647</v>
      </c>
      <c r="C239" s="104"/>
      <c r="D239" s="104"/>
      <c r="E239" s="104"/>
      <c r="F239" s="112"/>
      <c r="G239" s="112"/>
      <c r="H239" s="112"/>
      <c r="I239" s="112"/>
      <c r="J239" s="46"/>
      <c r="K239" s="46"/>
      <c r="L239" s="46"/>
      <c r="M239" s="46"/>
      <c r="N239" s="46"/>
      <c r="O239" s="258"/>
    </row>
    <row r="240" spans="1:17" ht="13.5" hidden="1" x14ac:dyDescent="0.15">
      <c r="A240" s="259">
        <v>7</v>
      </c>
      <c r="B240" s="51" t="s">
        <v>551</v>
      </c>
      <c r="C240" s="104"/>
      <c r="D240" s="104"/>
      <c r="E240" s="104"/>
      <c r="F240" s="112"/>
      <c r="G240" s="112"/>
      <c r="H240" s="112"/>
      <c r="I240" s="112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8</v>
      </c>
      <c r="B241" s="51" t="s">
        <v>552</v>
      </c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258"/>
    </row>
    <row r="242" spans="1:40" ht="13.5" hidden="1" x14ac:dyDescent="0.15">
      <c r="A242" s="259">
        <v>9</v>
      </c>
      <c r="B242" s="51" t="s">
        <v>553</v>
      </c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58"/>
      <c r="AH242" s="69"/>
      <c r="AI242" s="69"/>
      <c r="AJ242" s="69"/>
      <c r="AK242" s="69"/>
      <c r="AL242" s="69"/>
      <c r="AM242" s="69"/>
      <c r="AN242" s="69"/>
    </row>
    <row r="243" spans="1:40" ht="13.5" hidden="1" x14ac:dyDescent="0.15">
      <c r="A243" s="259" t="s">
        <v>722</v>
      </c>
      <c r="B243" s="51" t="s">
        <v>616</v>
      </c>
      <c r="C243" s="109"/>
      <c r="D243" s="109"/>
      <c r="E243" s="110"/>
      <c r="F243" s="358"/>
      <c r="G243" s="111"/>
      <c r="H243" s="111"/>
      <c r="I243" s="111"/>
      <c r="J243" s="46"/>
      <c r="K243" s="46"/>
      <c r="L243" s="46"/>
      <c r="M243" s="46"/>
      <c r="N243" s="9"/>
      <c r="O243" s="258"/>
      <c r="AH243" s="69"/>
      <c r="AI243" s="69"/>
      <c r="AJ243" s="69"/>
      <c r="AK243" s="69"/>
      <c r="AL243" s="69"/>
      <c r="AM243" s="69"/>
      <c r="AN243" s="69"/>
    </row>
    <row r="244" spans="1:40" ht="13.5" hidden="1" x14ac:dyDescent="0.15">
      <c r="A244" s="259">
        <v>10</v>
      </c>
      <c r="B244" s="338" t="s">
        <v>619</v>
      </c>
      <c r="C244" s="104"/>
      <c r="D244" s="105"/>
      <c r="E244" s="106"/>
      <c r="F244" s="46"/>
      <c r="G244" s="46"/>
      <c r="H244" s="46"/>
      <c r="I244" s="46"/>
      <c r="J244" s="46"/>
      <c r="K244" s="46"/>
      <c r="L244" s="46"/>
      <c r="M244" s="46"/>
      <c r="N244" s="46"/>
      <c r="O244" s="258"/>
      <c r="AH244" s="69"/>
      <c r="AI244" s="69"/>
      <c r="AJ244" s="69"/>
      <c r="AK244" s="69"/>
      <c r="AL244" s="69"/>
      <c r="AM244" s="69"/>
      <c r="AN244" s="69"/>
    </row>
    <row r="245" spans="1:40" ht="13.5" hidden="1" x14ac:dyDescent="0.15">
      <c r="A245" s="259">
        <v>11</v>
      </c>
      <c r="B245" s="345" t="s">
        <v>648</v>
      </c>
      <c r="C245" s="104"/>
      <c r="D245" s="105"/>
      <c r="E245" s="106"/>
      <c r="F245" s="47"/>
      <c r="G245" s="47"/>
      <c r="H245" s="47"/>
      <c r="I245" s="47"/>
      <c r="J245" s="46"/>
      <c r="K245" s="46"/>
      <c r="L245" s="46"/>
      <c r="M245" s="46"/>
      <c r="N245" s="46"/>
      <c r="O245" s="258"/>
      <c r="AH245" s="69"/>
      <c r="AI245" s="69"/>
      <c r="AJ245" s="69"/>
      <c r="AK245" s="69"/>
      <c r="AL245" s="69"/>
      <c r="AM245" s="69"/>
      <c r="AN245" s="69"/>
    </row>
    <row r="246" spans="1:40" ht="13.5" hidden="1" x14ac:dyDescent="0.15">
      <c r="A246" s="259">
        <v>12</v>
      </c>
      <c r="B246" s="345" t="s">
        <v>649</v>
      </c>
      <c r="C246" s="104"/>
      <c r="D246" s="105"/>
      <c r="E246" s="106"/>
      <c r="F246" s="47"/>
      <c r="G246" s="111"/>
      <c r="H246" s="47"/>
      <c r="I246" s="47"/>
      <c r="J246" s="46"/>
      <c r="K246" s="46"/>
      <c r="L246" s="46"/>
      <c r="M246" s="46"/>
      <c r="N246" s="46"/>
      <c r="O246" s="258"/>
      <c r="AH246" s="69"/>
      <c r="AI246" s="69"/>
      <c r="AJ246" s="69"/>
      <c r="AK246" s="69"/>
      <c r="AL246" s="69"/>
      <c r="AM246" s="69"/>
      <c r="AN246" s="69"/>
    </row>
    <row r="247" spans="1:40" ht="13.5" hidden="1" x14ac:dyDescent="0.15">
      <c r="A247" s="259">
        <v>13</v>
      </c>
      <c r="B247" s="338" t="s">
        <v>620</v>
      </c>
      <c r="C247" s="104"/>
      <c r="D247" s="105"/>
      <c r="E247" s="106"/>
      <c r="F247" s="47"/>
      <c r="G247" s="111"/>
      <c r="H247" s="47"/>
      <c r="I247" s="47"/>
      <c r="J247" s="46"/>
      <c r="K247" s="46"/>
      <c r="L247" s="46"/>
      <c r="M247" s="46"/>
      <c r="N247" s="46"/>
      <c r="O247" s="258"/>
    </row>
    <row r="248" spans="1:40" ht="13.5" hidden="1" x14ac:dyDescent="0.15">
      <c r="A248" s="259">
        <v>14</v>
      </c>
      <c r="B248" s="345" t="s">
        <v>650</v>
      </c>
      <c r="C248" s="104"/>
      <c r="D248" s="105"/>
      <c r="E248" s="106"/>
      <c r="F248" s="47"/>
      <c r="G248" s="111"/>
      <c r="H248" s="47"/>
      <c r="I248" s="47"/>
      <c r="J248" s="46"/>
      <c r="K248" s="46"/>
      <c r="L248" s="46"/>
      <c r="M248" s="46"/>
      <c r="N248" s="46"/>
      <c r="O248" s="258"/>
    </row>
    <row r="249" spans="1:40" ht="13.5" hidden="1" x14ac:dyDescent="0.15">
      <c r="A249" s="259">
        <v>15</v>
      </c>
      <c r="B249" s="345" t="s">
        <v>651</v>
      </c>
      <c r="C249" s="104"/>
      <c r="D249" s="105"/>
      <c r="E249" s="106"/>
      <c r="F249" s="47"/>
      <c r="G249" s="111"/>
      <c r="H249" s="47"/>
      <c r="I249" s="47"/>
      <c r="J249" s="46"/>
      <c r="K249" s="46"/>
      <c r="L249" s="46"/>
      <c r="M249" s="46"/>
      <c r="N249" s="46"/>
      <c r="O249" s="258"/>
    </row>
    <row r="250" spans="1:40" ht="13.5" hidden="1" x14ac:dyDescent="0.15">
      <c r="A250" s="259">
        <v>16</v>
      </c>
      <c r="B250" s="339" t="s">
        <v>621</v>
      </c>
      <c r="C250" s="104"/>
      <c r="D250" s="105"/>
      <c r="E250" s="106"/>
      <c r="F250" s="112"/>
      <c r="G250" s="112"/>
      <c r="H250" s="112"/>
      <c r="I250" s="112"/>
      <c r="J250" s="46"/>
      <c r="K250" s="46"/>
      <c r="L250" s="46"/>
      <c r="M250" s="46"/>
      <c r="N250" s="46"/>
      <c r="O250" s="258"/>
    </row>
    <row r="251" spans="1:40" ht="13.5" hidden="1" x14ac:dyDescent="0.15">
      <c r="A251" s="259">
        <v>17</v>
      </c>
      <c r="B251" s="345" t="s">
        <v>652</v>
      </c>
      <c r="C251" s="104"/>
      <c r="D251" s="105"/>
      <c r="E251" s="106"/>
      <c r="F251" s="112"/>
      <c r="G251" s="112"/>
      <c r="H251" s="112"/>
      <c r="I251" s="112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18</v>
      </c>
      <c r="B252" s="345" t="s">
        <v>653</v>
      </c>
      <c r="C252" s="104"/>
      <c r="D252" s="104"/>
      <c r="E252" s="104"/>
      <c r="F252" s="112"/>
      <c r="G252" s="112"/>
      <c r="H252" s="112"/>
      <c r="I252" s="112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19</v>
      </c>
      <c r="B253" s="340" t="s">
        <v>622</v>
      </c>
      <c r="C253" s="104"/>
      <c r="D253" s="104"/>
      <c r="E253" s="104"/>
      <c r="F253" s="112"/>
      <c r="G253" s="112"/>
      <c r="H253" s="112"/>
      <c r="I253" s="112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20</v>
      </c>
      <c r="B254" s="345" t="s">
        <v>654</v>
      </c>
      <c r="C254" s="104"/>
      <c r="D254" s="104"/>
      <c r="E254" s="104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21</v>
      </c>
      <c r="B255" s="340" t="s">
        <v>623</v>
      </c>
      <c r="C255" s="104"/>
      <c r="D255" s="104"/>
      <c r="E255" s="104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22</v>
      </c>
      <c r="B256" s="345" t="s">
        <v>655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23</v>
      </c>
      <c r="B257" s="340" t="s">
        <v>624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24</v>
      </c>
      <c r="B258" s="340" t="s">
        <v>625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25</v>
      </c>
      <c r="B259" s="340" t="s">
        <v>626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26</v>
      </c>
      <c r="B260" s="51" t="s">
        <v>556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27</v>
      </c>
      <c r="B261" s="107" t="s">
        <v>549</v>
      </c>
      <c r="C261" s="104"/>
      <c r="D261" s="104"/>
      <c r="E261" s="104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28</v>
      </c>
      <c r="B262" s="340" t="s">
        <v>627</v>
      </c>
      <c r="C262" s="359"/>
      <c r="D262" s="111"/>
      <c r="E262" s="360"/>
      <c r="F262" s="112"/>
      <c r="G262" s="112"/>
      <c r="H262" s="112"/>
      <c r="I262" s="112"/>
      <c r="J262" s="46"/>
      <c r="K262" s="46"/>
      <c r="L262" s="46"/>
      <c r="M262" s="46"/>
      <c r="N262" s="361"/>
      <c r="O262" s="258"/>
    </row>
    <row r="263" spans="1:15" ht="13.5" hidden="1" x14ac:dyDescent="0.15">
      <c r="A263" s="259">
        <v>29</v>
      </c>
      <c r="B263" s="345" t="s">
        <v>663</v>
      </c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58"/>
    </row>
    <row r="264" spans="1:15" ht="13.5" hidden="1" x14ac:dyDescent="0.15">
      <c r="A264" s="259">
        <v>30</v>
      </c>
      <c r="B264" s="340" t="s">
        <v>628</v>
      </c>
      <c r="C264" s="109"/>
      <c r="D264" s="109"/>
      <c r="E264" s="110"/>
      <c r="F264" s="358"/>
      <c r="G264" s="111"/>
      <c r="H264" s="111"/>
      <c r="I264" s="111"/>
      <c r="J264" s="46"/>
      <c r="K264" s="46"/>
      <c r="L264" s="46"/>
      <c r="M264" s="46"/>
      <c r="N264" s="9"/>
      <c r="O264" s="258"/>
    </row>
    <row r="265" spans="1:15" ht="13.5" hidden="1" x14ac:dyDescent="0.15">
      <c r="A265" s="259">
        <v>31</v>
      </c>
      <c r="B265" s="51" t="s">
        <v>557</v>
      </c>
      <c r="C265" s="104"/>
      <c r="D265" s="105"/>
      <c r="E265" s="106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 t="s">
        <v>723</v>
      </c>
      <c r="B266" s="51" t="s">
        <v>614</v>
      </c>
      <c r="C266" s="104"/>
      <c r="D266" s="105"/>
      <c r="E266" s="106"/>
      <c r="F266" s="112"/>
      <c r="G266" s="112"/>
      <c r="H266" s="112"/>
      <c r="I266" s="112"/>
      <c r="J266" s="46"/>
      <c r="K266" s="46"/>
      <c r="L266" s="46"/>
      <c r="M266" s="46"/>
      <c r="N266" s="46"/>
      <c r="O266" s="258"/>
    </row>
    <row r="267" spans="1:15" ht="13.5" hidden="1" x14ac:dyDescent="0.15">
      <c r="A267" s="259">
        <v>32</v>
      </c>
      <c r="B267" s="345" t="s">
        <v>664</v>
      </c>
      <c r="C267" s="104"/>
      <c r="D267" s="105"/>
      <c r="E267" s="106"/>
      <c r="F267" s="112"/>
      <c r="G267" s="112"/>
      <c r="H267" s="112"/>
      <c r="I267" s="112"/>
      <c r="J267" s="46"/>
      <c r="K267" s="46"/>
      <c r="L267" s="46"/>
      <c r="M267" s="46"/>
      <c r="N267" s="46"/>
      <c r="O267" s="258"/>
    </row>
    <row r="268" spans="1:15" ht="13.5" hidden="1" x14ac:dyDescent="0.15">
      <c r="A268" s="259">
        <v>33</v>
      </c>
      <c r="B268" s="340" t="s">
        <v>629</v>
      </c>
      <c r="C268" s="104"/>
      <c r="D268" s="105"/>
      <c r="E268" s="106"/>
      <c r="F268" s="112"/>
      <c r="G268" s="112"/>
      <c r="H268" s="112"/>
      <c r="I268" s="112"/>
      <c r="J268" s="46"/>
      <c r="K268" s="46"/>
      <c r="L268" s="46"/>
      <c r="M268" s="46"/>
      <c r="N268" s="46"/>
      <c r="O268" s="258"/>
    </row>
    <row r="269" spans="1:15" ht="13.5" hidden="1" x14ac:dyDescent="0.15">
      <c r="A269" s="259">
        <v>34</v>
      </c>
      <c r="B269" s="345" t="s">
        <v>665</v>
      </c>
      <c r="C269" s="104"/>
      <c r="D269" s="105"/>
      <c r="E269" s="106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>
        <v>35</v>
      </c>
      <c r="B270" s="51" t="s">
        <v>559</v>
      </c>
      <c r="C270" s="104"/>
      <c r="D270" s="104"/>
      <c r="E270" s="104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36</v>
      </c>
      <c r="B271" s="51" t="s">
        <v>560</v>
      </c>
      <c r="C271" s="104"/>
      <c r="D271" s="104"/>
      <c r="E271" s="104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37</v>
      </c>
      <c r="B272" s="345" t="s">
        <v>689</v>
      </c>
      <c r="C272" s="104"/>
      <c r="D272" s="104"/>
      <c r="E272" s="104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38</v>
      </c>
      <c r="B273" s="345" t="s">
        <v>666</v>
      </c>
      <c r="C273" s="104"/>
      <c r="D273" s="104"/>
      <c r="E273" s="104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39</v>
      </c>
      <c r="B274" s="340" t="s">
        <v>630</v>
      </c>
      <c r="C274" s="104"/>
      <c r="D274" s="104"/>
      <c r="E274" s="104"/>
      <c r="F274" s="112"/>
      <c r="G274" s="112"/>
      <c r="H274" s="112"/>
      <c r="I274" s="112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40</v>
      </c>
      <c r="B275" s="340" t="s">
        <v>631</v>
      </c>
      <c r="C275" s="9"/>
      <c r="D275" s="9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41</v>
      </c>
      <c r="B276" s="51" t="s">
        <v>561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42</v>
      </c>
      <c r="B277" s="345" t="s">
        <v>667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43</v>
      </c>
      <c r="B278" s="51" t="s">
        <v>562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44</v>
      </c>
      <c r="B279" s="51" t="s">
        <v>563</v>
      </c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45</v>
      </c>
      <c r="B280" s="51" t="s">
        <v>686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46</v>
      </c>
      <c r="B281" s="345" t="s">
        <v>668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47</v>
      </c>
      <c r="B282" s="345" t="s">
        <v>669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 t="s">
        <v>724</v>
      </c>
      <c r="B283" s="345" t="s">
        <v>701</v>
      </c>
      <c r="C283" s="9"/>
      <c r="D283" s="9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48</v>
      </c>
      <c r="B284" s="51" t="s">
        <v>564</v>
      </c>
      <c r="C284" s="9"/>
      <c r="D284" s="9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49</v>
      </c>
      <c r="B285" s="345" t="s">
        <v>670</v>
      </c>
      <c r="C285" s="9"/>
      <c r="D285" s="9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50</v>
      </c>
      <c r="B286" s="340" t="s">
        <v>632</v>
      </c>
      <c r="C286" s="9"/>
      <c r="D286" s="9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>
        <v>51</v>
      </c>
      <c r="B287" s="51" t="s">
        <v>565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52</v>
      </c>
      <c r="B288" s="51" t="s">
        <v>566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53</v>
      </c>
      <c r="B289" s="51" t="s">
        <v>567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54</v>
      </c>
      <c r="B290" s="51" t="s">
        <v>568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55</v>
      </c>
      <c r="B291" s="51" t="s">
        <v>569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56</v>
      </c>
      <c r="B292" s="340" t="s">
        <v>633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57</v>
      </c>
      <c r="B293" s="51" t="s">
        <v>570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58</v>
      </c>
      <c r="B294" s="51" t="s">
        <v>571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59</v>
      </c>
      <c r="B295" s="345" t="s">
        <v>671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60</v>
      </c>
      <c r="B296" s="51" t="s">
        <v>572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61</v>
      </c>
      <c r="B297" s="51" t="s">
        <v>573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62</v>
      </c>
      <c r="B298" s="51" t="s">
        <v>574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63</v>
      </c>
      <c r="B299" s="345" t="s">
        <v>672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64</v>
      </c>
      <c r="B300" s="51" t="s">
        <v>580</v>
      </c>
      <c r="C300" s="9"/>
      <c r="D300" s="9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58"/>
    </row>
    <row r="301" spans="1:15" ht="13.5" hidden="1" x14ac:dyDescent="0.15">
      <c r="A301" s="259">
        <v>65</v>
      </c>
      <c r="B301" s="51" t="s">
        <v>583</v>
      </c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258"/>
    </row>
    <row r="302" spans="1:15" ht="13.5" hidden="1" x14ac:dyDescent="0.15">
      <c r="A302" s="259">
        <v>66</v>
      </c>
      <c r="B302" s="340" t="s">
        <v>634</v>
      </c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258"/>
    </row>
    <row r="303" spans="1:15" ht="13.5" hidden="1" x14ac:dyDescent="0.15">
      <c r="A303" s="259">
        <v>67</v>
      </c>
      <c r="B303" s="51" t="s">
        <v>581</v>
      </c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258"/>
    </row>
    <row r="304" spans="1:15" ht="13.5" hidden="1" x14ac:dyDescent="0.15">
      <c r="A304" s="259" t="s">
        <v>725</v>
      </c>
      <c r="B304" s="51" t="s">
        <v>684</v>
      </c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258"/>
    </row>
    <row r="305" spans="1:15" ht="13.5" hidden="1" x14ac:dyDescent="0.15">
      <c r="A305" s="259">
        <v>68</v>
      </c>
      <c r="B305" s="108" t="s">
        <v>673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69</v>
      </c>
      <c r="B306" s="340" t="s">
        <v>635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70</v>
      </c>
      <c r="B307" s="108" t="s">
        <v>674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>
        <v>71</v>
      </c>
      <c r="B308" s="108" t="s">
        <v>675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72</v>
      </c>
      <c r="B309" s="108" t="s">
        <v>677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73</v>
      </c>
      <c r="B310" s="340" t="s">
        <v>636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74</v>
      </c>
      <c r="B311" s="108" t="s">
        <v>678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75</v>
      </c>
      <c r="B312" s="340" t="s">
        <v>637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76</v>
      </c>
      <c r="B313" s="108" t="s">
        <v>679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77</v>
      </c>
      <c r="B314" s="340" t="s">
        <v>638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78</v>
      </c>
      <c r="B315" s="108" t="s">
        <v>680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79</v>
      </c>
      <c r="B316" s="340" t="s">
        <v>639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80</v>
      </c>
      <c r="B317" s="340" t="s">
        <v>640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81</v>
      </c>
      <c r="B318" s="108" t="s">
        <v>681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82</v>
      </c>
      <c r="B319" s="51" t="s">
        <v>584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83</v>
      </c>
      <c r="B320" s="340" t="s">
        <v>683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84</v>
      </c>
      <c r="B321" s="340" t="s">
        <v>699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85</v>
      </c>
      <c r="B322" s="340" t="s">
        <v>641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86</v>
      </c>
      <c r="B323" s="340" t="s">
        <v>642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87</v>
      </c>
      <c r="B324" s="340" t="s">
        <v>643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88</v>
      </c>
      <c r="B325" s="340" t="s">
        <v>644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89</v>
      </c>
      <c r="B326" s="51" t="s">
        <v>585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90</v>
      </c>
      <c r="B327" s="108" t="s">
        <v>682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>
        <v>91</v>
      </c>
      <c r="B328" s="51" t="s">
        <v>586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 t="s">
        <v>726</v>
      </c>
      <c r="B329" s="51" t="s">
        <v>685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A330" s="259">
        <v>92</v>
      </c>
      <c r="B330" s="51" t="s">
        <v>588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B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B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B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B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  <row r="825" spans="2:15" ht="13.5" hidden="1" x14ac:dyDescent="0.15">
      <c r="B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258"/>
    </row>
  </sheetData>
  <sheetProtection password="F44E" sheet="1" objects="1" scenarios="1"/>
  <mergeCells count="30">
    <mergeCell ref="B102:E102"/>
    <mergeCell ref="B131:N131"/>
    <mergeCell ref="C124:E124"/>
    <mergeCell ref="F124:H124"/>
    <mergeCell ref="K111:S111"/>
    <mergeCell ref="B111:J111"/>
    <mergeCell ref="I124:J124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J101">
    <cfRule type="cellIs" dxfId="155" priority="1" stopIfTrue="1" operator="equal">
      <formula>"ATENDE TEMPO NO CARGO"</formula>
    </cfRule>
    <cfRule type="cellIs" dxfId="154" priority="2" stopIfTrue="1" operator="equal">
      <formula>"NÃO CUMPRE TEMPO NO CARGO"</formula>
    </cfRule>
  </conditionalFormatting>
  <conditionalFormatting sqref="M244:M262 M234:M240 M265:M288 C222:C224 C133:C178 N177:N178 C180:C199 C219:C220 C226:C230 C201:C217">
    <cfRule type="cellIs" dxfId="153" priority="3" stopIfTrue="1" operator="equal">
      <formula>"ANUÊNIO"</formula>
    </cfRule>
    <cfRule type="cellIs" dxfId="152" priority="4" stopIfTrue="1" operator="equal">
      <formula>"TRIÊNIO"</formula>
    </cfRule>
    <cfRule type="cellIs" dxfId="151" priority="5" stopIfTrue="1" operator="equal">
      <formula>"QUINQUÊNIO"</formula>
    </cfRule>
  </conditionalFormatting>
  <conditionalFormatting sqref="F72:F74">
    <cfRule type="cellIs" dxfId="150" priority="6" stopIfTrue="1" operator="equal">
      <formula>"NADA A CUMPRIR"</formula>
    </cfRule>
    <cfRule type="cellIs" dxfId="149" priority="7" stopIfTrue="1" operator="equal">
      <formula>"NÃO CABE"</formula>
    </cfRule>
    <cfRule type="cellIs" dxfId="148" priority="8" stopIfTrue="1" operator="greaterThanOrEqual">
      <formula>0</formula>
    </cfRule>
  </conditionalFormatting>
  <conditionalFormatting sqref="E71">
    <cfRule type="cellIs" dxfId="147" priority="9" stopIfTrue="1" operator="equal">
      <formula>"NÃO ATENDE LIMITE MÍNIMO DE IDADE"</formula>
    </cfRule>
    <cfRule type="cellIs" dxfId="146" priority="10" stopIfTrue="1" operator="equal">
      <formula>"REANALISAR FUNDAMENTAÇÃO E/OU MODALIDADE"</formula>
    </cfRule>
    <cfRule type="cellIs" dxfId="145" priority="11" stopIfTrue="1" operator="equal">
      <formula>"ATENDE LIMITE MÍNIMO DE IDADE"</formula>
    </cfRule>
  </conditionalFormatting>
  <conditionalFormatting sqref="N69 N71">
    <cfRule type="cellIs" dxfId="144" priority="12" stopIfTrue="1" operator="equal">
      <formula>0</formula>
    </cfRule>
  </conditionalFormatting>
  <conditionalFormatting sqref="K8">
    <cfRule type="expression" dxfId="143" priority="13" stopIfTrue="1">
      <formula>"SE($N$8=0)"</formula>
    </cfRule>
  </conditionalFormatting>
  <conditionalFormatting sqref="C73">
    <cfRule type="cellIs" dxfId="142" priority="14" stopIfTrue="1" operator="equal">
      <formula>"FALTA DATA"</formula>
    </cfRule>
  </conditionalFormatting>
  <conditionalFormatting sqref="M74">
    <cfRule type="cellIs" dxfId="141" priority="15" stopIfTrue="1" operator="equal">
      <formula>"ATENDE"</formula>
    </cfRule>
    <cfRule type="cellIs" dxfId="140" priority="16" stopIfTrue="1" operator="equal">
      <formula>"NÃO ATENDE"</formula>
    </cfRule>
    <cfRule type="cellIs" dxfId="139" priority="17" stopIfTrue="1" operator="equal">
      <formula>"NÃO CABE"</formula>
    </cfRule>
  </conditionalFormatting>
  <conditionalFormatting sqref="M73">
    <cfRule type="cellIs" dxfId="138" priority="18" stopIfTrue="1" operator="equal">
      <formula>"ATENDE"</formula>
    </cfRule>
    <cfRule type="cellIs" dxfId="137" priority="19" stopIfTrue="1" operator="equal">
      <formula>"NÃO ATENDE"</formula>
    </cfRule>
    <cfRule type="cellIs" dxfId="136" priority="20" stopIfTrue="1" operator="equal">
      <formula>"NÃO CABE"</formula>
    </cfRule>
  </conditionalFormatting>
  <conditionalFormatting sqref="M75 L77:M77 L78:L86">
    <cfRule type="cellIs" dxfId="135" priority="21" stopIfTrue="1" operator="equal">
      <formula>"ATENDE"</formula>
    </cfRule>
    <cfRule type="cellIs" dxfId="134" priority="22" stopIfTrue="1" operator="equal">
      <formula>"NÃO ATENDE"</formula>
    </cfRule>
    <cfRule type="cellIs" dxfId="133" priority="23" stopIfTrue="1" operator="equal">
      <formula>"OK"</formula>
    </cfRule>
  </conditionalFormatting>
  <conditionalFormatting sqref="K42">
    <cfRule type="expression" dxfId="132" priority="24" stopIfTrue="1">
      <formula>$E$42&lt;=0</formula>
    </cfRule>
  </conditionalFormatting>
  <conditionalFormatting sqref="M42">
    <cfRule type="expression" dxfId="131" priority="25" stopIfTrue="1">
      <formula>$E$42&lt;=0</formula>
    </cfRule>
  </conditionalFormatting>
  <conditionalFormatting sqref="O70 I67">
    <cfRule type="cellIs" dxfId="130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1000-000000000000}">
      <formula1>$O$2:$O$7</formula1>
    </dataValidation>
    <dataValidation type="list" allowBlank="1" showInputMessage="1" showErrorMessage="1" sqref="E2:I2" xr:uid="{00000000-0002-0000-1000-000001000000}">
      <formula1>$B$91:$B$99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L829"/>
  <sheetViews>
    <sheetView showGridLines="0" topLeftCell="A43" zoomScale="75" zoomScaleNormal="75" workbookViewId="0" xr3:uid="{F1CDC194-CB96-5A2D-8E84-222F42300CFA}">
      <selection activeCell="F72" sqref="F72"/>
    </sheetView>
  </sheetViews>
  <sheetFormatPr defaultColWidth="9.16796875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28.99218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3" width="0" style="21" hidden="1" customWidth="1"/>
    <col min="254" max="16384" width="9.16796875" style="21"/>
  </cols>
  <sheetData>
    <row r="1" spans="1:53" ht="6" customHeight="1" x14ac:dyDescent="0.15">
      <c r="A1" s="295"/>
      <c r="O1" s="362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455</v>
      </c>
      <c r="F2" s="1850"/>
      <c r="G2" s="1850"/>
      <c r="H2" s="1850"/>
      <c r="I2" s="1850"/>
      <c r="J2" s="652" t="s">
        <v>462</v>
      </c>
      <c r="K2" s="1939" t="s">
        <v>463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IF(OR($E$2=$B$95,$E$2=$B$96,E2=B97),IF($M$13&gt;=5,"ATENDE","NÃO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IF(OR($E$2=$B$95,$E$2=$B$96,E2=B97),IF($M$15&gt;=10,"ATENDE","NÃO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37">
        <f>CRÍTICA_IGP1!N8</f>
        <v>0</v>
      </c>
      <c r="O8" s="104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37">
        <f>CRÍTICA_IGP1!N9</f>
        <v>0</v>
      </c>
      <c r="O9" s="1046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277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367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4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6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6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">
        <v>613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7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7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7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7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7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8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8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9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63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O24" s="362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2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745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3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2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2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2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2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2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2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3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369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IF(E2=B103,IF(D12="X",IF(G10="X",ROUNDDOWN(SUM(F26:F34)*0.2,0),ROUNDDOWN(SUM(F26:F34)*0.17,0)),0),0)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369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2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 t="str">
        <f>IF(E38&lt;36145,E38,"REVER")</f>
        <v>REVER</v>
      </c>
      <c r="F37" s="157">
        <f>IF($E$37&gt;$A$37,0,SUM($F$26:$F$35))</f>
        <v>0</v>
      </c>
      <c r="G37" s="150"/>
      <c r="H37" s="662" t="str">
        <f>E38</f>
        <v>REVER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2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 t="str">
        <f>IF(E32&gt;0,E32,IF(E31&gt;0,E31,IF(E30&gt;0,E30,IF(E29&gt;0,E29,IF(E28&gt;0,E28,IF(E27&gt;0,E27,IF(E26&gt;0,F26,"REVER")))))))</f>
        <v>REVER</v>
      </c>
      <c r="F38" s="270"/>
      <c r="G38" s="238" t="s">
        <v>436</v>
      </c>
      <c r="H38" s="238"/>
      <c r="I38" s="238"/>
      <c r="J38" s="682"/>
      <c r="K38" s="238"/>
      <c r="L38" s="238"/>
      <c r="M38" s="683"/>
      <c r="N38" s="684"/>
      <c r="O38" s="2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2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2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IF(E41&gt;0,IF(E2=B95,E41,IF(E2=B96,E41,IF(E2=B102,E41,))),0)</f>
        <v>12775</v>
      </c>
      <c r="D41" s="178" t="b">
        <f>IF(E41&gt;0,IF(K2=O5,IF(E2=B103,E41,0)),0)</f>
        <v>0</v>
      </c>
      <c r="E41" s="179">
        <f>IF($E$2=B102,IF($G$10="X",(25*365)-$F$37,(30*365)-$F$37),IF($G$10="X",(30*365)-$F$37,(35*365)-$F$37))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2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CUMPRIR",IF(K2=O5,IF(E2=B103,"HÁ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O42" s="362"/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IF(E42&gt;0,IF(E2=B102,ROUNDUP(E42*0.4,0),ROUNDUP(E42*0.2,0)),0)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4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4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IF(K2=O2,0,IF(K2=O3,A42,IF(K2=O4,A43,A44)))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2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153"/>
      <c r="C46" s="273"/>
      <c r="D46" s="274"/>
      <c r="E46" s="275"/>
      <c r="F46" s="278">
        <f>SUM(F47:F50)</f>
        <v>0</v>
      </c>
      <c r="G46" s="591" t="str">
        <f>IF(AND($E$51&gt;=36145,$E$51&lt;=37985),$E$51,"REVER")</f>
        <v>REVER</v>
      </c>
      <c r="H46" s="592" t="str">
        <f>IF(AND($E$51&gt;=36145,$E$51&lt;38037),$E$51,"REVER")</f>
        <v>REVER</v>
      </c>
      <c r="I46" s="230"/>
      <c r="J46" s="230"/>
      <c r="K46" s="230"/>
      <c r="L46" s="230"/>
      <c r="M46" s="378"/>
      <c r="N46" s="230"/>
      <c r="O46" s="2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2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2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2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CRÍTICA_IGP1!E50</f>
        <v>25567</v>
      </c>
      <c r="F50" s="600">
        <f>IF(C50=0,0,IF(E50=0,0,E50-C50+1))-N50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2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362"/>
      <c r="C51" s="277" t="str">
        <f>IF($C$47&gt;0,$C$47,IF($C$48&gt;0,$C$48,IF($C$49&gt;0,$C$49,IF($C$50&gt;0,$C$50,"REVER"))))</f>
        <v>REVER</v>
      </c>
      <c r="D51" s="362"/>
      <c r="E51" s="277">
        <f>IF($E$50&gt;0,$E$50,IF($E$49&gt;0,$E$49,IF($E$48&gt;0,$E$48,IF($E$47&gt;0,$E$47,"REVER"))))</f>
        <v>25567</v>
      </c>
      <c r="F51" s="362" t="s">
        <v>741</v>
      </c>
      <c r="G51" s="362"/>
      <c r="H51" s="363">
        <f>SUM($F$48:$F$50)</f>
        <v>0</v>
      </c>
      <c r="I51" s="362" t="s">
        <v>743</v>
      </c>
      <c r="J51" s="363">
        <f>SUM(F49:F50)</f>
        <v>0</v>
      </c>
      <c r="K51" s="362"/>
      <c r="L51" s="362"/>
      <c r="M51" s="362"/>
      <c r="N51" s="362"/>
      <c r="O51" s="362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2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2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2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2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2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2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685"/>
      <c r="C58" s="277" t="str">
        <f>IF(C54&gt;0,C54,IF(C55&gt;0,C55,IF(C56&gt;0,C56,IF(C57&gt;0,C57,"REVER"))))</f>
        <v>REVER</v>
      </c>
      <c r="D58" s="22"/>
      <c r="E58" s="289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2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3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369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40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2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40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 t="b">
        <f>IF(E2=B97,"NÃO CABE",IF(E2=B99,"NÃO CABE",IF(E2=B100,"NÃO CABE",IF(E2=B101,"NÃO CABE",IF(C65&gt;0,C65,"NADA A CUMPRIR")))))</f>
        <v>0</v>
      </c>
      <c r="D64" s="198"/>
      <c r="E64" s="199"/>
      <c r="F64" s="200"/>
      <c r="G64" s="198"/>
      <c r="H64" s="201">
        <f>IF($C$64="NÃO CABE",0,IF($C$65&gt;0,ROUNDDOWN($C$65/365,0),0))</f>
        <v>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368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 t="b">
        <f>IF(K2=O2,IF(E2=B102,R128,R127),IF(K2=O3,Q126,IF(K2=O6,Q126,IF(K2=O4,Q125,IF(K2=O5,Q125,IF($K$2=O7,Q129,0))))))</f>
        <v>0</v>
      </c>
      <c r="D65" s="205"/>
      <c r="E65" s="206"/>
      <c r="F65" s="207"/>
      <c r="G65" s="205"/>
      <c r="H65" s="207">
        <f>IF($C$64="NÃO CABE",0,IF($C$65&gt;0,ROUNDDOWN($C$65/365,0),0))</f>
        <v>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370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30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371">
        <f>IF($O$10&lt;$D$136,VLOOKUP($E$6,$B$137:$Q$234,3,FALSE),IF($O$10&lt;$E$136,VLOOKUP($E$6,$B$137:$Q$234,4,FALSE),VLOOKUP($E$6,$B$137:$Q$234,5,FALSE)))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$95&lt;=$BC$93,VLOOKUP($C$8,$BB$96:$BH$135,2,FALSE),IF($BC$95&lt;=$BD$93,VLOOKUP($C$8,$BB$96:$BH$135,3,FALSE),IF($BC$95&lt;=$BE$93,VLOOKUP($C$8,$BB$96:$BH$135,4,FALSE),IF($BC$95&lt;=$BF$93,VLOOKUP($C$8,$BB$96:$BH$135,5,FALSE),IF($BC$95&lt;=$BG$93,VLOOKUP($C$8,$BB$96:$BH$135,6,FALSE),VLOOKUP($C$8,$BB$96:$BH$135,7,FALSE))))))</f>
        <v>#N/A</v>
      </c>
      <c r="F68" s="150"/>
      <c r="G68" s="150"/>
      <c r="H68" s="150"/>
      <c r="I68" s="221"/>
      <c r="J68" s="222" t="e">
        <f>IF($BC$91&lt;=$BC$93,VLOOKUP($C$8,$BB$96:$BH$135,2,FALSE),IF($BC$91&lt;=$BD$93,VLOOKUP($C$8,$BB$96:$BH$135,3,FALSE),IF($BC$91&lt;=$BE$93,VLOOKUP($C$8,$BB$96:$BH$135,4,FALSE),IF($BC$91&lt;=$BF$93,VLOOKUP($C$8,$BB$96:$BH$135,5,FALSE),IF($BC$91&lt;=$BG$93,VLOOKUP($C$8,$BB$96:$BH$135,6,FALSE),VLOOKUP($C$8,$BB$96:$BH$135,7,FALSE))))))</f>
        <v>#N/A</v>
      </c>
      <c r="K68" s="150" t="s">
        <v>448</v>
      </c>
      <c r="L68" s="153"/>
      <c r="M68" s="150"/>
      <c r="N68" s="223" t="str">
        <f>IF($K$2=$O$2,J107,IF($K$2=$O$3,J108,IF($K$2=$O$4,J109,IF($K$2=$O$5,J110,"NÃO CABE"))))</f>
        <v>NÃO CABE</v>
      </c>
      <c r="O68" s="362" t="str">
        <f>VLOOKUP($E$6,$B$137:$C$234,2,FALSE)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REGRAS ANTES EC20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371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ESPECIAL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IF(K2=O3,IF(M109&gt;=N109,N108,"NÃO CABE"),"NÃO CABE")</f>
        <v>NÃO CABE</v>
      </c>
      <c r="O70" s="372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IF($E$2=$L$116,$O$116,IF($E$2=$L$117,$O$117,IF($E$2=$L$118,$O$118,IF($E$2=$L$119,$O$119,IF($E$2=$L$120,$O$120,$O$121)))))</f>
        <v>NADA A CRITICAR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O71" s="362"/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 t="b">
        <f>IF(AND(K2=O2,OR(J8&gt;=36145,J9&gt;=36145)),"INCOMPATÍVEL",C64)</f>
        <v>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O72" s="362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CABE</v>
      </c>
      <c r="N73" s="233"/>
      <c r="O73" s="362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O74" s="362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IF(OR(E6=B205,E6=B217,E6=B228),IF(L217&gt;=25,"FAZ JUS A 1/6 DA REMUNERAÇÃO",IF(L228&gt;=25,"FAZ JUS A 1/6 DA REMUNERAÇÃO",IF(L205&gt;=25,"FAZ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3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IF(ISERROR(HLOOKUP($J$182,$Q$73:$W$74,2)),0,HLOOKUP($J$182,$Q$73:$W$74,2))</f>
        <v>0</v>
      </c>
      <c r="T75" s="133" t="s">
        <v>451</v>
      </c>
      <c r="U75" s="132"/>
      <c r="V75" s="133"/>
      <c r="W75" s="132">
        <f>IF(ISERROR(HLOOKUP($K$182,$Q$73:$W$74,2)),0,HLOOKUP($K$182,$Q$73:$W$74,2))</f>
        <v>0</v>
      </c>
      <c r="X75" s="134" t="s">
        <v>507</v>
      </c>
      <c r="Y75" s="135"/>
      <c r="Z75" s="136"/>
      <c r="AA75" s="134"/>
      <c r="AB75" s="137">
        <f>IF(ISERROR(HLOOKUP($L$182,$Q$73:$W$74,2)),0,HLOOKUP($L$182,$Q$73:$W$74,2))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ht="13.5" x14ac:dyDescent="0.15">
      <c r="A76" s="29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2"/>
      <c r="N76" s="5"/>
      <c r="O76" s="2" t="str">
        <f>IF($F$72="NADA A CUMPRIR","OK",IF($F$72="NÃO CABE","NÃO CABE","NÃO CUMPRE"))</f>
        <v>NÃO CUMPRE</v>
      </c>
      <c r="AC76" s="69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69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7" si="0">IF(OR($E$71="NADA A CRITICAR",$E$71="ATENDE LIMITE MÍNIMO DE IDADE"),"SIM","NÃO")</f>
        <v>SIM</v>
      </c>
      <c r="D78" s="415"/>
      <c r="E78" s="18" t="s">
        <v>463</v>
      </c>
      <c r="F78" s="416"/>
      <c r="G78" s="18"/>
      <c r="H78" s="414" t="str">
        <f t="shared" ref="H78:H87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7" si="2">IF(OR($M$73="NÃO CABE",$M$73="ATENDE"),"SIM","NÃO")</f>
        <v>SIM</v>
      </c>
      <c r="K78" s="414" t="str">
        <f t="shared" ref="K78:K87" si="3">IF(OR($M$74="NÃO CABE",$M$74="ATENDE"),"SIM","NÃO")</f>
        <v>SIM</v>
      </c>
      <c r="L78" s="412"/>
      <c r="M78" s="414" t="str">
        <f t="shared" ref="M78:M87" si="4">IF(OR($M$75="ATENDE",$M$75="OK"),"SIM","NÃO")</f>
        <v>NÃO</v>
      </c>
      <c r="N78" s="414" t="str">
        <f t="shared" ref="N78:N87" si="5">IF(AND(C78="SIM",H78="SIM",J78="SIM",K78="SIM",M78="SIM"),"SIM","NÃO")</f>
        <v>NÃO</v>
      </c>
      <c r="O78" s="2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69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SIM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SIM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"/>
      <c r="AC79" s="69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SIM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SIM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69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SIM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SIM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SIM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SIM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"/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6" t="s">
        <v>487</v>
      </c>
      <c r="C83" s="414" t="str">
        <f t="shared" si="0"/>
        <v>SIM</v>
      </c>
      <c r="D83" s="415"/>
      <c r="E83" s="18" t="s">
        <v>463</v>
      </c>
      <c r="F83" s="416"/>
      <c r="G83" s="18"/>
      <c r="H83" s="414" t="str">
        <f t="shared" si="1"/>
        <v>NÃO</v>
      </c>
      <c r="I83" s="413" t="str">
        <f t="shared" si="6"/>
        <v>NÃO</v>
      </c>
      <c r="J83" s="414" t="str">
        <f t="shared" si="2"/>
        <v>SIM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"/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6" t="s">
        <v>487</v>
      </c>
      <c r="C84" s="414" t="str">
        <f t="shared" si="0"/>
        <v>SIM</v>
      </c>
      <c r="D84" s="415"/>
      <c r="E84" s="18" t="s">
        <v>754</v>
      </c>
      <c r="F84" s="631"/>
      <c r="G84" s="18"/>
      <c r="H84" s="414" t="str">
        <f t="shared" si="1"/>
        <v>NÃO</v>
      </c>
      <c r="I84" s="413" t="str">
        <f t="shared" si="6"/>
        <v>NÃO</v>
      </c>
      <c r="J84" s="414" t="str">
        <f t="shared" si="2"/>
        <v>SIM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"/>
      <c r="AC84" s="69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412" t="s">
        <v>467</v>
      </c>
      <c r="C85" s="414" t="str">
        <f t="shared" si="0"/>
        <v>SIM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SIM</v>
      </c>
      <c r="K85" s="414" t="str">
        <f t="shared" si="3"/>
        <v>SIM</v>
      </c>
      <c r="L85" s="412"/>
      <c r="M85" s="414" t="str">
        <f t="shared" si="4"/>
        <v>NÃO</v>
      </c>
      <c r="N85" s="414" t="str">
        <f t="shared" si="5"/>
        <v>NÃO</v>
      </c>
      <c r="O85" s="2"/>
      <c r="AC85" s="69"/>
      <c r="AD85" s="70"/>
      <c r="AE85" s="70"/>
      <c r="AF85" s="70"/>
      <c r="AG85" s="69"/>
      <c r="AX85" s="11"/>
      <c r="AY85" s="11"/>
      <c r="AZ85" s="11"/>
      <c r="BA85" s="85"/>
    </row>
    <row r="86" spans="1:64" ht="13.5" hidden="1" x14ac:dyDescent="0.15">
      <c r="A86" s="295"/>
      <c r="B86" s="412" t="s">
        <v>467</v>
      </c>
      <c r="C86" s="414" t="str">
        <f t="shared" si="0"/>
        <v>SIM</v>
      </c>
      <c r="D86" s="415"/>
      <c r="E86" s="18" t="s">
        <v>485</v>
      </c>
      <c r="F86" s="631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SIM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"/>
      <c r="AC86" s="69"/>
      <c r="AD86" s="70"/>
      <c r="AE86" s="70"/>
      <c r="AF86" s="70"/>
      <c r="AG86" s="69"/>
      <c r="AX86" s="11"/>
      <c r="AY86" s="11"/>
      <c r="AZ86" s="11"/>
      <c r="BA86" s="85"/>
    </row>
    <row r="87" spans="1:64" hidden="1" x14ac:dyDescent="0.15">
      <c r="A87" s="295"/>
      <c r="B87" s="616" t="s">
        <v>484</v>
      </c>
      <c r="C87" s="414" t="str">
        <f t="shared" si="0"/>
        <v>SIM</v>
      </c>
      <c r="D87" s="546"/>
      <c r="E87" s="33" t="s">
        <v>464</v>
      </c>
      <c r="F87" s="416"/>
      <c r="G87" s="185"/>
      <c r="H87" s="414" t="str">
        <f t="shared" si="1"/>
        <v>NÃO</v>
      </c>
      <c r="I87" s="413" t="str">
        <f>IF($D$14="X",IF($N$79="SIM","SIM","NÃO"),"NÃO")</f>
        <v>NÃO</v>
      </c>
      <c r="J87" s="414" t="str">
        <f t="shared" si="2"/>
        <v>SIM</v>
      </c>
      <c r="K87" s="414" t="str">
        <f t="shared" si="3"/>
        <v>SIM</v>
      </c>
      <c r="L87" s="185"/>
      <c r="M87" s="414" t="str">
        <f t="shared" si="4"/>
        <v>NÃO</v>
      </c>
      <c r="N87" s="414" t="str">
        <f t="shared" si="5"/>
        <v>NÃO</v>
      </c>
      <c r="O87" s="366"/>
      <c r="AC87" s="69"/>
      <c r="AD87" s="70"/>
      <c r="AE87" s="70"/>
      <c r="AF87" s="70"/>
      <c r="AG87" s="69"/>
      <c r="AX87" s="11"/>
      <c r="AY87" s="11"/>
      <c r="AZ87" s="11"/>
      <c r="BA87" s="85"/>
    </row>
    <row r="88" spans="1:64" ht="13.5" hidden="1" x14ac:dyDescent="0.15">
      <c r="A88" s="295"/>
      <c r="B88" s="617" t="s">
        <v>455</v>
      </c>
      <c r="C88" s="641" t="str">
        <f>IF(OR($E$71="NADA A CRITICAR",$E$71="ATENDE LIMITE MÍNIMO DE IDADE"),"SIM","NÃO")</f>
        <v>SIM</v>
      </c>
      <c r="D88" s="642"/>
      <c r="E88" s="617" t="s">
        <v>463</v>
      </c>
      <c r="F88" s="643">
        <f>I67</f>
        <v>0</v>
      </c>
      <c r="G88" s="617"/>
      <c r="H88" s="641" t="str">
        <f>IF(OR($F$72="NADA A CUMPRIR",$F$72="NÃO CABE"),"SIM","NÃO")</f>
        <v>NÃO</v>
      </c>
      <c r="I88" s="644" t="str">
        <f>IF(N88="SIM","SIM","NÃO")</f>
        <v>NÃO</v>
      </c>
      <c r="J88" s="641" t="str">
        <f>IF(OR($M$73="NÃO CABE",$M$73="ATENDE"),"SIM","NÃO")</f>
        <v>SIM</v>
      </c>
      <c r="K88" s="641" t="str">
        <f>IF(OR($M$74="NÃO CABE",$M$74="ATENDE"),"SIM","NÃO")</f>
        <v>SIM</v>
      </c>
      <c r="L88" s="645"/>
      <c r="M88" s="641" t="str">
        <f>IF(OR($M$75="ATENDE",$M$75="OK"),"SIM","NÃO")</f>
        <v>NÃO</v>
      </c>
      <c r="N88" s="619" t="str">
        <f>IF($N$8&gt;=36145,"NÃO",IF(AND(C88="SIM",H88="SIM",J88="SIM",K88="SIM",M88="SIM"),"SIM","NÃO"))</f>
        <v>NÃO</v>
      </c>
      <c r="O88" s="2"/>
      <c r="AC88" s="69"/>
      <c r="AD88" s="70"/>
      <c r="AE88" s="70"/>
      <c r="AF88" s="70"/>
      <c r="AG88" s="69"/>
      <c r="AX88" s="11"/>
      <c r="AY88" s="11"/>
      <c r="AZ88" s="11"/>
      <c r="BA88" s="85"/>
    </row>
    <row r="89" spans="1:64" hidden="1" x14ac:dyDescent="0.15">
      <c r="A89" s="295"/>
      <c r="B89" s="18" t="s">
        <v>455</v>
      </c>
      <c r="C89" s="414" t="str">
        <f>IF(OR($E$71="NADA A CRITICAR",$E$71="ATENDE LIMITE MÍNIMO DE IDADE"),"SIM","NÃO")</f>
        <v>SIM</v>
      </c>
      <c r="D89" s="546"/>
      <c r="E89" s="18" t="s">
        <v>752</v>
      </c>
      <c r="F89" s="416"/>
      <c r="G89" s="18"/>
      <c r="H89" s="414" t="str">
        <f>IF(OR($F$72="NADA A CUMPRIR",$F$72="NÃO CABE"),"SIM","NÃO")</f>
        <v>NÃO</v>
      </c>
      <c r="I89" s="413" t="str">
        <f>IF(N89="SIM","SIM","NÃO")</f>
        <v>NÃO</v>
      </c>
      <c r="J89" s="414" t="str">
        <f>IF(OR($M$73="NÃO CABE",$M$73="ATENDE"),"SIM","NÃO")</f>
        <v>SIM</v>
      </c>
      <c r="K89" s="414" t="str">
        <f>IF(OR($M$74="NÃO CABE",$M$74="ATENDE"),"SIM","NÃO")</f>
        <v>SIM</v>
      </c>
      <c r="L89" s="412"/>
      <c r="M89" s="414" t="str">
        <f>IF(OR($M$75="ATENDE",$M$75="OK"),"SIM","NÃO")</f>
        <v>NÃO</v>
      </c>
      <c r="N89" s="414" t="str">
        <f>IF(AND(C89="SIM",H89="SIM",J89="SIM",K89="SIM",M89="SIM"),"SIM","NÃO")</f>
        <v>NÃO</v>
      </c>
      <c r="O89" s="2"/>
      <c r="AC89" s="69"/>
      <c r="AD89" s="70"/>
      <c r="AE89" s="70"/>
      <c r="AF89" s="70"/>
      <c r="AG89" s="69"/>
      <c r="AX89" s="11"/>
      <c r="AY89" s="11"/>
      <c r="AZ89" s="11"/>
      <c r="BA89" s="85"/>
    </row>
    <row r="90" spans="1:64" ht="15" hidden="1" thickBot="1" x14ac:dyDescent="0.2">
      <c r="A90" s="295"/>
      <c r="B90" s="18" t="s">
        <v>455</v>
      </c>
      <c r="C90" s="414" t="str">
        <f>IF(OR($E$71="NADA A CRITICAR",$E$71="ATENDE LIMITE MÍNIMO DE IDADE"),"SIM","NÃO")</f>
        <v>SIM</v>
      </c>
      <c r="D90" s="546"/>
      <c r="E90" s="18" t="s">
        <v>754</v>
      </c>
      <c r="F90" s="416"/>
      <c r="G90" s="18"/>
      <c r="H90" s="414" t="str">
        <f>IF(OR($F$72="NADA A CUMPRIR",$F$72="NÃO CABE"),"SIM","NÃO")</f>
        <v>NÃO</v>
      </c>
      <c r="I90" s="413" t="str">
        <f>IF(N90="SIM","SIM","NÃO")</f>
        <v>NÃO</v>
      </c>
      <c r="J90" s="414" t="str">
        <f>IF(OR($M$73="NÃO CABE",$M$73="ATENDE"),"SIM","NÃO")</f>
        <v>SIM</v>
      </c>
      <c r="K90" s="414" t="str">
        <f>IF(OR($M$74="NÃO CABE",$M$74="ATENDE"),"SIM","NÃO")</f>
        <v>SIM</v>
      </c>
      <c r="L90" s="412"/>
      <c r="M90" s="414" t="str">
        <f>IF(OR($M$75="ATENDE",$M$75="OK"),"SIM","NÃO")</f>
        <v>NÃO</v>
      </c>
      <c r="N90" s="414" t="str">
        <f>IF(AND(C90="SIM",H90="SIM",J90="SIM",K90="SIM",M90="SIM"),"SIM","NÃO")</f>
        <v>NÃO</v>
      </c>
      <c r="O90" s="2"/>
      <c r="AC90" s="69"/>
      <c r="AD90" s="70"/>
      <c r="AE90" s="70"/>
      <c r="AF90" s="70"/>
      <c r="AG90" s="69"/>
      <c r="AX90" s="11"/>
      <c r="AY90" s="11"/>
      <c r="AZ90" s="11"/>
      <c r="BA90" s="85"/>
    </row>
    <row r="91" spans="1:64" ht="15.95" hidden="1" customHeight="1" thickTop="1" x14ac:dyDescent="0.15">
      <c r="B91" s="18" t="s">
        <v>455</v>
      </c>
      <c r="C91" s="414" t="str">
        <f>IF(OR($E$71="NADA A CRITICAR",$E$71="ATENDE LIMITE MÍNIMO DE IDADE"),"SIM","NÃO")</f>
        <v>SIM</v>
      </c>
      <c r="D91" s="21"/>
      <c r="E91" s="18" t="s">
        <v>485</v>
      </c>
      <c r="F91" s="416"/>
      <c r="G91" s="18"/>
      <c r="H91" s="414" t="str">
        <f>IF(OR($F$72="NADA A CUMPRIR",$F$72="NÃO CABE"),"SIM","NÃO")</f>
        <v>NÃO</v>
      </c>
      <c r="I91" s="413" t="str">
        <f>IF($D$14="X",IF($N$79="SIM","SIM","NÃO"),"NÃO")</f>
        <v>NÃO</v>
      </c>
      <c r="J91" s="414" t="str">
        <f>IF(OR($M$73="NÃO CABE",$M$73="ATENDE"),"SIM","NÃO")</f>
        <v>SIM</v>
      </c>
      <c r="K91" s="414" t="str">
        <f>IF(OR($M$74="NÃO CABE",$M$74="ATENDE"),"SIM","NÃO")</f>
        <v>SIM</v>
      </c>
      <c r="L91" s="412"/>
      <c r="M91" s="414" t="str">
        <f>IF(OR($M$75="ATENDE",$M$75="OK"),"SIM","NÃO")</f>
        <v>NÃO</v>
      </c>
      <c r="N91" s="414" t="str">
        <f>IF(AND(C91="SIM",H91="SIM",J91="SIM",K91="SIM",M91="SIM"),"SIM","NÃO")</f>
        <v>NÃO</v>
      </c>
      <c r="O91" s="255"/>
      <c r="AC91" s="69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Z91" s="11"/>
      <c r="BA91" s="85"/>
      <c r="BB91" s="686"/>
      <c r="BC91" s="687">
        <f>SUM(F30:F32)</f>
        <v>0</v>
      </c>
      <c r="BD91" s="687"/>
      <c r="BE91" s="687"/>
      <c r="BF91" s="688"/>
      <c r="BG91" s="688"/>
      <c r="BH91" s="688"/>
      <c r="BI91" s="688" t="s">
        <v>361</v>
      </c>
      <c r="BJ91" s="689" t="s">
        <v>362</v>
      </c>
      <c r="BK91" s="690" t="s">
        <v>362</v>
      </c>
      <c r="BL91" s="691" t="s">
        <v>363</v>
      </c>
    </row>
    <row r="92" spans="1:64" ht="15.95" hidden="1" customHeight="1" x14ac:dyDescent="0.15">
      <c r="B92" s="18"/>
      <c r="C92" s="414"/>
      <c r="D92" s="21"/>
      <c r="E92" s="18"/>
      <c r="F92" s="416"/>
      <c r="G92" s="18"/>
      <c r="H92" s="414"/>
      <c r="I92" s="413"/>
      <c r="J92" s="414"/>
      <c r="K92" s="414"/>
      <c r="L92" s="412"/>
      <c r="M92" s="414"/>
      <c r="N92" s="414"/>
      <c r="O92" s="255"/>
      <c r="AC92" s="69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Z92" s="11"/>
      <c r="BA92" s="85"/>
      <c r="BB92" s="692"/>
      <c r="BC92" s="693"/>
      <c r="BD92" s="693"/>
      <c r="BE92" s="693"/>
      <c r="BF92" s="694"/>
      <c r="BG92" s="694"/>
      <c r="BH92" s="694"/>
      <c r="BI92" s="694"/>
      <c r="BJ92" s="755"/>
      <c r="BK92" s="756"/>
      <c r="BL92" s="757"/>
    </row>
    <row r="93" spans="1:64" ht="15.95" hidden="1" customHeight="1" thickBot="1" x14ac:dyDescent="0.2">
      <c r="C93" s="21"/>
      <c r="D93" s="21"/>
      <c r="G93" s="5"/>
      <c r="H93" s="5"/>
      <c r="I93" s="5"/>
      <c r="J93" s="5"/>
      <c r="K93" s="5"/>
      <c r="L93" s="5"/>
      <c r="M93" s="2"/>
      <c r="N93" s="5"/>
      <c r="O93" s="255"/>
      <c r="AC93" s="69"/>
      <c r="AD93" s="70"/>
      <c r="AE93" s="70"/>
      <c r="AF93" s="70"/>
      <c r="AG93" s="69"/>
      <c r="AZ93" s="11"/>
      <c r="BA93" s="85"/>
      <c r="BB93" s="692" t="s">
        <v>364</v>
      </c>
      <c r="BC93" s="693">
        <v>5</v>
      </c>
      <c r="BD93" s="693">
        <v>10</v>
      </c>
      <c r="BE93" s="693">
        <v>15</v>
      </c>
      <c r="BF93" s="693">
        <v>20</v>
      </c>
      <c r="BG93" s="694">
        <v>25</v>
      </c>
      <c r="BH93" s="694" t="s">
        <v>365</v>
      </c>
      <c r="BI93" s="695" t="s">
        <v>366</v>
      </c>
      <c r="BJ93" s="696" t="s">
        <v>367</v>
      </c>
      <c r="BK93" s="697">
        <v>34820</v>
      </c>
      <c r="BL93" s="698">
        <v>34851</v>
      </c>
    </row>
    <row r="94" spans="1:64" ht="15.95" hidden="1" customHeight="1" thickBot="1" x14ac:dyDescent="0.2">
      <c r="B94" s="88" t="s">
        <v>449</v>
      </c>
      <c r="C94" s="89"/>
      <c r="D94" s="97" t="s">
        <v>546</v>
      </c>
      <c r="E94" s="98"/>
      <c r="F94" s="99"/>
      <c r="G94" s="5"/>
      <c r="H94" s="5"/>
      <c r="I94" s="5"/>
      <c r="J94" s="5"/>
      <c r="K94" s="5"/>
      <c r="L94" s="5"/>
      <c r="M94" s="2"/>
      <c r="N94" s="5"/>
      <c r="O94" s="255"/>
      <c r="AC94" s="69"/>
      <c r="AD94" s="70"/>
      <c r="AE94" s="70"/>
      <c r="AF94" s="70"/>
      <c r="AG94" s="69"/>
      <c r="AZ94" s="11"/>
      <c r="BA94" s="85"/>
      <c r="BB94" s="692"/>
      <c r="BC94" s="693"/>
      <c r="BD94" s="693"/>
      <c r="BE94" s="693"/>
      <c r="BF94" s="693"/>
      <c r="BG94" s="694"/>
      <c r="BH94" s="694"/>
      <c r="BI94" s="695"/>
      <c r="BJ94" s="696"/>
      <c r="BK94" s="697"/>
      <c r="BL94" s="698"/>
    </row>
    <row r="95" spans="1:64" ht="15.95" hidden="1" customHeight="1" thickBot="1" x14ac:dyDescent="0.2">
      <c r="B95" s="91" t="s">
        <v>450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55"/>
      <c r="AC95" s="69"/>
      <c r="AD95" s="21"/>
      <c r="AE95" s="21"/>
      <c r="AF95" s="21"/>
      <c r="AZ95" s="11"/>
      <c r="BA95" s="85"/>
      <c r="BB95" s="699"/>
      <c r="BC95" s="700">
        <f>(BC91+F45+F59)/365</f>
        <v>0</v>
      </c>
      <c r="BD95" s="701"/>
      <c r="BE95" s="701"/>
      <c r="BF95" s="701"/>
      <c r="BG95" s="701"/>
      <c r="BH95" s="701"/>
      <c r="BI95" s="702">
        <v>0.45</v>
      </c>
      <c r="BJ95" s="703"/>
      <c r="BK95" s="704"/>
      <c r="BL95" s="705" t="s">
        <v>368</v>
      </c>
    </row>
    <row r="96" spans="1:64" ht="15.95" hidden="1" customHeight="1" x14ac:dyDescent="0.15">
      <c r="B96" s="91" t="s">
        <v>455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06" t="s">
        <v>369</v>
      </c>
      <c r="BC96" s="707" t="s">
        <v>370</v>
      </c>
      <c r="BD96" s="708" t="s">
        <v>371</v>
      </c>
      <c r="BE96" s="708" t="s">
        <v>372</v>
      </c>
      <c r="BF96" s="708" t="s">
        <v>373</v>
      </c>
      <c r="BG96" s="708" t="s">
        <v>374</v>
      </c>
      <c r="BH96" s="709" t="s">
        <v>375</v>
      </c>
      <c r="BI96" s="710" t="e">
        <f>#REF!*1.45</f>
        <v>#REF!</v>
      </c>
      <c r="BJ96" s="711">
        <v>80.64</v>
      </c>
      <c r="BK96" s="712">
        <v>100</v>
      </c>
      <c r="BL96" s="713">
        <v>112</v>
      </c>
    </row>
    <row r="97" spans="2:64" ht="15.95" hidden="1" customHeight="1" x14ac:dyDescent="0.15">
      <c r="B97" s="91" t="s">
        <v>467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376</v>
      </c>
      <c r="BC97" s="715" t="s">
        <v>370</v>
      </c>
      <c r="BD97" s="716" t="s">
        <v>371</v>
      </c>
      <c r="BE97" s="716" t="s">
        <v>372</v>
      </c>
      <c r="BF97" s="716" t="s">
        <v>373</v>
      </c>
      <c r="BG97" s="716" t="s">
        <v>374</v>
      </c>
      <c r="BH97" s="717" t="s">
        <v>375</v>
      </c>
      <c r="BI97" s="718" t="e">
        <f>#REF!*1.45</f>
        <v>#REF!</v>
      </c>
      <c r="BJ97" s="719">
        <v>90.32</v>
      </c>
      <c r="BK97" s="720">
        <v>100</v>
      </c>
      <c r="BL97" s="721">
        <v>125.44</v>
      </c>
    </row>
    <row r="98" spans="2:64" ht="15.95" hidden="1" customHeight="1" x14ac:dyDescent="0.15">
      <c r="B98" s="91" t="s">
        <v>468</v>
      </c>
      <c r="C98" s="90"/>
      <c r="D98" s="90"/>
      <c r="E98" s="90"/>
      <c r="F98" s="92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377</v>
      </c>
      <c r="BC98" s="715" t="s">
        <v>371</v>
      </c>
      <c r="BD98" s="716" t="s">
        <v>372</v>
      </c>
      <c r="BE98" s="716" t="s">
        <v>373</v>
      </c>
      <c r="BF98" s="716" t="s">
        <v>374</v>
      </c>
      <c r="BG98" s="716" t="s">
        <v>375</v>
      </c>
      <c r="BH98" s="717" t="s">
        <v>378</v>
      </c>
      <c r="BI98" s="718" t="e">
        <f>#REF!*1.45</f>
        <v>#REF!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91" t="s">
        <v>470</v>
      </c>
      <c r="C99" s="90"/>
      <c r="D99" s="90"/>
      <c r="E99" s="90"/>
      <c r="F99" s="92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379</v>
      </c>
      <c r="BC99" s="715" t="s">
        <v>371</v>
      </c>
      <c r="BD99" s="716" t="s">
        <v>372</v>
      </c>
      <c r="BE99" s="716" t="s">
        <v>373</v>
      </c>
      <c r="BF99" s="716" t="s">
        <v>374</v>
      </c>
      <c r="BG99" s="716" t="s">
        <v>375</v>
      </c>
      <c r="BH99" s="717" t="s">
        <v>378</v>
      </c>
      <c r="BI99" s="718" t="e">
        <f>#REF!*1.45</f>
        <v>#REF!</v>
      </c>
      <c r="BJ99" s="719">
        <v>113.29</v>
      </c>
      <c r="BK99" s="720">
        <v>113.29</v>
      </c>
      <c r="BL99" s="721">
        <v>157.35</v>
      </c>
    </row>
    <row r="100" spans="2:64" ht="15.95" hidden="1" customHeight="1" x14ac:dyDescent="0.15">
      <c r="B100" s="91" t="s">
        <v>471</v>
      </c>
      <c r="C100" s="90"/>
      <c r="D100" s="90"/>
      <c r="E100" s="90"/>
      <c r="F100" s="92"/>
      <c r="G100" s="5"/>
      <c r="H100" s="5"/>
      <c r="I100" s="5"/>
      <c r="J100" s="5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380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 t="e">
        <f>#REF!*1.45</f>
        <v>#REF!</v>
      </c>
      <c r="BJ100" s="719">
        <v>126.89</v>
      </c>
      <c r="BK100" s="720">
        <v>129.88999999999999</v>
      </c>
      <c r="BL100" s="721">
        <v>176.23</v>
      </c>
    </row>
    <row r="101" spans="2:64" ht="15.95" hidden="1" customHeight="1" x14ac:dyDescent="0.15">
      <c r="B101" s="93" t="s">
        <v>472</v>
      </c>
      <c r="C101" s="90"/>
      <c r="D101" s="90"/>
      <c r="E101" s="90"/>
      <c r="F101" s="92"/>
      <c r="G101" s="5"/>
      <c r="H101" s="5"/>
      <c r="I101" s="5"/>
      <c r="J101" s="5"/>
      <c r="K101" s="5"/>
      <c r="L101" s="5"/>
      <c r="M101" s="2"/>
      <c r="N101" s="5"/>
      <c r="O101" s="255"/>
      <c r="AD101" s="70"/>
      <c r="AE101" s="70"/>
      <c r="AF101" s="70"/>
      <c r="AG101" s="69"/>
      <c r="AZ101" s="11"/>
      <c r="BA101" s="85"/>
      <c r="BB101" s="714" t="s">
        <v>328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A134*1.45</f>
        <v>0</v>
      </c>
      <c r="BJ101" s="719">
        <v>80.64</v>
      </c>
      <c r="BK101" s="720">
        <v>100</v>
      </c>
      <c r="BL101" s="721">
        <v>112</v>
      </c>
    </row>
    <row r="102" spans="2:64" ht="15.95" hidden="1" customHeight="1" x14ac:dyDescent="0.15">
      <c r="B102" s="93" t="s">
        <v>487</v>
      </c>
      <c r="C102" s="90"/>
      <c r="D102" s="90"/>
      <c r="E102" s="90"/>
      <c r="F102" s="92"/>
      <c r="G102" s="5"/>
      <c r="H102" s="5"/>
      <c r="I102" s="5"/>
      <c r="J102" s="5"/>
      <c r="K102" s="5"/>
      <c r="L102" s="5"/>
      <c r="M102" s="2"/>
      <c r="N102" s="5"/>
      <c r="O102" s="255"/>
      <c r="AD102" s="70"/>
      <c r="AE102" s="70"/>
      <c r="AF102" s="70"/>
      <c r="AG102" s="69"/>
      <c r="AZ102" s="11"/>
      <c r="BA102" s="85"/>
      <c r="BB102" s="714" t="s">
        <v>382</v>
      </c>
      <c r="BC102" s="715" t="s">
        <v>372</v>
      </c>
      <c r="BD102" s="716" t="s">
        <v>373</v>
      </c>
      <c r="BE102" s="716" t="s">
        <v>374</v>
      </c>
      <c r="BF102" s="716" t="s">
        <v>375</v>
      </c>
      <c r="BG102" s="716" t="s">
        <v>378</v>
      </c>
      <c r="BH102" s="717" t="s">
        <v>381</v>
      </c>
      <c r="BI102" s="718">
        <f>A135*1.45</f>
        <v>0</v>
      </c>
      <c r="BJ102" s="719">
        <v>90.32</v>
      </c>
      <c r="BK102" s="720">
        <v>100</v>
      </c>
      <c r="BL102" s="721">
        <v>125.44</v>
      </c>
    </row>
    <row r="103" spans="2:64" ht="15.95" hidden="1" customHeight="1" thickBot="1" x14ac:dyDescent="0.2">
      <c r="B103" s="94" t="s">
        <v>484</v>
      </c>
      <c r="C103" s="95"/>
      <c r="D103" s="95"/>
      <c r="E103" s="95"/>
      <c r="F103" s="96"/>
      <c r="G103" s="5"/>
      <c r="H103" s="5"/>
      <c r="I103" s="5"/>
      <c r="J103" s="5"/>
      <c r="K103" s="5"/>
      <c r="L103" s="5"/>
      <c r="M103" s="2"/>
      <c r="N103" s="5"/>
      <c r="O103" s="255"/>
      <c r="AD103" s="70"/>
      <c r="AE103" s="70"/>
      <c r="AF103" s="70"/>
      <c r="AG103" s="69"/>
      <c r="AZ103" s="11"/>
      <c r="BA103" s="85"/>
      <c r="BB103" s="714" t="s">
        <v>383</v>
      </c>
      <c r="BC103" s="715" t="s">
        <v>372</v>
      </c>
      <c r="BD103" s="716" t="s">
        <v>373</v>
      </c>
      <c r="BE103" s="716" t="s">
        <v>374</v>
      </c>
      <c r="BF103" s="716" t="s">
        <v>375</v>
      </c>
      <c r="BG103" s="716" t="s">
        <v>378</v>
      </c>
      <c r="BH103" s="717" t="s">
        <v>381</v>
      </c>
      <c r="BI103" s="718">
        <f>A136*1.45</f>
        <v>0</v>
      </c>
      <c r="BJ103" s="719">
        <v>101.15</v>
      </c>
      <c r="BK103" s="720">
        <v>101.15</v>
      </c>
      <c r="BL103" s="721">
        <v>140.4</v>
      </c>
    </row>
    <row r="104" spans="2:64" ht="15.95" hidden="1" customHeight="1" x14ac:dyDescent="0.15">
      <c r="B104" s="3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2"/>
      <c r="N104" s="5"/>
      <c r="O104" s="255"/>
      <c r="AD104" s="70"/>
      <c r="AE104" s="70"/>
      <c r="AF104" s="70"/>
      <c r="AG104" s="69"/>
      <c r="AZ104" s="11"/>
      <c r="BA104" s="85"/>
      <c r="BB104" s="714" t="s">
        <v>384</v>
      </c>
      <c r="BC104" s="715" t="s">
        <v>372</v>
      </c>
      <c r="BD104" s="716" t="s">
        <v>373</v>
      </c>
      <c r="BE104" s="716" t="s">
        <v>374</v>
      </c>
      <c r="BF104" s="716" t="s">
        <v>375</v>
      </c>
      <c r="BG104" s="716" t="s">
        <v>378</v>
      </c>
      <c r="BH104" s="717" t="s">
        <v>381</v>
      </c>
      <c r="BI104" s="718">
        <f>A137*1.45</f>
        <v>1.45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30"/>
      <c r="C105" s="5"/>
      <c r="D105" s="5"/>
      <c r="E105" s="5"/>
      <c r="F105" s="5"/>
      <c r="G105" s="5"/>
      <c r="H105" s="5"/>
      <c r="I105" s="5"/>
      <c r="J105" s="74"/>
      <c r="K105" s="5"/>
      <c r="L105" s="5"/>
      <c r="M105" s="2"/>
      <c r="N105" s="5"/>
      <c r="O105" s="255"/>
      <c r="AD105" s="70"/>
      <c r="AE105" s="70"/>
      <c r="AF105" s="70"/>
      <c r="AG105" s="69"/>
      <c r="AZ105" s="11"/>
      <c r="BA105" s="85"/>
      <c r="BB105" s="714" t="s">
        <v>385</v>
      </c>
      <c r="BC105" s="715" t="s">
        <v>372</v>
      </c>
      <c r="BD105" s="716" t="s">
        <v>373</v>
      </c>
      <c r="BE105" s="716" t="s">
        <v>374</v>
      </c>
      <c r="BF105" s="716" t="s">
        <v>375</v>
      </c>
      <c r="BG105" s="716" t="s">
        <v>378</v>
      </c>
      <c r="BH105" s="717" t="s">
        <v>381</v>
      </c>
      <c r="BI105" s="718">
        <f>A137*1.45</f>
        <v>1.45</v>
      </c>
      <c r="BJ105" s="719">
        <v>126.89</v>
      </c>
      <c r="BK105" s="720">
        <v>126.89</v>
      </c>
      <c r="BL105" s="721">
        <v>176.23</v>
      </c>
    </row>
    <row r="106" spans="2:64" ht="13.5" hidden="1" x14ac:dyDescent="0.15">
      <c r="B106" s="1849" t="s">
        <v>508</v>
      </c>
      <c r="C106" s="1849"/>
      <c r="D106" s="1849"/>
      <c r="E106" s="1849"/>
      <c r="H106" s="5"/>
      <c r="I106" s="37"/>
      <c r="J106" s="5"/>
      <c r="K106" s="27"/>
      <c r="L106" s="6"/>
      <c r="M106" s="27"/>
      <c r="N106" s="60"/>
      <c r="O106" s="255"/>
      <c r="AD106" s="70"/>
      <c r="AE106" s="70"/>
      <c r="AF106" s="70"/>
      <c r="AG106" s="69"/>
      <c r="AZ106" s="11"/>
      <c r="BA106" s="85"/>
      <c r="BB106" s="714" t="s">
        <v>386</v>
      </c>
      <c r="BC106" s="715" t="s">
        <v>372</v>
      </c>
      <c r="BD106" s="716" t="s">
        <v>373</v>
      </c>
      <c r="BE106" s="716" t="s">
        <v>374</v>
      </c>
      <c r="BF106" s="716" t="s">
        <v>375</v>
      </c>
      <c r="BG106" s="716" t="s">
        <v>378</v>
      </c>
      <c r="BH106" s="717" t="s">
        <v>381</v>
      </c>
      <c r="BI106" s="718">
        <f>A138*1.45</f>
        <v>2.9</v>
      </c>
      <c r="BJ106" s="719">
        <v>126.89</v>
      </c>
      <c r="BK106" s="720">
        <v>126.89</v>
      </c>
      <c r="BL106" s="721">
        <v>176.23</v>
      </c>
    </row>
    <row r="107" spans="2:64" hidden="1" thickBot="1" x14ac:dyDescent="0.2">
      <c r="B107" s="34" t="s">
        <v>463</v>
      </c>
      <c r="C107" s="17"/>
      <c r="D107" s="21"/>
      <c r="E107" s="36"/>
      <c r="F107" s="5"/>
      <c r="G107" s="28"/>
      <c r="H107" s="5"/>
      <c r="I107" s="17" t="s">
        <v>463</v>
      </c>
      <c r="J107" s="5" t="str">
        <f>IF(E2=B97,H108,IF(E2=B99,H108,IF(E2=B101,H108,IF(E2=B102,H108,"NÃO CABE"))))</f>
        <v>NÃO CABE</v>
      </c>
      <c r="K107" s="27"/>
      <c r="L107" s="6" t="s">
        <v>510</v>
      </c>
      <c r="M107" s="27"/>
      <c r="N107" s="60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Z107" s="11"/>
      <c r="BA107" s="85"/>
      <c r="BB107" s="714" t="s">
        <v>387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 t="e">
        <f>A139*1.45</f>
        <v>#VALUE!</v>
      </c>
      <c r="BJ107" s="719">
        <v>142.12</v>
      </c>
      <c r="BK107" s="720">
        <v>142.12</v>
      </c>
      <c r="BL107" s="721">
        <v>197.38</v>
      </c>
    </row>
    <row r="108" spans="2:64" hidden="1" thickBot="1" x14ac:dyDescent="0.2">
      <c r="B108" s="34" t="s">
        <v>485</v>
      </c>
      <c r="C108" s="17"/>
      <c r="D108" s="16"/>
      <c r="E108" s="57" t="str">
        <f>IF($F$108="NÃO CABE","NÃO CABE",IF($G$10="X",$F$108/30,$F$108/35))</f>
        <v>NÃO CABE</v>
      </c>
      <c r="F108" s="10" t="str">
        <f>IF(E2="VOLUNTÁRIA ESPECIAL","NÃO CABE",IF(E2="VOLUNTÁRIA INTEGRAL","NÃO CABE",IF(E2="COMPULSÓRIA INTEGRAL","NÃO CABE",IF(E2="INVALIDEZ INTEGRAL","NÃO CABE",ROUNDDOWN(F61/365,0)))))</f>
        <v>NÃO CABE</v>
      </c>
      <c r="G108" s="28"/>
      <c r="H108" s="14">
        <f>IF(E108&gt;1,1,E108)</f>
        <v>1</v>
      </c>
      <c r="I108" s="17" t="s">
        <v>485</v>
      </c>
      <c r="J108" s="5" t="str">
        <f>IF($E$2=$B$97,H108,IF($E$2=$B$99,H108,IF($E$2=$B$101,H108,"NÃO CABE")))</f>
        <v>NÃO CABE</v>
      </c>
      <c r="K108" s="27"/>
      <c r="L108" s="57" t="str">
        <f>IF($F$108="NÃO CABE","NÃO CABE",IF($G$10="X",$F$61/10950,$F$61/12775))</f>
        <v>NÃO CABE</v>
      </c>
      <c r="M108" s="14">
        <f>IF(L108&gt;1,1,L108)</f>
        <v>1</v>
      </c>
      <c r="N108" s="5" t="str">
        <f>IF($E$2=$B$97,M108,IF($E$2=$B$99,M108,IF($E$2=$B$101,M108,"NÃO CABE")))</f>
        <v>NÃO CABE</v>
      </c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Z108" s="11"/>
      <c r="BA108" s="85"/>
      <c r="BB108" s="714" t="s">
        <v>389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A141*1.45</f>
        <v>5.8</v>
      </c>
      <c r="BJ108" s="719">
        <v>90.32</v>
      </c>
      <c r="BK108" s="720">
        <v>100</v>
      </c>
      <c r="BL108" s="721">
        <v>125.44</v>
      </c>
    </row>
    <row r="109" spans="2:64" hidden="1" thickBot="1" x14ac:dyDescent="0.2">
      <c r="B109" s="34" t="s">
        <v>476</v>
      </c>
      <c r="C109" s="17"/>
      <c r="D109" s="16"/>
      <c r="E109" s="58" t="str">
        <f>IF(E2=B102,IF(C65&gt;0,"TEMPO A CUMPRIR",IF(F109=1,75%,IF(F109=2,80%,IF(F109=3,85%,IF(F109=4,90%,IF(F109=5,95%,IF(F109&gt;=6,100%,70%))))))),"NÃO CABE")</f>
        <v>NÃO CABE</v>
      </c>
      <c r="F109" s="10">
        <f>IF(G10="X",ROUNDDOWN((F61-(25*365+E43))/365,0),ROUNDDOWN((F61-(30*365+E43))/365,0))</f>
        <v>-30</v>
      </c>
      <c r="G109" s="28"/>
      <c r="I109" s="17" t="s">
        <v>476</v>
      </c>
      <c r="J109" s="5" t="str">
        <f>IF(E2=B102,E109,"NÃO CABE")</f>
        <v>NÃO CABE</v>
      </c>
      <c r="K109" s="27"/>
      <c r="L109" s="65"/>
      <c r="M109" s="66">
        <f>O10</f>
        <v>0</v>
      </c>
      <c r="N109" s="60">
        <v>38037</v>
      </c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Z109" s="11"/>
      <c r="BA109" s="85"/>
      <c r="BB109" s="714" t="s">
        <v>390</v>
      </c>
      <c r="BC109" s="715" t="s">
        <v>373</v>
      </c>
      <c r="BD109" s="716" t="s">
        <v>374</v>
      </c>
      <c r="BE109" s="716" t="s">
        <v>375</v>
      </c>
      <c r="BF109" s="716" t="s">
        <v>378</v>
      </c>
      <c r="BG109" s="716" t="s">
        <v>381</v>
      </c>
      <c r="BH109" s="717" t="s">
        <v>388</v>
      </c>
      <c r="BI109" s="718"/>
      <c r="BJ109" s="719"/>
      <c r="BK109" s="720"/>
      <c r="BL109" s="721"/>
    </row>
    <row r="110" spans="2:64" hidden="1" thickBot="1" x14ac:dyDescent="0.2">
      <c r="B110" s="35" t="s">
        <v>464</v>
      </c>
      <c r="C110" s="33"/>
      <c r="D110" s="16"/>
      <c r="E110" s="36" t="s">
        <v>457</v>
      </c>
      <c r="F110" s="5">
        <f>IF($D$12="X",50-$N$11,55-$N$11)</f>
        <v>55</v>
      </c>
      <c r="G110" s="28"/>
      <c r="H110" s="59" t="str">
        <f>IF($G$10="X",IF($O$9&gt;=17532,IF($O$10&gt;=38718,1-($F$110*0.05),1-($F$110*0.035)),"NÃO CABE"),IF($O$9&gt;=19359,IF($O$10&gt;=38718,1-($F$111*0.05),1-($F$111*0.035)),"NÃO CABE"))</f>
        <v>NÃO CABE</v>
      </c>
      <c r="I110" s="33" t="s">
        <v>464</v>
      </c>
      <c r="J110" s="61" t="str">
        <f>IF(E2=B103,H111,"NÃO CABE")</f>
        <v>NÃO CABE</v>
      </c>
      <c r="K110" s="27"/>
      <c r="L110" s="6"/>
      <c r="M110" s="27"/>
      <c r="N110" s="60"/>
      <c r="O110" s="255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391</v>
      </c>
      <c r="BC110" s="715" t="s">
        <v>373</v>
      </c>
      <c r="BD110" s="716" t="s">
        <v>374</v>
      </c>
      <c r="BE110" s="716" t="s">
        <v>375</v>
      </c>
      <c r="BF110" s="716" t="s">
        <v>378</v>
      </c>
      <c r="BG110" s="716" t="s">
        <v>381</v>
      </c>
      <c r="BH110" s="717" t="s">
        <v>388</v>
      </c>
      <c r="BI110" s="718" t="e">
        <f>A143*1.45</f>
        <v>#VALUE!</v>
      </c>
      <c r="BJ110" s="719">
        <v>101.15</v>
      </c>
      <c r="BK110" s="720">
        <v>101.15</v>
      </c>
      <c r="BL110" s="721">
        <v>140.4</v>
      </c>
    </row>
    <row r="111" spans="2:64" ht="13.5" hidden="1" x14ac:dyDescent="0.15">
      <c r="B111" s="39">
        <v>38717</v>
      </c>
      <c r="C111" s="11">
        <v>38717</v>
      </c>
      <c r="D111" s="16"/>
      <c r="E111" s="36" t="s">
        <v>456</v>
      </c>
      <c r="F111" s="5">
        <f>IF($D$12="X",55-$N$11,60-$N$11)</f>
        <v>60</v>
      </c>
      <c r="G111" s="28"/>
      <c r="H111" s="14">
        <f>IF(H110="NÃO CABE",0,IF(H110&gt;1,1,H110))</f>
        <v>0</v>
      </c>
      <c r="I111" s="18"/>
      <c r="J111" s="5"/>
      <c r="K111" s="27"/>
      <c r="L111" s="6"/>
      <c r="M111" s="27"/>
      <c r="N111" s="60"/>
      <c r="O111" s="255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S111" s="69"/>
      <c r="AX111" s="11"/>
      <c r="AY111" s="11"/>
      <c r="AZ111" s="11"/>
      <c r="BA111" s="85"/>
      <c r="BB111" s="714" t="s">
        <v>392</v>
      </c>
      <c r="BC111" s="715" t="s">
        <v>373</v>
      </c>
      <c r="BD111" s="716" t="s">
        <v>374</v>
      </c>
      <c r="BE111" s="716" t="s">
        <v>375</v>
      </c>
      <c r="BF111" s="716" t="s">
        <v>378</v>
      </c>
      <c r="BG111" s="716" t="s">
        <v>381</v>
      </c>
      <c r="BH111" s="717" t="s">
        <v>388</v>
      </c>
      <c r="BI111" s="718"/>
      <c r="BJ111" s="719"/>
      <c r="BK111" s="720"/>
      <c r="BL111" s="721"/>
    </row>
    <row r="112" spans="2:64" ht="13.5" hidden="1" x14ac:dyDescent="0.15">
      <c r="B112" s="39">
        <v>38718</v>
      </c>
      <c r="C112" s="11">
        <v>38718</v>
      </c>
      <c r="D112" s="8"/>
      <c r="E112" s="63"/>
      <c r="F112" s="6"/>
      <c r="G112" s="6"/>
      <c r="H112" s="6"/>
      <c r="I112" s="18"/>
      <c r="J112" s="9"/>
      <c r="K112" s="5"/>
      <c r="L112" s="6"/>
      <c r="M112" s="10"/>
      <c r="N112" s="11"/>
      <c r="O112" s="255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393</v>
      </c>
      <c r="BC112" s="715" t="s">
        <v>373</v>
      </c>
      <c r="BD112" s="716" t="s">
        <v>374</v>
      </c>
      <c r="BE112" s="716" t="s">
        <v>375</v>
      </c>
      <c r="BF112" s="716" t="s">
        <v>378</v>
      </c>
      <c r="BG112" s="716" t="s">
        <v>381</v>
      </c>
      <c r="BH112" s="717" t="s">
        <v>388</v>
      </c>
      <c r="BI112" s="718">
        <f>A144*1.45</f>
        <v>8.6999999999999993</v>
      </c>
      <c r="BJ112" s="719">
        <v>113.29</v>
      </c>
      <c r="BK112" s="720">
        <v>113.29</v>
      </c>
      <c r="BL112" s="721">
        <v>157.35</v>
      </c>
    </row>
    <row r="113" spans="2:64" ht="13.5" hidden="1" x14ac:dyDescent="0.15">
      <c r="B113" s="62"/>
      <c r="C113" s="38">
        <v>38097</v>
      </c>
      <c r="D113" s="8"/>
      <c r="E113" s="5"/>
      <c r="F113" s="6"/>
      <c r="G113" s="6"/>
      <c r="H113" s="6"/>
      <c r="I113" s="6"/>
      <c r="J113" s="9"/>
      <c r="K113" s="5"/>
      <c r="L113" s="6"/>
      <c r="M113" s="10"/>
      <c r="N113" s="11"/>
      <c r="O113" s="255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394</v>
      </c>
      <c r="BC113" s="715" t="s">
        <v>373</v>
      </c>
      <c r="BD113" s="716" t="s">
        <v>374</v>
      </c>
      <c r="BE113" s="716" t="s">
        <v>375</v>
      </c>
      <c r="BF113" s="716" t="s">
        <v>378</v>
      </c>
      <c r="BG113" s="716" t="s">
        <v>381</v>
      </c>
      <c r="BH113" s="717" t="s">
        <v>388</v>
      </c>
      <c r="BI113" s="718">
        <f>A145*1.45</f>
        <v>10.15</v>
      </c>
      <c r="BJ113" s="719">
        <v>113.29</v>
      </c>
      <c r="BK113" s="720">
        <v>113.29</v>
      </c>
      <c r="BL113" s="721">
        <v>157.35</v>
      </c>
    </row>
    <row r="114" spans="2:64" ht="13.5" hidden="1" x14ac:dyDescent="0.15">
      <c r="B114" s="6"/>
      <c r="C114" s="38"/>
      <c r="D114" s="8"/>
      <c r="E114" s="5"/>
      <c r="F114" s="6"/>
      <c r="G114" s="6"/>
      <c r="H114" s="6"/>
      <c r="I114" s="6"/>
      <c r="J114" s="9"/>
      <c r="K114" s="5"/>
      <c r="L114" s="6"/>
      <c r="M114" s="10"/>
      <c r="N114" s="11"/>
      <c r="O114" s="255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395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1849" t="s">
        <v>477</v>
      </c>
      <c r="C115" s="1849"/>
      <c r="D115" s="1849"/>
      <c r="E115" s="1849"/>
      <c r="F115" s="1849"/>
      <c r="G115" s="1849"/>
      <c r="H115" s="1849"/>
      <c r="I115" s="1849"/>
      <c r="J115" s="1849"/>
      <c r="K115" s="1849" t="s">
        <v>477</v>
      </c>
      <c r="L115" s="1849"/>
      <c r="M115" s="1849"/>
      <c r="N115" s="1849"/>
      <c r="O115" s="1849"/>
      <c r="P115" s="1849"/>
      <c r="Q115" s="1849"/>
      <c r="R115" s="1849"/>
      <c r="S115" s="1849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399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13.049999999999999</v>
      </c>
      <c r="BJ115" s="719">
        <v>126.89</v>
      </c>
      <c r="BK115" s="720">
        <v>126.89</v>
      </c>
      <c r="BL115" s="721">
        <v>176.23</v>
      </c>
    </row>
    <row r="116" spans="2:64" ht="13.5" hidden="1" x14ac:dyDescent="0.15">
      <c r="B116" s="19" t="s">
        <v>480</v>
      </c>
      <c r="C116" s="8"/>
      <c r="D116" s="8"/>
      <c r="E116" s="5"/>
      <c r="F116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6" s="6"/>
      <c r="H116" s="6"/>
      <c r="I116" s="6"/>
      <c r="J116" s="9"/>
      <c r="K116" s="5"/>
      <c r="L116" s="41" t="s">
        <v>450</v>
      </c>
      <c r="M116" s="10"/>
      <c r="N116" s="11"/>
      <c r="O116" s="255" t="b">
        <f>IF(E2=L116,IF(K2=O3,F116,IF(K2=O4,F118,IF(K2=O6,F116,IF(K2=O7,F117,IF(K2=O2,"NADA A CRITICAR","REANALISAR FUNDAMENTAÇÃO E/OU MODALIDADE"))))))</f>
        <v>0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400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6" t="s">
        <v>481</v>
      </c>
      <c r="D117" s="10"/>
      <c r="E117" s="11"/>
      <c r="F117" s="6" t="str">
        <f>IF(G10="X",IF(O9&gt;=I130,"ATENDE LIMITE MÍNIMO DE IDADE","NÃO ATENDE LIMITE MÍNIMO DE IDADE"),IF(O9&gt;=J130,"ATENDE LIMITE MÍNIMO DE IDADE","NÃO ATENDE LIMITE MÍNIMO DE IDADE"))</f>
        <v>NÃO ATENDE LIMITE MÍNIMO DE IDADE</v>
      </c>
      <c r="G117" s="6"/>
      <c r="H117" s="6"/>
      <c r="I117" s="6"/>
      <c r="J117" s="9"/>
      <c r="L117" s="41" t="s">
        <v>455</v>
      </c>
      <c r="O117" s="255" t="str">
        <f>IF(E2=L117,IF(K2=O3,F119,IF(K2=O4,F122,IF(K2=O6,F119,IF(K2=O2,"NADA A CRITICAR","REANALISAR FUNDAMENTAÇÃO E/OU MODALIDADE")))),"REANALISAR FUNDAMENTAÇÃO E/OU MODALIDADE")</f>
        <v>NADA A CRITICAR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14" t="s">
        <v>401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>
        <f>A150*1.45</f>
        <v>15.95</v>
      </c>
      <c r="BJ117" s="719">
        <v>142.12</v>
      </c>
      <c r="BK117" s="720">
        <v>142.12</v>
      </c>
      <c r="BL117" s="721">
        <v>197.38</v>
      </c>
    </row>
    <row r="118" spans="2:64" ht="13.5" hidden="1" x14ac:dyDescent="0.15">
      <c r="B118" s="20" t="s">
        <v>482</v>
      </c>
      <c r="F118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8" s="5"/>
      <c r="L118" s="41" t="s">
        <v>467</v>
      </c>
      <c r="O118" s="254" t="str">
        <f>IF(E2=L118,IF(K2=O3,F120,IF(K2=O2,F120,"REANALISAR FUNDAMENTAÇÃO E/OU MODALIDADE")),"REANALISAR FUNDAMENTAÇÃO E/OU MODALIDADE")</f>
        <v>REANALISAR FUNDAMENTAÇÃO E/OU MODALIDADE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2" t="s">
        <v>402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6" t="s">
        <v>478</v>
      </c>
      <c r="C119" s="8"/>
      <c r="D119" s="8"/>
      <c r="E119" s="5"/>
      <c r="F119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9" s="6"/>
      <c r="H119" s="6"/>
      <c r="I119" s="6"/>
      <c r="J119" s="9"/>
      <c r="K119" s="5"/>
      <c r="L119" s="11" t="s">
        <v>487</v>
      </c>
      <c r="M119" s="10"/>
      <c r="N119" s="11"/>
      <c r="O119" s="255" t="str">
        <f>IF(E2=L119,IF(K2=O4,F121,IF(K2=O2,"NADA A CRITICAR","REANALISAR FUNDAMENTAÇÃO E/OU MODALIDADE")),"REANALISAR FUNDAMENTAÇÃO E/OU MODALIDADE")</f>
        <v>REANALISAR FUNDAMENTAÇÃO E/OU MODALIDADE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14" t="s">
        <v>403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>
        <f>A152*1.45</f>
        <v>18.849999999999998</v>
      </c>
      <c r="BJ119" s="719">
        <v>159.16999999999999</v>
      </c>
      <c r="BK119" s="720">
        <v>159.16999999999999</v>
      </c>
      <c r="BL119" s="721">
        <v>221.06</v>
      </c>
    </row>
    <row r="120" spans="2:64" ht="13.5" hidden="1" x14ac:dyDescent="0.15">
      <c r="B120" s="6" t="s">
        <v>479</v>
      </c>
      <c r="C120" s="8"/>
      <c r="D120" s="8"/>
      <c r="E120" s="5"/>
      <c r="F120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20" s="6"/>
      <c r="H120" s="6"/>
      <c r="I120" s="6"/>
      <c r="J120" s="9"/>
      <c r="K120" s="5"/>
      <c r="L120" s="42" t="s">
        <v>484</v>
      </c>
      <c r="M120" s="10"/>
      <c r="N120" s="11"/>
      <c r="O120" s="255" t="str">
        <f>IF(E2=L120,IF(K2=O5,F118,"REANALISAR FUNDAMENTAÇÃO E/OU MODALIDADE"),"REANALISAR FUNDAMENTAÇÃO E/OU MODALIDADE")</f>
        <v>REANALISAR FUNDAMENTAÇÃO E/OU MODALIDADE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14" t="s">
        <v>404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>
        <f>A153*1.45</f>
        <v>20.3</v>
      </c>
      <c r="BJ120" s="719">
        <v>101.15</v>
      </c>
      <c r="BK120" s="720">
        <v>101.15</v>
      </c>
      <c r="BL120" s="721">
        <v>140.4</v>
      </c>
    </row>
    <row r="121" spans="2:64" hidden="1" x14ac:dyDescent="0.15">
      <c r="B121" s="20" t="s">
        <v>483</v>
      </c>
      <c r="C121" s="43"/>
      <c r="D121" s="43"/>
      <c r="E121" s="44"/>
      <c r="F121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21" s="44"/>
      <c r="H121" s="44"/>
      <c r="I121" s="44"/>
      <c r="J121" s="44"/>
      <c r="K121" s="45"/>
      <c r="L121" s="46" t="s">
        <v>488</v>
      </c>
      <c r="M121" s="46"/>
      <c r="N121" s="47"/>
      <c r="O121" s="255" t="str">
        <f>IF($K$2=$O$2,IF($E$2=$B$98,$F$123,IF(E2=$B$99,$F$123,IF($E$2=$B$100,"EX OFFICIO",IF($E$2=$B$101,"EX OFFICIO","REANALISAR FUNDAMENTAÇÃO E/OU MODALIDADE")))),IF($K$2=$O$3,IF($E$2=$B$98,$F$123,IF($E$2=$B$99,$F$123,IF($E$2=$B$100,"EX OFFICIO",IF($E$2=$B$101,"EX OFFICIO","REANALISAR FUNDAMENTAÇÃO E/OU MODADALIDADE"))))))</f>
        <v>REANALISAR FUNDAMENTAÇÃO E/OU MODALIDADE</v>
      </c>
      <c r="P121" s="3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14" t="s">
        <v>405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20" t="s">
        <v>486</v>
      </c>
      <c r="C122" s="43"/>
      <c r="D122" s="43"/>
      <c r="E122" s="44"/>
      <c r="F122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22" s="44"/>
      <c r="H122" s="44"/>
      <c r="I122" s="44"/>
      <c r="J122" s="44"/>
      <c r="K122" s="46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69"/>
      <c r="AD122" s="70"/>
      <c r="AE122" s="70"/>
      <c r="AF122" s="70"/>
      <c r="AG122" s="69"/>
      <c r="AX122" s="11"/>
      <c r="AY122" s="11"/>
      <c r="AZ122" s="11"/>
      <c r="BA122" s="85"/>
      <c r="BB122" s="723" t="s">
        <v>406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x14ac:dyDescent="0.15">
      <c r="B123" s="44" t="s">
        <v>503</v>
      </c>
      <c r="C123" s="43"/>
      <c r="D123" s="43"/>
      <c r="E123" s="44"/>
      <c r="F123" s="44" t="str">
        <f>IF($N$11&gt;=70,"ATENDE LIMITE MÍNIMO DE IDADE","NÃO ATENDE LIMITE MÍNIMO DE IDADE")</f>
        <v>NÃO ATENDE LIMITE MÍNIMO DE IDADE</v>
      </c>
      <c r="G123" s="44"/>
      <c r="H123" s="44"/>
      <c r="I123" s="44"/>
      <c r="J123" s="44"/>
      <c r="K123" s="46"/>
      <c r="L123" s="48"/>
      <c r="M123" s="48"/>
      <c r="N123" s="47"/>
      <c r="O123" s="255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69"/>
      <c r="AD123" s="70"/>
      <c r="AE123" s="70"/>
      <c r="AF123" s="70"/>
      <c r="AG123" s="69"/>
      <c r="AX123" s="11"/>
      <c r="AY123" s="11"/>
      <c r="AZ123" s="11"/>
      <c r="BA123" s="85"/>
      <c r="BB123" s="723" t="s">
        <v>407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3.5" hidden="1" x14ac:dyDescent="0.15">
      <c r="B124" s="44"/>
      <c r="C124" s="43"/>
      <c r="D124" s="43"/>
      <c r="E124" s="44"/>
      <c r="F124" s="44"/>
      <c r="G124" s="44"/>
      <c r="H124" s="44"/>
      <c r="I124" s="44"/>
      <c r="J124" s="44"/>
      <c r="K124" s="46"/>
      <c r="L124" s="49" t="s">
        <v>498</v>
      </c>
      <c r="M124" s="11"/>
      <c r="N124" s="11"/>
      <c r="O124" s="255"/>
      <c r="P124" s="79"/>
      <c r="Q124" s="79"/>
      <c r="R124" s="79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69"/>
      <c r="AD124" s="70"/>
      <c r="AE124" s="70"/>
      <c r="AF124" s="70"/>
      <c r="AG124" s="69"/>
      <c r="AX124" s="11"/>
      <c r="AY124" s="11"/>
      <c r="AZ124" s="11"/>
      <c r="BA124" s="85"/>
      <c r="BB124" s="723" t="s">
        <v>408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x14ac:dyDescent="0.15">
      <c r="B125" s="50"/>
      <c r="C125" s="50"/>
      <c r="D125" s="50"/>
      <c r="E125" s="50"/>
      <c r="F125" s="50"/>
      <c r="G125" s="50"/>
      <c r="H125" s="50"/>
      <c r="I125" s="50"/>
      <c r="J125" s="50"/>
      <c r="K125" s="51"/>
      <c r="L125" s="11" t="s">
        <v>499</v>
      </c>
      <c r="M125" s="11"/>
      <c r="N125" s="11"/>
      <c r="O125" s="255"/>
      <c r="P125" s="79"/>
      <c r="Q125" s="86" t="b">
        <f>IF(K2=O4,IF(E2=B95,R125,IF(E2=B96,R125,IF(E2=B102,R125,IF(G10="X",(30*365)-F61,(35*365)-F61)))),IF(K2=O5,IF(E2=B103,R125,IF(G10="X",(30*365)-F61,(35*365)-F61))))</f>
        <v>0</v>
      </c>
      <c r="R125" s="86" t="b">
        <f>IF($K$2=$O$4,IF($F$61&gt;=($F$37+$E$44),0,($F$37+$E$44)-$F$61),IF($K$2=$O$5,IF($F$61&gt;=($F$37+$E$44),0,($F$37+$E$44)-$F$61)))</f>
        <v>0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69"/>
      <c r="AD125" s="70"/>
      <c r="AE125" s="70"/>
      <c r="AF125" s="70"/>
      <c r="AG125" s="69"/>
      <c r="AX125" s="11"/>
      <c r="AY125" s="11"/>
      <c r="AZ125" s="11"/>
      <c r="BA125" s="85"/>
      <c r="BB125" s="723" t="s">
        <v>409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3.5" hidden="1" x14ac:dyDescent="0.15">
      <c r="B126" s="52"/>
      <c r="C126" s="52"/>
      <c r="D126" s="52"/>
      <c r="E126" s="52"/>
      <c r="F126" s="52"/>
      <c r="G126" s="52"/>
      <c r="H126" s="52"/>
      <c r="I126" s="52"/>
      <c r="J126" s="52"/>
      <c r="K126" s="53"/>
      <c r="L126" s="42" t="s">
        <v>500</v>
      </c>
      <c r="M126" s="11"/>
      <c r="N126" s="11"/>
      <c r="O126" s="255"/>
      <c r="P126" s="79"/>
      <c r="Q126" s="86" t="b">
        <f>IF(E2="VOLUNTÁRIA ESPECIAL",IF(D12="X",IF(G10="X",(25*365)-F61,(30*365)-F61)),IF(G10="X",(30*365)-F61,(35*365)-F61))</f>
        <v>0</v>
      </c>
      <c r="R126" s="79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69"/>
      <c r="AD126" s="70"/>
      <c r="AE126" s="70"/>
      <c r="AF126" s="70"/>
      <c r="AG126" s="69"/>
      <c r="AX126" s="11"/>
      <c r="AY126" s="11"/>
      <c r="AZ126" s="11"/>
      <c r="BA126" s="85"/>
      <c r="BB126" s="723" t="s">
        <v>410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3.5" hidden="1" x14ac:dyDescent="0.15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17" t="s">
        <v>463</v>
      </c>
      <c r="M127" s="11"/>
      <c r="N127" s="11"/>
      <c r="O127" s="255" t="s">
        <v>504</v>
      </c>
      <c r="P127" s="79"/>
      <c r="Q127" s="87"/>
      <c r="R127" s="86" t="b">
        <f>IF(E2="VOLUNTÁRIA ESPECIAL",IF(D12="X",IF(G10="X",(25*365)-$F$37,(30*365)-$F$37)),IF(G10="X",(30*365)-$F$37,(35*365)-$F$37))</f>
        <v>0</v>
      </c>
      <c r="S127" s="11"/>
      <c r="T127" s="5"/>
      <c r="U127" s="5"/>
      <c r="V127" s="5"/>
      <c r="W127" s="5"/>
      <c r="X127" s="5"/>
      <c r="Y127" s="5"/>
      <c r="Z127" s="5"/>
      <c r="AA127" s="5"/>
      <c r="AB127" s="5"/>
      <c r="AC127" s="69"/>
      <c r="AD127" s="70"/>
      <c r="AE127" s="70"/>
      <c r="AF127" s="70"/>
      <c r="AG127" s="69"/>
      <c r="AX127" s="11"/>
      <c r="AY127" s="11"/>
      <c r="AZ127" s="5"/>
      <c r="BA127" s="724"/>
      <c r="BB127" s="723" t="s">
        <v>411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3.5" hidden="1" customHeight="1" x14ac:dyDescent="0.15">
      <c r="B128" s="6"/>
      <c r="C128" s="1943" t="s">
        <v>459</v>
      </c>
      <c r="D128" s="1943"/>
      <c r="E128" s="1943"/>
      <c r="F128" s="1943" t="s">
        <v>460</v>
      </c>
      <c r="G128" s="1943"/>
      <c r="H128" s="1943"/>
      <c r="I128" s="1943" t="s">
        <v>461</v>
      </c>
      <c r="J128" s="1943"/>
      <c r="K128" s="51"/>
      <c r="L128" s="51"/>
      <c r="M128" s="54"/>
      <c r="N128" s="54"/>
      <c r="O128" s="255" t="s">
        <v>487</v>
      </c>
      <c r="P128" s="78"/>
      <c r="Q128" s="78"/>
      <c r="R128" s="86">
        <f>IF(E2=B102,IF(G10="X",(25*365)-$F$37,(30*365)-$F$37),IF(G10="X",(30*365)-$F$37,(35*365)-$F$37))</f>
        <v>12775</v>
      </c>
      <c r="AX128" s="11"/>
      <c r="AY128" s="11"/>
      <c r="BB128" s="723" t="s">
        <v>412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40" t="s">
        <v>454</v>
      </c>
      <c r="C129" s="40" t="s">
        <v>457</v>
      </c>
      <c r="D129" s="8"/>
      <c r="E129" s="5" t="s">
        <v>456</v>
      </c>
      <c r="F129" s="6" t="s">
        <v>457</v>
      </c>
      <c r="G129" s="6"/>
      <c r="H129" s="6" t="s">
        <v>456</v>
      </c>
      <c r="I129" s="8" t="s">
        <v>457</v>
      </c>
      <c r="J129" s="8" t="s">
        <v>456</v>
      </c>
      <c r="K129" s="51"/>
      <c r="L129" s="18" t="s">
        <v>466</v>
      </c>
      <c r="M129" s="54"/>
      <c r="N129" s="54"/>
      <c r="O129" s="255" t="s">
        <v>509</v>
      </c>
      <c r="P129" s="78"/>
      <c r="Q129" s="86">
        <f>IF(K2=O7,IF($E$2=B95,IF($G$10="X",(30*365)-$F$61,(35*365)-$F$61)),IF($G$10="X",(30*365)-$F$61,(35*365)-$F$61))</f>
        <v>12775</v>
      </c>
      <c r="R129" s="78"/>
      <c r="AX129" s="11"/>
      <c r="AY129" s="11"/>
      <c r="BB129" s="723" t="s">
        <v>413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3.5" hidden="1" customHeight="1" x14ac:dyDescent="0.15">
      <c r="B130" s="16" t="s">
        <v>450</v>
      </c>
      <c r="C130" s="55">
        <f>30*365</f>
        <v>10950</v>
      </c>
      <c r="D130" s="55"/>
      <c r="E130" s="55">
        <f>35*365</f>
        <v>12775</v>
      </c>
      <c r="F130" s="55">
        <v>20089</v>
      </c>
      <c r="G130" s="55"/>
      <c r="H130" s="55">
        <v>21914</v>
      </c>
      <c r="I130" s="55">
        <f>F130-C133</f>
        <v>31039</v>
      </c>
      <c r="J130" s="55">
        <f>H130-E133</f>
        <v>34689</v>
      </c>
      <c r="K130" s="51"/>
      <c r="L130" s="51"/>
      <c r="M130" s="54"/>
      <c r="N130" s="54"/>
      <c r="P130" s="78"/>
      <c r="Q130" s="78"/>
      <c r="R130" s="78"/>
      <c r="AX130" s="11"/>
      <c r="AY130" s="11"/>
      <c r="BB130" s="723" t="s">
        <v>414</v>
      </c>
      <c r="BC130" s="715" t="s">
        <v>396</v>
      </c>
      <c r="BD130" s="716" t="s">
        <v>397</v>
      </c>
      <c r="BE130" s="716" t="s">
        <v>397</v>
      </c>
      <c r="BF130" s="716" t="s">
        <v>398</v>
      </c>
      <c r="BG130" s="716" t="s">
        <v>398</v>
      </c>
      <c r="BH130" s="716" t="s">
        <v>398</v>
      </c>
      <c r="BI130" s="718"/>
      <c r="BJ130" s="719"/>
      <c r="BK130" s="720"/>
      <c r="BL130" s="721"/>
    </row>
    <row r="131" spans="1:64" ht="12.75" hidden="1" customHeight="1" x14ac:dyDescent="0.15">
      <c r="B131" s="16" t="s">
        <v>455</v>
      </c>
      <c r="C131" s="47">
        <f>25*365</f>
        <v>9125</v>
      </c>
      <c r="D131" s="47"/>
      <c r="E131" s="47">
        <f>30*365</f>
        <v>10950</v>
      </c>
      <c r="F131" s="55">
        <v>18264</v>
      </c>
      <c r="G131" s="55"/>
      <c r="H131" s="55">
        <v>20089</v>
      </c>
      <c r="I131" s="47">
        <f>ROUNDDOWN(I130/365,0)</f>
        <v>85</v>
      </c>
      <c r="J131" s="47">
        <f>ROUNDDOWN(J130/365,0)</f>
        <v>95</v>
      </c>
      <c r="K131" s="51"/>
      <c r="L131" s="51"/>
      <c r="M131" s="54"/>
      <c r="N131" s="54"/>
      <c r="P131" s="78"/>
      <c r="Q131" s="78"/>
      <c r="R131" s="78"/>
      <c r="AX131" s="11"/>
      <c r="AY131" s="11"/>
      <c r="BB131" s="723" t="s">
        <v>415</v>
      </c>
      <c r="BC131" s="715" t="s">
        <v>396</v>
      </c>
      <c r="BD131" s="716" t="s">
        <v>397</v>
      </c>
      <c r="BE131" s="716" t="s">
        <v>397</v>
      </c>
      <c r="BF131" s="716" t="s">
        <v>398</v>
      </c>
      <c r="BG131" s="716" t="s">
        <v>398</v>
      </c>
      <c r="BH131" s="716" t="s">
        <v>398</v>
      </c>
      <c r="BI131" s="718"/>
      <c r="BJ131" s="719"/>
      <c r="BK131" s="720"/>
      <c r="BL131" s="721"/>
    </row>
    <row r="132" spans="1:64" ht="12.75" hidden="1" customHeight="1" x14ac:dyDescent="0.15">
      <c r="B132" s="48"/>
      <c r="C132" s="48"/>
      <c r="D132" s="48"/>
      <c r="E132" s="46"/>
      <c r="F132" s="48"/>
      <c r="G132" s="48"/>
      <c r="H132" s="48"/>
      <c r="I132" s="48"/>
      <c r="J132" s="46"/>
      <c r="K132" s="51"/>
      <c r="L132" s="51"/>
      <c r="M132" s="54"/>
      <c r="N132" s="54"/>
      <c r="AX132" s="5"/>
      <c r="AY132" s="5"/>
      <c r="BB132" s="723" t="s">
        <v>416</v>
      </c>
      <c r="BC132" s="715" t="s">
        <v>396</v>
      </c>
      <c r="BD132" s="716" t="s">
        <v>397</v>
      </c>
      <c r="BE132" s="716" t="s">
        <v>397</v>
      </c>
      <c r="BF132" s="716" t="s">
        <v>398</v>
      </c>
      <c r="BG132" s="716" t="s">
        <v>398</v>
      </c>
      <c r="BH132" s="716" t="s">
        <v>398</v>
      </c>
      <c r="BI132" s="718"/>
      <c r="BJ132" s="719"/>
      <c r="BK132" s="720"/>
      <c r="BL132" s="721"/>
    </row>
    <row r="133" spans="1:64" ht="12.75" hidden="1" customHeight="1" x14ac:dyDescent="0.15">
      <c r="B133" s="48" t="s">
        <v>458</v>
      </c>
      <c r="C133" s="56">
        <f>ROUNDDOWN((F61-C130),0)</f>
        <v>-10950</v>
      </c>
      <c r="D133" s="48"/>
      <c r="E133" s="56">
        <f>ROUNDDOWN((F61-E130),0)</f>
        <v>-12775</v>
      </c>
      <c r="F133" s="48"/>
      <c r="G133" s="48"/>
      <c r="H133" s="48"/>
      <c r="I133" s="48"/>
      <c r="J133" s="46"/>
      <c r="K133" s="51"/>
      <c r="L133" s="51"/>
      <c r="M133" s="54"/>
      <c r="N133" s="54"/>
      <c r="BB133" s="723" t="s">
        <v>417</v>
      </c>
      <c r="BC133" s="715" t="s">
        <v>396</v>
      </c>
      <c r="BD133" s="716" t="s">
        <v>397</v>
      </c>
      <c r="BE133" s="716" t="s">
        <v>397</v>
      </c>
      <c r="BF133" s="716" t="s">
        <v>398</v>
      </c>
      <c r="BG133" s="716" t="s">
        <v>398</v>
      </c>
      <c r="BH133" s="716" t="s">
        <v>398</v>
      </c>
      <c r="BI133" s="718"/>
      <c r="BJ133" s="719"/>
      <c r="BK133" s="720"/>
      <c r="BL133" s="721"/>
    </row>
    <row r="134" spans="1:64" ht="12.75" hidden="1" customHeight="1" x14ac:dyDescent="0.15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4"/>
      <c r="N134" s="54"/>
      <c r="BB134" s="723" t="s">
        <v>418</v>
      </c>
      <c r="BC134" s="715" t="s">
        <v>396</v>
      </c>
      <c r="BD134" s="716" t="s">
        <v>397</v>
      </c>
      <c r="BE134" s="716" t="s">
        <v>397</v>
      </c>
      <c r="BF134" s="716" t="s">
        <v>398</v>
      </c>
      <c r="BG134" s="716" t="s">
        <v>398</v>
      </c>
      <c r="BH134" s="716" t="s">
        <v>398</v>
      </c>
      <c r="BI134" s="718"/>
      <c r="BJ134" s="719"/>
      <c r="BK134" s="720"/>
      <c r="BL134" s="721"/>
    </row>
    <row r="135" spans="1:64" ht="12.75" hidden="1" customHeight="1" thickBot="1" x14ac:dyDescent="0.2">
      <c r="B135" s="1848" t="s">
        <v>548</v>
      </c>
      <c r="C135" s="1848"/>
      <c r="D135" s="1848"/>
      <c r="E135" s="1848"/>
      <c r="F135" s="1848"/>
      <c r="G135" s="1848"/>
      <c r="H135" s="1848"/>
      <c r="I135" s="1848"/>
      <c r="J135" s="1848"/>
      <c r="K135" s="1848"/>
      <c r="L135" s="1848"/>
      <c r="M135" s="1848"/>
      <c r="N135" s="1848"/>
      <c r="BB135" s="312"/>
      <c r="BC135" s="313"/>
      <c r="BD135" s="314"/>
      <c r="BE135" s="314"/>
      <c r="BF135" s="315"/>
      <c r="BG135" s="315"/>
      <c r="BH135" s="316"/>
      <c r="BI135" s="317">
        <f>A155*1.45</f>
        <v>23.2</v>
      </c>
      <c r="BJ135" s="318">
        <v>113.29</v>
      </c>
      <c r="BK135" s="319">
        <v>113.29</v>
      </c>
      <c r="BL135" s="320">
        <v>157.35</v>
      </c>
    </row>
    <row r="136" spans="1:64" ht="12.75" hidden="1" customHeight="1" x14ac:dyDescent="0.15">
      <c r="B136" s="51" t="s">
        <v>656</v>
      </c>
      <c r="C136" s="21" t="s">
        <v>657</v>
      </c>
      <c r="D136" s="101">
        <v>36145</v>
      </c>
      <c r="E136" s="101">
        <v>37986</v>
      </c>
      <c r="F136" s="102">
        <v>37986</v>
      </c>
      <c r="G136" s="246" t="s">
        <v>608</v>
      </c>
      <c r="H136" s="51" t="s">
        <v>609</v>
      </c>
      <c r="I136" s="51" t="s">
        <v>610</v>
      </c>
      <c r="J136" s="21" t="s">
        <v>612</v>
      </c>
      <c r="M136" s="40" t="s">
        <v>658</v>
      </c>
      <c r="P136" s="109"/>
      <c r="Q136" s="110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BB136" s="321"/>
      <c r="BC136" s="322"/>
      <c r="BD136" s="322"/>
      <c r="BE136" s="322"/>
      <c r="BF136" s="323"/>
      <c r="BG136" s="323"/>
      <c r="BH136" s="323"/>
      <c r="BI136" s="324"/>
      <c r="BJ136" s="325"/>
      <c r="BK136" s="326"/>
      <c r="BL136" s="327"/>
    </row>
    <row r="137" spans="1:64" ht="12.75" hidden="1" customHeight="1" x14ac:dyDescent="0.15">
      <c r="A137" s="259">
        <v>1</v>
      </c>
      <c r="B137" s="107" t="s">
        <v>549</v>
      </c>
      <c r="C137" s="21" t="s">
        <v>613</v>
      </c>
      <c r="D137" s="104">
        <f>IF(ISERROR(HLOOKUP($N$34,$Q$39:$AA$40,2)),0,HLOOKUP($N$34,$Q$39:$AA$40,2))</f>
        <v>0</v>
      </c>
      <c r="E137" s="105">
        <f>IF(ISERROR(HLOOKUP($O$34,$Q$39:$AA$40,2)),0,HLOOKUP($O$34,$Q$39:$AA$40,2))</f>
        <v>0</v>
      </c>
      <c r="F137" s="106">
        <f>IF(ISERROR(HLOOKUP($O$60,$Q$39:$AA$40,2)),0,HLOOKUP($O$60,$Q$39:$AA$40,2))</f>
        <v>0</v>
      </c>
      <c r="G137" s="21" t="s">
        <v>611</v>
      </c>
      <c r="J137" s="21" t="s">
        <v>611</v>
      </c>
      <c r="M137" s="21" t="s">
        <v>659</v>
      </c>
      <c r="P137" s="328"/>
      <c r="Q137" s="328"/>
      <c r="R137" s="5"/>
      <c r="S137" s="8"/>
      <c r="T137" s="5"/>
      <c r="U137" s="5"/>
      <c r="V137" s="5"/>
      <c r="W137" s="27"/>
      <c r="X137" s="5"/>
      <c r="Y137" s="5"/>
      <c r="Z137" s="100"/>
      <c r="AA137" s="5"/>
      <c r="AB137" s="5"/>
      <c r="BB137" s="321"/>
      <c r="BC137" s="322"/>
      <c r="BD137" s="322"/>
      <c r="BE137" s="322"/>
      <c r="BF137" s="323"/>
      <c r="BG137" s="323"/>
      <c r="BH137" s="323"/>
      <c r="BI137" s="324"/>
      <c r="BJ137" s="325"/>
      <c r="BK137" s="326"/>
      <c r="BL137" s="327"/>
    </row>
    <row r="138" spans="1:64" ht="12.75" hidden="1" customHeight="1" x14ac:dyDescent="0.15">
      <c r="A138" s="259">
        <v>2</v>
      </c>
      <c r="B138" s="51" t="s">
        <v>550</v>
      </c>
      <c r="C138" s="21" t="s">
        <v>527</v>
      </c>
      <c r="D138" s="104">
        <f>IF(ISERROR(HLOOKUP($J$138,$Q$26:$AT$27,2)),0,HLOOKUP($J$138,$Q$26:$AT$27,2))</f>
        <v>0</v>
      </c>
      <c r="E138" s="105">
        <f>IF(ISERROR(HLOOKUP($K$138,$Q$26:$AT$27,2)),0,HLOOKUP($K$138,$Q$26:$AT$27,2))</f>
        <v>0</v>
      </c>
      <c r="F138" s="106">
        <f>IF(ISERROR(HLOOKUP($L$138,$Q$26:$AT$27,2)),0,HLOOKUP($L$138,$Q$26:$AT$27,2))</f>
        <v>0</v>
      </c>
      <c r="G138" s="67">
        <f>SUM($F$27:$F$32)</f>
        <v>0</v>
      </c>
      <c r="H138" s="67">
        <f>SUM($F$27:$F$32)+$J$51</f>
        <v>0</v>
      </c>
      <c r="I138" s="67">
        <f>SUM($F$27:$F$32)+$J$51+$J$60</f>
        <v>0</v>
      </c>
      <c r="J138" s="21">
        <f t="shared" ref="J138:J160" si="7">ROUNDDOWN(G138/365,0)</f>
        <v>0</v>
      </c>
      <c r="K138" s="21">
        <f t="shared" ref="K138:K160" si="8">ROUNDDOWN(H138/365,0)</f>
        <v>0</v>
      </c>
      <c r="L138" s="21">
        <f t="shared" ref="L138:L160" si="9">ROUNDDOWN(I138/365,0)</f>
        <v>0</v>
      </c>
      <c r="M138" s="21" t="s">
        <v>660</v>
      </c>
      <c r="P138" s="328"/>
      <c r="Q138" s="328"/>
      <c r="BB138" s="321"/>
      <c r="BC138" s="322"/>
      <c r="BD138" s="322"/>
      <c r="BE138" s="322"/>
      <c r="BF138" s="323"/>
      <c r="BG138" s="323"/>
      <c r="BH138" s="323"/>
      <c r="BI138" s="324"/>
      <c r="BJ138" s="325"/>
      <c r="BK138" s="326"/>
      <c r="BL138" s="327"/>
    </row>
    <row r="139" spans="1:64" ht="12.75" hidden="1" customHeight="1" x14ac:dyDescent="0.15">
      <c r="A139" s="259" t="s">
        <v>554</v>
      </c>
      <c r="B139" s="51" t="s">
        <v>615</v>
      </c>
      <c r="C139" s="21" t="s">
        <v>613</v>
      </c>
      <c r="D139" s="104">
        <f>IF(ISERROR(HLOOKUP($J$139,$Q$45:$AB$46,2)),0,HLOOKUP($J$139,$Q$45:$AB$46,2))</f>
        <v>0</v>
      </c>
      <c r="E139" s="105">
        <f>IF(ISERROR(HLOOKUP($K$139,$Q$45:$AB$46,2)),0,HLOOKUP($K$139,$Q$45:$AB$46,2))</f>
        <v>0</v>
      </c>
      <c r="F139" s="106">
        <f>IF(ISERROR(HLOOKUP($L$139,$Q$45:$AB$46,2)),0,HLOOKUP($L$139,$Q$45:$AB$46,2))</f>
        <v>0</v>
      </c>
      <c r="G139" s="67">
        <f>SUM($F$27:$F$32)</f>
        <v>0</v>
      </c>
      <c r="H139" s="67">
        <f>SUM($F$27:$F$32)+$J$51</f>
        <v>0</v>
      </c>
      <c r="I139" s="67">
        <f>SUM($F$27:$F$32)+$J$51+$J$60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321"/>
      <c r="BC139" s="322"/>
      <c r="BD139" s="322"/>
      <c r="BE139" s="322"/>
      <c r="BF139" s="323"/>
      <c r="BG139" s="323"/>
      <c r="BH139" s="323"/>
      <c r="BI139" s="324"/>
      <c r="BJ139" s="325"/>
      <c r="BK139" s="326"/>
      <c r="BL139" s="327"/>
    </row>
    <row r="140" spans="1:64" ht="12.75" hidden="1" customHeight="1" x14ac:dyDescent="0.15">
      <c r="A140" s="259">
        <v>3</v>
      </c>
      <c r="B140" s="51" t="s">
        <v>551</v>
      </c>
      <c r="C140" s="21" t="s">
        <v>613</v>
      </c>
      <c r="D140" s="104">
        <f>IF(ISERROR(HLOOKUP($J$140,$Q$48:$AB$49,2)),0,HLOOKUP($J$140,$Q$48:$AB$49,2))</f>
        <v>0</v>
      </c>
      <c r="E140" s="105">
        <f>IF(ISERROR(HLOOKUP($K$140,$Q$48:$AB$49,2)),0,HLOOKUP($K$140,$Q$48:$AB$49,2))</f>
        <v>0</v>
      </c>
      <c r="F140" s="106">
        <f>IF(ISERROR(HLOOKUP($L$140,$Q$48:$AB$49,2)),0,HLOOKUP($L$140,$Q$48:$AB$49,2))</f>
        <v>0</v>
      </c>
      <c r="G140" s="67">
        <f>SUM($F$30:$F$32)</f>
        <v>0</v>
      </c>
      <c r="H140" s="67">
        <f>SUM($F$30:$F$32)+$J$51</f>
        <v>0</v>
      </c>
      <c r="I140" s="67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326"/>
      <c r="BL140" s="327"/>
    </row>
    <row r="141" spans="1:64" ht="12.75" hidden="1" customHeight="1" x14ac:dyDescent="0.15">
      <c r="A141" s="259">
        <v>4</v>
      </c>
      <c r="B141" s="51" t="s">
        <v>552</v>
      </c>
      <c r="C141" s="21" t="s">
        <v>613</v>
      </c>
      <c r="D141" s="104">
        <f>IF(ISERROR(HLOOKUP($J$141,$Q$48:$Z$49,2)),0,HLOOKUP($J$141,$Q$48:$Z$49,2))</f>
        <v>0</v>
      </c>
      <c r="E141" s="105">
        <f>IF(ISERROR(HLOOKUP($K$141,$Q$48:$Z$49,2)),0,HLOOKUP($K$141,$Q$48:$Z$49,2))</f>
        <v>0</v>
      </c>
      <c r="F141" s="106">
        <f>IF(ISERROR(HLOOKUP($L$141,$Q$48:$Z$49,2)),0,HLOOKUP($L$141,$Q$48:$Z$49,2))</f>
        <v>0</v>
      </c>
      <c r="G141" s="67">
        <f>SUM($F$27:$F$32)</f>
        <v>0</v>
      </c>
      <c r="H141" s="67">
        <f>SUM($F$27:$F$32)+$J$51</f>
        <v>0</v>
      </c>
      <c r="I141" s="67">
        <f>SUM($F$27:$F$32)+$J$51+$J$60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/>
      <c r="BD141" s="69" t="s">
        <v>349</v>
      </c>
      <c r="BE141" s="70">
        <v>5</v>
      </c>
      <c r="BF141" s="70">
        <v>10</v>
      </c>
      <c r="BG141" s="70">
        <v>15</v>
      </c>
      <c r="BH141" s="70">
        <v>20</v>
      </c>
      <c r="BI141" s="70">
        <v>25</v>
      </c>
      <c r="BJ141" s="329" t="s">
        <v>365</v>
      </c>
      <c r="BK141" s="326"/>
      <c r="BL141" s="327"/>
    </row>
    <row r="142" spans="1:64" ht="12.75" hidden="1" customHeight="1" x14ac:dyDescent="0.15">
      <c r="A142" s="259">
        <v>5</v>
      </c>
      <c r="B142" s="51" t="s">
        <v>553</v>
      </c>
      <c r="C142" s="21" t="s">
        <v>613</v>
      </c>
      <c r="D142" s="104">
        <f>IF(ISERROR(HLOOKUP($J$142,$Q$48:$AB$49,2)),0,HLOOKUP($J$142,$Q$48:$AB$49,2))</f>
        <v>0</v>
      </c>
      <c r="E142" s="105">
        <f>IF(ISERROR(HLOOKUP($K$142,$Q$48:$AB$49,2)),0,HLOOKUP($K$142,$Q$48:$AB$49,2))</f>
        <v>0</v>
      </c>
      <c r="F142" s="106">
        <f>IF(ISERROR(HLOOKUP($L$142,$Q$48:$AB$49,2)),0,HLOOKUP($L$142,$Q$48:$AB$49,2))</f>
        <v>0</v>
      </c>
      <c r="G142" s="67">
        <f>SUM($F$30:$F$32)</f>
        <v>0</v>
      </c>
      <c r="H142" s="67">
        <f>SUM($F$30:$F$32)+$J$51</f>
        <v>0</v>
      </c>
      <c r="I142" s="67">
        <f>SUM($F$30:$F$32)+$J$51+$J$60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/>
      <c r="BC142" s="330" t="s">
        <v>419</v>
      </c>
      <c r="BD142" s="330" t="s">
        <v>420</v>
      </c>
      <c r="BE142" s="69" t="s">
        <v>421</v>
      </c>
      <c r="BF142" s="69" t="s">
        <v>422</v>
      </c>
      <c r="BG142" s="69" t="s">
        <v>423</v>
      </c>
      <c r="BH142" s="69" t="s">
        <v>424</v>
      </c>
      <c r="BI142" s="69" t="s">
        <v>425</v>
      </c>
      <c r="BJ142" s="69" t="s">
        <v>426</v>
      </c>
      <c r="BK142" s="326"/>
      <c r="BL142" s="327"/>
    </row>
    <row r="143" spans="1:64" ht="12.75" hidden="1" customHeight="1" x14ac:dyDescent="0.15">
      <c r="A143" s="259" t="s">
        <v>555</v>
      </c>
      <c r="B143" s="51" t="s">
        <v>616</v>
      </c>
      <c r="C143" s="21" t="s">
        <v>613</v>
      </c>
      <c r="D143" s="104">
        <f>IF(ISERROR(HLOOKUP($J$143,$Q$48:$V$49,2)),0,HLOOKUP($J$143,$Q$48:$V$49,2))</f>
        <v>0</v>
      </c>
      <c r="E143" s="105">
        <f>IF(ISERROR(HLOOKUP($K$143,$Q$48:$V$49,2)),0,HLOOKUP($K$143,$Q$48:$V$49,2))</f>
        <v>0</v>
      </c>
      <c r="F143" s="106">
        <f>IF(ISERROR(HLOOKUP($L$143,$Q$48:$V$49,2)),0,HLOOKUP($L$143,$Q$48:$V$49,2))</f>
        <v>0</v>
      </c>
      <c r="G143" s="67">
        <f>SUM($F$30:$F$32)</f>
        <v>0</v>
      </c>
      <c r="H143" s="67">
        <f>SUM($F$30:$F$32)+$J$51</f>
        <v>0</v>
      </c>
      <c r="I143" s="67">
        <f>SUM($F$30:$F$32)+$J$51+$J$60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0" t="s">
        <v>427</v>
      </c>
      <c r="BD143" s="330" t="s">
        <v>428</v>
      </c>
      <c r="BE143" s="69" t="s">
        <v>421</v>
      </c>
      <c r="BF143" s="69" t="s">
        <v>422</v>
      </c>
      <c r="BG143" s="69" t="s">
        <v>423</v>
      </c>
      <c r="BH143" s="69" t="s">
        <v>424</v>
      </c>
      <c r="BI143" s="69" t="s">
        <v>425</v>
      </c>
      <c r="BJ143" s="69" t="s">
        <v>426</v>
      </c>
      <c r="BK143" s="326"/>
      <c r="BL143" s="327"/>
    </row>
    <row r="144" spans="1:64" ht="12.75" hidden="1" customHeight="1" x14ac:dyDescent="0.15">
      <c r="A144" s="259">
        <v>6</v>
      </c>
      <c r="B144" s="51" t="s">
        <v>556</v>
      </c>
      <c r="C144" s="21" t="s">
        <v>613</v>
      </c>
      <c r="D144" s="104">
        <f>IF(ISERROR(HLOOKUP($J$144,$Q$48:$AA$49,2)),0,HLOOKUP($J$144,$Q$48:$AA$49,2))</f>
        <v>0</v>
      </c>
      <c r="E144" s="105">
        <f>IF(ISERROR(HLOOKUP(K144,$Q$48:$AA$49,2)),0,HLOOKUP(K144,$Q$48:$AA$49,2))</f>
        <v>0</v>
      </c>
      <c r="F144" s="106">
        <f>IF(ISERROR(HLOOKUP(L144,$Q$48:$AA$49,2)),0,HLOOKUP(L144,$Q$48:$AA$49,2))</f>
        <v>0</v>
      </c>
      <c r="G144" s="396">
        <f>SUM($F$27:$F$33)</f>
        <v>0</v>
      </c>
      <c r="H144" s="103">
        <f>SUM($F$27:$F$33)+$J$51</f>
        <v>0</v>
      </c>
      <c r="I144" s="103">
        <f>SUM($F$27:$F$33)+$J$51+$J$60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330" t="s">
        <v>429</v>
      </c>
      <c r="BD144" s="330" t="s">
        <v>430</v>
      </c>
      <c r="BE144" s="69" t="s">
        <v>421</v>
      </c>
      <c r="BF144" s="69" t="s">
        <v>422</v>
      </c>
      <c r="BG144" s="69" t="s">
        <v>423</v>
      </c>
      <c r="BH144" s="69" t="s">
        <v>424</v>
      </c>
      <c r="BI144" s="69" t="s">
        <v>425</v>
      </c>
      <c r="BJ144" s="69" t="s">
        <v>426</v>
      </c>
      <c r="BK144" s="7"/>
      <c r="BL144" s="7"/>
    </row>
    <row r="145" spans="1:64" ht="12.75" hidden="1" customHeight="1" x14ac:dyDescent="0.15">
      <c r="A145" s="259">
        <v>7</v>
      </c>
      <c r="B145" s="51" t="s">
        <v>557</v>
      </c>
      <c r="C145" s="21" t="s">
        <v>547</v>
      </c>
      <c r="D145" s="104">
        <f>IF(ISERROR(HLOOKUP($J$145,$Q$77:$W$78,2)),0,HLOOKUP($J$145,$Q$77:$W$78,2))</f>
        <v>0</v>
      </c>
      <c r="E145" s="105">
        <f>IF(ISERROR(HLOOKUP(K145,$Q$77:$W$78,2)),0,HLOOKUP(K145,$Q$77:$W$78,2))</f>
        <v>0</v>
      </c>
      <c r="F145" s="106">
        <f>IF(ISERROR(HLOOKUP(L145,$Q$77:$W$78,2)),0,HLOOKUP(L145,$Q$77:$W$78,2))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330" t="s">
        <v>431</v>
      </c>
      <c r="BD145" s="330" t="s">
        <v>430</v>
      </c>
      <c r="BE145" s="69" t="s">
        <v>421</v>
      </c>
      <c r="BF145" s="69" t="s">
        <v>422</v>
      </c>
      <c r="BG145" s="69" t="s">
        <v>423</v>
      </c>
      <c r="BH145" s="69" t="s">
        <v>424</v>
      </c>
      <c r="BI145" s="69" t="s">
        <v>425</v>
      </c>
      <c r="BJ145" s="69" t="s">
        <v>426</v>
      </c>
      <c r="BK145" s="5"/>
      <c r="BL145" s="5"/>
    </row>
    <row r="146" spans="1:64" ht="12.75" hidden="1" customHeight="1" x14ac:dyDescent="0.15">
      <c r="A146" s="259" t="s">
        <v>558</v>
      </c>
      <c r="B146" s="51" t="s">
        <v>614</v>
      </c>
      <c r="C146" s="21" t="s">
        <v>547</v>
      </c>
      <c r="D146" s="104">
        <f>IF(ISERROR(HLOOKUP($J$146,$Q$77:$W$78,2)),0,HLOOKUP($J$146,$Q$77:$W$78,2))</f>
        <v>0</v>
      </c>
      <c r="E146" s="105">
        <f>IF(ISERROR(HLOOKUP(K146,$Q$77:$W$78,2)),0,HLOOKUP(K146,$Q$77:$W$78,2))</f>
        <v>0</v>
      </c>
      <c r="F146" s="106">
        <f>IF(ISERROR(HLOOKUP(L146,$Q$77:$W$78,2)),0,HLOOKUP(L146,$Q$77:$W$78,2))</f>
        <v>0</v>
      </c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 t="s">
        <v>400</v>
      </c>
      <c r="BD146" s="69"/>
      <c r="BE146" s="69" t="s">
        <v>329</v>
      </c>
      <c r="BF146" s="69" t="s">
        <v>356</v>
      </c>
      <c r="BG146" s="69" t="s">
        <v>432</v>
      </c>
      <c r="BH146" s="69" t="s">
        <v>432</v>
      </c>
      <c r="BI146" s="69" t="s">
        <v>432</v>
      </c>
      <c r="BJ146" s="69" t="s">
        <v>432</v>
      </c>
      <c r="BK146" s="5"/>
      <c r="BL146" s="5"/>
    </row>
    <row r="147" spans="1:64" ht="12.75" hidden="1" customHeight="1" x14ac:dyDescent="0.15">
      <c r="A147" s="259">
        <v>8</v>
      </c>
      <c r="B147" s="51" t="s">
        <v>559</v>
      </c>
      <c r="C147" s="21" t="s">
        <v>547</v>
      </c>
      <c r="D147" s="104">
        <f>IF(ISERROR(HLOOKUP($J$147,$Q$73:$W$74,2)),0,HLOOKUP($J$147,$Q$73:$W$74,2))</f>
        <v>0</v>
      </c>
      <c r="E147" s="105">
        <f>IF(ISERROR(HLOOKUP(K147,$Q$73:$W$74,2)),0,HLOOKUP(K147,$Q$73:$W$74,2))</f>
        <v>0</v>
      </c>
      <c r="F147" s="106">
        <f>IF(ISERROR(HLOOKUP(L147,$Q$73:$W$74,2)),0,HLOOKUP(L147,$Q$73:$W$74,2))</f>
        <v>0</v>
      </c>
      <c r="G147" s="396">
        <f>SUM($F$27:$F$32)</f>
        <v>0</v>
      </c>
      <c r="H147" s="103">
        <f>SUM($F$27:$F$32)+$J$51</f>
        <v>0</v>
      </c>
      <c r="I147" s="103">
        <f>SUM($F$27:$F$32)+$J$51+$J$60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>
        <v>26</v>
      </c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9</v>
      </c>
      <c r="B148" s="51" t="s">
        <v>560</v>
      </c>
      <c r="C148" s="21" t="s">
        <v>547</v>
      </c>
      <c r="D148" s="104">
        <f>IF(ISERROR(HLOOKUP($J$148,$Q$77:$W$78,2)),0,HLOOKUP($J$148,$Q$77:$W$78,2))</f>
        <v>0</v>
      </c>
      <c r="E148" s="105">
        <f>IF(ISERROR(HLOOKUP(K148,$Q$77:$W$78,2)),0,HLOOKUP(K148,$Q$77:$W$78,2))</f>
        <v>0</v>
      </c>
      <c r="F148" s="106">
        <f>IF(ISERROR(HLOOKUP(L148,$Q$77:$W$78,2)),0,HLOOKUP(L148,$Q$77:$W$78,2))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BB148" s="69"/>
      <c r="BC148" s="331"/>
      <c r="BD148" s="116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10</v>
      </c>
      <c r="B149" s="51" t="s">
        <v>561</v>
      </c>
      <c r="C149" s="21" t="s">
        <v>613</v>
      </c>
      <c r="D149" s="104">
        <f>IF(ISERROR(HLOOKUP($J$149,$Q$39:$Y$40,2)),0,HLOOKUP($J$149,$Q$39:$Y$40,2))</f>
        <v>0</v>
      </c>
      <c r="E149" s="105">
        <f>IF(ISERROR(HLOOKUP(K149,$Q$39:$Y$40,2)),0,HLOOKUP(K149,$Q$39:$Y$40,2))</f>
        <v>0</v>
      </c>
      <c r="F149" s="106">
        <f>IF(ISERROR(HLOOKUP(L149,$Q$39:$Y$40,2)),0,HLOOKUP(L149,$Q$39:$Y$40,2))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BB149" s="69"/>
      <c r="BC149" s="69"/>
      <c r="BD149" s="69"/>
      <c r="BE149" s="69"/>
      <c r="BF149" s="69"/>
      <c r="BG149" s="69"/>
      <c r="BH149" s="69"/>
      <c r="BI149" s="69"/>
      <c r="BJ149" s="69"/>
      <c r="BK149" s="5"/>
      <c r="BL149" s="5"/>
    </row>
    <row r="150" spans="1:64" ht="12.75" hidden="1" customHeight="1" x14ac:dyDescent="0.15">
      <c r="A150" s="259">
        <v>11</v>
      </c>
      <c r="B150" s="51" t="s">
        <v>562</v>
      </c>
      <c r="C150" s="21" t="s">
        <v>547</v>
      </c>
      <c r="D150" s="104">
        <f>IF(ISERROR(HLOOKUP($J$150,$Q$73:$AB$74,2)),0,HLOOKUP($J$150,$Q$73:$AB$74,2))</f>
        <v>0</v>
      </c>
      <c r="E150" s="105">
        <f>IF(ISERROR(HLOOKUP(K150,$Q$73:$AB$74,2)),0,HLOOKUP(K150,$Q$73:$AB$74,2))</f>
        <v>0</v>
      </c>
      <c r="F150" s="106">
        <f>IF(ISERROR(HLOOKUP(L150,$Q$73:$AB$74,2)),0,HLOOKUP(L150,$Q$73:$AB$74,2))</f>
        <v>0</v>
      </c>
      <c r="G150" s="396">
        <f>SUM($F$30:$F$32)</f>
        <v>0</v>
      </c>
      <c r="H150" s="103">
        <f>SUM($F$30:$F$32)+$J$51</f>
        <v>0</v>
      </c>
      <c r="I150" s="103">
        <f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BB150" s="69"/>
      <c r="BC150" s="69"/>
      <c r="BD150" s="69"/>
      <c r="BE150" s="69"/>
      <c r="BF150" s="69"/>
      <c r="BG150" s="69"/>
      <c r="BH150" s="69"/>
      <c r="BI150" s="69"/>
      <c r="BJ150" s="69"/>
      <c r="BK150" s="5"/>
      <c r="BL150" s="5"/>
    </row>
    <row r="151" spans="1:64" ht="12.75" hidden="1" customHeight="1" x14ac:dyDescent="0.15">
      <c r="A151" s="259">
        <v>12</v>
      </c>
      <c r="B151" s="51" t="s">
        <v>563</v>
      </c>
      <c r="C151" s="21"/>
      <c r="D151" s="104"/>
      <c r="E151" s="105"/>
      <c r="F151" s="106"/>
      <c r="G151" s="396">
        <f>SUM($F$30:$F$32)</f>
        <v>0</v>
      </c>
      <c r="H151" s="103">
        <f>SUM($F$30:$F$32)+$J$51</f>
        <v>0</v>
      </c>
      <c r="I151" s="103">
        <f>SUM($F$30:$F$32)+$J$51+$J$60</f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BB151" s="69"/>
      <c r="BC151" s="69"/>
      <c r="BD151" s="69"/>
      <c r="BE151" s="69"/>
      <c r="BF151" s="69"/>
      <c r="BG151" s="69"/>
      <c r="BH151" s="69"/>
      <c r="BI151" s="69"/>
      <c r="BJ151" s="69"/>
      <c r="BK151" s="5"/>
      <c r="BL151" s="5"/>
    </row>
    <row r="152" spans="1:64" ht="12.75" hidden="1" customHeight="1" x14ac:dyDescent="0.15">
      <c r="A152" s="259">
        <v>13</v>
      </c>
      <c r="B152" s="51" t="s">
        <v>686</v>
      </c>
      <c r="C152" s="21" t="s">
        <v>527</v>
      </c>
      <c r="D152" s="104">
        <f>IF(ISERROR(HLOOKUP($J$152,$Q$26:$AT$27,2)),0,HLOOKUP($J$152,$Q$26:$AT$27,2))</f>
        <v>0</v>
      </c>
      <c r="E152" s="104">
        <f>IF(ISERROR(HLOOKUP(K152,$Q$26:$AT$27,2)),0,HLOOKUP(K152,$Q$26:$AT$27,2))</f>
        <v>0</v>
      </c>
      <c r="F152" s="104">
        <f>IF(ISERROR(HLOOKUP(L152,$Q$26:$AT$27,2)),0,HLOOKUP(L152,$Q$26:$AT$27,2))</f>
        <v>0</v>
      </c>
      <c r="G152" s="396">
        <f>SUM($F$30:$F$32)</f>
        <v>0</v>
      </c>
      <c r="H152" s="103">
        <f>SUM($F$30:$F$32)+$J$51</f>
        <v>0</v>
      </c>
      <c r="I152" s="103">
        <f>SUM($F$30:$F$32)+$J$51+$J$60</f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BB152" s="69"/>
      <c r="BC152" s="69"/>
      <c r="BD152" s="69"/>
      <c r="BE152" s="69"/>
      <c r="BF152" s="69"/>
      <c r="BG152" s="69"/>
      <c r="BH152" s="69"/>
      <c r="BI152" s="69"/>
      <c r="BJ152" s="69"/>
      <c r="BK152" s="5"/>
      <c r="BL152" s="5"/>
    </row>
    <row r="153" spans="1:64" ht="12.75" hidden="1" customHeight="1" x14ac:dyDescent="0.15">
      <c r="A153" s="259">
        <v>14</v>
      </c>
      <c r="B153" s="51" t="s">
        <v>564</v>
      </c>
      <c r="C153" s="21" t="s">
        <v>613</v>
      </c>
      <c r="D153" s="104">
        <f>IF(ISERROR(HLOOKUP(J153,$Q$48:$AB$49,2)),0,HLOOKUP(J153,$Q$48:$AB$49,2))</f>
        <v>0</v>
      </c>
      <c r="E153" s="104">
        <f>IF(ISERROR(HLOOKUP(K153,$Q$48:$AB$49,2)),0,HLOOKUP(K153,$Q$48:$AB$49,2))</f>
        <v>0</v>
      </c>
      <c r="F153" s="104">
        <f>IF(ISERROR(HLOOKUP(L153,$Q$48:$AB$49,2)),0,HLOOKUP(L153,$Q$48:$AB$49,2))</f>
        <v>0</v>
      </c>
      <c r="G153" s="396">
        <f>SUM($F$27:$F$32)</f>
        <v>0</v>
      </c>
      <c r="H153" s="103">
        <f>SUM($F$27:$F$32)+$J$51</f>
        <v>0</v>
      </c>
      <c r="I153" s="103">
        <f>SUM($F$27:$F$32)+$J$51+$J$60</f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69"/>
      <c r="BC153" s="69"/>
      <c r="BD153" s="69"/>
      <c r="BE153" s="69"/>
      <c r="BF153" s="69"/>
      <c r="BG153" s="69"/>
      <c r="BH153" s="69"/>
      <c r="BI153" s="69"/>
      <c r="BJ153" s="69"/>
      <c r="BK153" s="5"/>
      <c r="BL153" s="5"/>
    </row>
    <row r="154" spans="1:64" ht="12.75" hidden="1" customHeight="1" x14ac:dyDescent="0.15">
      <c r="A154" s="259">
        <v>15</v>
      </c>
      <c r="B154" s="51" t="s">
        <v>565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69" t="s">
        <v>427</v>
      </c>
      <c r="BC154" s="69"/>
      <c r="BD154" s="69"/>
      <c r="BE154" s="69"/>
      <c r="BF154" s="69"/>
      <c r="BG154" s="69"/>
      <c r="BH154" s="69"/>
      <c r="BI154" s="69"/>
      <c r="BJ154" s="69"/>
      <c r="BK154" s="116"/>
      <c r="BL154" s="332"/>
    </row>
    <row r="155" spans="1:64" ht="12.75" hidden="1" customHeight="1" x14ac:dyDescent="0.15">
      <c r="A155" s="259">
        <v>16</v>
      </c>
      <c r="B155" s="51" t="s">
        <v>566</v>
      </c>
      <c r="C155" s="21" t="s">
        <v>527</v>
      </c>
      <c r="D155" s="104">
        <f>IF(ISERROR(HLOOKUP(J155,$Q$26:$AT$27,2)),0,HLOOKUP(J155,$Q$26:$AT$27,2))</f>
        <v>0</v>
      </c>
      <c r="E155" s="104">
        <f>IF(ISERROR(HLOOKUP(K155,$Q$26:$AT$27,2)),0,HLOOKUP(K155,$Q$26:$AT$27,2))</f>
        <v>0</v>
      </c>
      <c r="F155" s="104">
        <f>IF(ISERROR(HLOOKUP(L155,$Q$26:$AT$27,2)),0,HLOOKUP(L155,$Q$26:$AT$27,2))</f>
        <v>0</v>
      </c>
      <c r="G155" s="396">
        <f t="shared" ref="G155:G160" si="10">SUM($F$30:$F$32)</f>
        <v>0</v>
      </c>
      <c r="H155" s="103">
        <f t="shared" ref="H155:H160" si="11">SUM($F$30:$F$32)+$J$51</f>
        <v>0</v>
      </c>
      <c r="I155" s="103">
        <f t="shared" ref="I155:I160" si="12"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69"/>
      <c r="BC155" s="69"/>
      <c r="BD155" s="69"/>
      <c r="BE155" s="333"/>
      <c r="BF155" s="69"/>
      <c r="BG155" s="69"/>
      <c r="BH155" s="69"/>
      <c r="BI155" s="69"/>
      <c r="BJ155" s="69"/>
      <c r="BK155" s="69"/>
      <c r="BL155" s="69"/>
    </row>
    <row r="156" spans="1:64" ht="12.75" hidden="1" customHeight="1" x14ac:dyDescent="0.15">
      <c r="A156" s="259">
        <v>17</v>
      </c>
      <c r="B156" s="51" t="s">
        <v>567</v>
      </c>
      <c r="C156" s="21" t="s">
        <v>547</v>
      </c>
      <c r="D156" s="104">
        <f>IF(ISERROR(HLOOKUP(J156,$Q$73:$V$74,2)),0,HLOOKUP(J156,$Q$73:$V$74,2))</f>
        <v>0</v>
      </c>
      <c r="E156" s="104">
        <f>IF(ISERROR(HLOOKUP(K156,$Q$73:$V$74,2)),0,HLOOKUP(K156,$Q$73:$V$74,2))</f>
        <v>0</v>
      </c>
      <c r="F156" s="104">
        <f>IF(ISERROR(HLOOKUP(L156,$Q$73:$V$74,2)),0,HLOOKUP(L156,$Q$73:$V$74,2))</f>
        <v>0</v>
      </c>
      <c r="G156" s="396">
        <f t="shared" si="10"/>
        <v>0</v>
      </c>
      <c r="H156" s="103">
        <f t="shared" si="11"/>
        <v>0</v>
      </c>
      <c r="I156" s="103">
        <f t="shared" si="12"/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2.75" hidden="1" customHeight="1" x14ac:dyDescent="0.15">
      <c r="A157" s="259">
        <v>18</v>
      </c>
      <c r="B157" s="51" t="s">
        <v>568</v>
      </c>
      <c r="C157" s="21" t="s">
        <v>527</v>
      </c>
      <c r="D157" s="104">
        <f>IF(ISERROR(HLOOKUP(J157,$Q$32:$AF$33,2)),0,HLOOKUP(J157,$Q$32:$AF$33,2))</f>
        <v>0</v>
      </c>
      <c r="E157" s="104">
        <f>IF(ISERROR(HLOOKUP(K157,$Q$32:$AF$33,2)),0,HLOOKUP(K157,$Q$32:$AF$33,2))</f>
        <v>0</v>
      </c>
      <c r="F157" s="104">
        <f>IF(ISERROR(HLOOKUP(L157,$Q$32:$AF$33,2)),0,HLOOKUP(L157,$Q$32:$AF$33,2))</f>
        <v>0</v>
      </c>
      <c r="G157" s="396">
        <f t="shared" si="10"/>
        <v>0</v>
      </c>
      <c r="H157" s="103">
        <f t="shared" si="11"/>
        <v>0</v>
      </c>
      <c r="I157" s="103">
        <f t="shared" si="12"/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  <c r="BB157" s="69"/>
      <c r="BC157" s="69"/>
      <c r="BD157" s="69"/>
      <c r="BE157" s="333"/>
      <c r="BF157" s="69"/>
      <c r="BG157" s="69"/>
      <c r="BH157" s="69"/>
      <c r="BI157" s="69"/>
      <c r="BJ157" s="69"/>
      <c r="BK157" s="69"/>
      <c r="BL157" s="69"/>
    </row>
    <row r="158" spans="1:64" ht="12.75" hidden="1" customHeight="1" x14ac:dyDescent="0.15">
      <c r="A158" s="259">
        <v>19</v>
      </c>
      <c r="B158" s="51" t="s">
        <v>569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 t="shared" si="10"/>
        <v>0</v>
      </c>
      <c r="H158" s="103">
        <f t="shared" si="11"/>
        <v>0</v>
      </c>
      <c r="I158" s="103">
        <f t="shared" si="12"/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  <c r="BB158" s="11"/>
      <c r="BC158" s="5"/>
    </row>
    <row r="159" spans="1:64" ht="12.75" hidden="1" customHeight="1" x14ac:dyDescent="0.15">
      <c r="A159" s="259">
        <v>20</v>
      </c>
      <c r="B159" s="51" t="s">
        <v>570</v>
      </c>
      <c r="C159" s="21" t="s">
        <v>613</v>
      </c>
      <c r="D159" s="104">
        <f t="shared" ref="D159:F160" si="13">IF(ISERROR(HLOOKUP(J159,$Q$39:$Y$40,2)),0,HLOOKUP(J159,$Q$39:$Y$40,2))</f>
        <v>0</v>
      </c>
      <c r="E159" s="104">
        <f t="shared" si="13"/>
        <v>0</v>
      </c>
      <c r="F159" s="104">
        <f t="shared" si="13"/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  <c r="BB159" s="11"/>
      <c r="BC159" s="5"/>
    </row>
    <row r="160" spans="1:64" ht="12.75" hidden="1" customHeight="1" x14ac:dyDescent="0.15">
      <c r="A160" s="259">
        <v>21</v>
      </c>
      <c r="B160" s="51" t="s">
        <v>571</v>
      </c>
      <c r="C160" s="21" t="s">
        <v>613</v>
      </c>
      <c r="D160" s="104">
        <f t="shared" si="13"/>
        <v>0</v>
      </c>
      <c r="E160" s="104">
        <f t="shared" si="13"/>
        <v>0</v>
      </c>
      <c r="F160" s="104">
        <f t="shared" si="13"/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  <c r="BB160" s="11"/>
      <c r="BC160" s="5"/>
    </row>
    <row r="161" spans="1:55" ht="12.75" hidden="1" customHeight="1" x14ac:dyDescent="0.15">
      <c r="A161" s="259">
        <v>22</v>
      </c>
      <c r="B161" s="51" t="s">
        <v>572</v>
      </c>
      <c r="C161" s="21"/>
      <c r="D161" s="334"/>
      <c r="E161" s="335"/>
      <c r="F161" s="336"/>
      <c r="G161" s="397"/>
      <c r="H161" s="51"/>
      <c r="M161" s="21" t="s">
        <v>660</v>
      </c>
      <c r="P161" s="328"/>
      <c r="Q161" s="328"/>
      <c r="AS161" s="5"/>
      <c r="BB161" s="11"/>
      <c r="BC161" s="5"/>
    </row>
    <row r="162" spans="1:55" ht="12.75" hidden="1" customHeight="1" x14ac:dyDescent="0.15">
      <c r="A162" s="259">
        <v>23</v>
      </c>
      <c r="B162" s="51" t="s">
        <v>573</v>
      </c>
      <c r="C162" s="21"/>
      <c r="D162" s="334"/>
      <c r="E162" s="335"/>
      <c r="F162" s="336"/>
      <c r="G162" s="397"/>
      <c r="H162" s="51"/>
      <c r="M162" s="21" t="s">
        <v>660</v>
      </c>
      <c r="P162" s="328"/>
      <c r="Q162" s="328"/>
      <c r="AS162" s="5"/>
    </row>
    <row r="163" spans="1:55" ht="12.75" hidden="1" customHeight="1" x14ac:dyDescent="0.15">
      <c r="A163" s="259">
        <v>24</v>
      </c>
      <c r="B163" s="51" t="s">
        <v>574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>SUM($F$27:$F$32)</f>
        <v>0</v>
      </c>
      <c r="H163" s="103">
        <f>SUM($F$27:$F$32)+$J$51</f>
        <v>0</v>
      </c>
      <c r="I163" s="103">
        <f>SUM($F$27:$F$32)+$J$51+$J$60</f>
        <v>0</v>
      </c>
      <c r="J163" s="21">
        <f t="shared" ref="J163:J194" si="14">ROUNDDOWN(G163/365,0)</f>
        <v>0</v>
      </c>
      <c r="K163" s="21">
        <f t="shared" ref="K163:K194" si="15">ROUNDDOWN(H163/365,0)</f>
        <v>0</v>
      </c>
      <c r="L163" s="21">
        <f t="shared" ref="L163:L194" si="16">ROUNDDOWN(I163/365,0)</f>
        <v>0</v>
      </c>
      <c r="M163" s="21" t="s">
        <v>660</v>
      </c>
      <c r="P163" s="328"/>
      <c r="Q163" s="328"/>
      <c r="AS163" s="5"/>
    </row>
    <row r="164" spans="1:55" ht="12.75" hidden="1" customHeight="1" x14ac:dyDescent="0.15">
      <c r="A164" s="259">
        <v>25</v>
      </c>
      <c r="B164" s="51" t="s">
        <v>580</v>
      </c>
      <c r="C164" s="21" t="s">
        <v>527</v>
      </c>
      <c r="D164" s="104">
        <f>IF(ISERROR(HLOOKUP(J164,$Q$29:$AT$30,2)),0,HLOOKUP(J164,$Q$29:$AT$30,2))</f>
        <v>0</v>
      </c>
      <c r="E164" s="104">
        <f>IF(ISERROR(HLOOKUP(K164,$Q$29:$AT$30,2)),0,HLOOKUP(K164,$Q$29:$AT$30,2))</f>
        <v>0</v>
      </c>
      <c r="F164" s="104">
        <f>IF(ISERROR(HLOOKUP(L164,$Q$29:$AT$30,2)),0,HLOOKUP(L164,$Q$29:$AT$30,2))</f>
        <v>0</v>
      </c>
      <c r="G164" s="396">
        <f>SUM($F$30:$F$32)</f>
        <v>0</v>
      </c>
      <c r="H164" s="103">
        <f>SUM($F$30:$F$32)+$J$51</f>
        <v>0</v>
      </c>
      <c r="I164" s="103">
        <f>SUM($F$30:$F$32)+$J$51+$J$60</f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55" ht="12.75" hidden="1" customHeight="1" x14ac:dyDescent="0.15">
      <c r="A165" s="259">
        <v>26</v>
      </c>
      <c r="B165" s="51" t="s">
        <v>581</v>
      </c>
      <c r="C165" s="21" t="s">
        <v>547</v>
      </c>
      <c r="D165" s="104">
        <f>IF(ISERROR(HLOOKUP(J165,$Q$73:$W$74,2)),0,HLOOKUP(J165,$Q$73:$W$74,2))</f>
        <v>0</v>
      </c>
      <c r="E165" s="104">
        <f>IF(ISERROR(HLOOKUP(K165,$Q$73:$W$74,2)),0,HLOOKUP(K165,$Q$73:$W$74,2))</f>
        <v>0</v>
      </c>
      <c r="F165" s="104">
        <f>IF(ISERROR(HLOOKUP(L165,$Q$73:$W$74,2)),0,HLOOKUP(L165,$Q$73:$W$74,2))</f>
        <v>0</v>
      </c>
      <c r="G165" s="396">
        <f>SUM($F$27:$F$32)</f>
        <v>0</v>
      </c>
      <c r="H165" s="103">
        <f>SUM($F$27:$F$32)+$J$51</f>
        <v>0</v>
      </c>
      <c r="I165" s="103">
        <f>SUM($F$27:$F$32)+$J$51+$J$60</f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55" ht="12.75" hidden="1" customHeight="1" x14ac:dyDescent="0.15">
      <c r="A166" s="259" t="s">
        <v>582</v>
      </c>
      <c r="B166" s="51" t="s">
        <v>684</v>
      </c>
      <c r="C166" s="21" t="s">
        <v>547</v>
      </c>
      <c r="D166" s="104">
        <f>IF(ISERROR(HLOOKUP(J166,$Q$73:$V$74,2)),0,HLOOKUP(J166,$Q$73:$V$74,2))</f>
        <v>0</v>
      </c>
      <c r="E166" s="104">
        <f>IF(ISERROR(HLOOKUP(K166,$Q$73:$V$74,2)),0,HLOOKUP(K166,$Q$73:$V$74,2))</f>
        <v>0</v>
      </c>
      <c r="F166" s="104">
        <f>IF(ISERROR(HLOOKUP(L166,$Q$73:$V$74,2)),0,HLOOKUP(L166,$Q$73:$V$74,2))</f>
        <v>0</v>
      </c>
      <c r="G166" s="396">
        <f>SUM($F$27:$F$32)</f>
        <v>0</v>
      </c>
      <c r="H166" s="103">
        <f>SUM($F$27:$F$32)+$J$51</f>
        <v>0</v>
      </c>
      <c r="I166" s="103">
        <f>SUM($F$27:$F$32)+$J$51+$J$60</f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5"/>
    </row>
    <row r="167" spans="1:55" ht="12.75" hidden="1" customHeight="1" x14ac:dyDescent="0.15">
      <c r="A167" s="259">
        <v>27</v>
      </c>
      <c r="B167" s="51" t="s">
        <v>583</v>
      </c>
      <c r="C167" s="21" t="s">
        <v>613</v>
      </c>
      <c r="D167" s="104">
        <f>IF(ISERROR(HLOOKUP(J167,$Q$48:$Z$49,2)),0,HLOOKUP(J167,$Q$48:$Z$49,2))</f>
        <v>0</v>
      </c>
      <c r="E167" s="104">
        <f>IF(ISERROR(HLOOKUP(K167,$Q$48:$Z$49,2)),0,HLOOKUP(K167,$Q$48:$Z$49,2))</f>
        <v>0</v>
      </c>
      <c r="F167" s="104">
        <f>IF(ISERROR(HLOOKUP(L167,$Q$48:$Z$49,2)),0,HLOOKUP(L167,$Q$48:$Z$49,2))</f>
        <v>0</v>
      </c>
      <c r="G167" s="396">
        <f t="shared" ref="G167:G174" si="17">SUM($F$30:$F$32)</f>
        <v>0</v>
      </c>
      <c r="H167" s="103">
        <f t="shared" ref="H167:H174" si="18">SUM($F$30:$F$32)+$J$51</f>
        <v>0</v>
      </c>
      <c r="I167" s="103">
        <f t="shared" ref="I167:I174" si="19">SUM($F$30:$F$32)+$J$51+$J$60</f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5"/>
    </row>
    <row r="168" spans="1:55" ht="12.75" hidden="1" customHeight="1" x14ac:dyDescent="0.15">
      <c r="A168" s="259">
        <v>28</v>
      </c>
      <c r="B168" s="51" t="s">
        <v>584</v>
      </c>
      <c r="C168" s="21" t="s">
        <v>547</v>
      </c>
      <c r="D168" s="104">
        <f>IF(ISERROR(HLOOKUP(J168,$Q$73:$W$74,2)),0,HLOOKUP(J168,$Q$73:$W$74,2))</f>
        <v>0</v>
      </c>
      <c r="E168" s="104">
        <f>IF(ISERROR(HLOOKUP(K168,$Q$73:$W$74,2)),0,HLOOKUP(K168,$Q$73:$W$74,2))</f>
        <v>0</v>
      </c>
      <c r="F168" s="104">
        <f>IF(ISERROR(HLOOKUP(L168,$Q$73:$W$74,2)),0,HLOOKUP(L168,$Q$73:$W$74,2))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21" t="s">
        <v>660</v>
      </c>
      <c r="P168" s="328"/>
      <c r="Q168" s="328"/>
      <c r="AS168" s="5"/>
    </row>
    <row r="169" spans="1:55" ht="12.75" hidden="1" customHeight="1" x14ac:dyDescent="0.15">
      <c r="A169" s="259">
        <v>29</v>
      </c>
      <c r="B169" s="51" t="s">
        <v>585</v>
      </c>
      <c r="C169" s="21" t="s">
        <v>613</v>
      </c>
      <c r="D169" s="104">
        <f>IF(ISERROR(HLOOKUP(J169,$Q$48:$V$49,2)),0,HLOOKUP(J169,$Q$48:$V$49,2))</f>
        <v>0</v>
      </c>
      <c r="E169" s="104">
        <f>IF(ISERROR(HLOOKUP(K169,$Q$48:$V$49,2)),0,HLOOKUP(K169,$Q$48:$V$49,2))</f>
        <v>0</v>
      </c>
      <c r="F169" s="104">
        <f>IF(ISERROR(HLOOKUP(L169,$Q$48:$V$49,2)),0,HLOOKUP(L169,$Q$48:$V$49,2))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21" t="s">
        <v>660</v>
      </c>
      <c r="P169" s="328"/>
      <c r="Q169" s="328"/>
      <c r="AS169" s="5"/>
    </row>
    <row r="170" spans="1:55" ht="13.5" hidden="1" customHeight="1" x14ac:dyDescent="0.15">
      <c r="A170" s="259">
        <v>30</v>
      </c>
      <c r="B170" s="51" t="s">
        <v>586</v>
      </c>
      <c r="C170" s="21" t="s">
        <v>613</v>
      </c>
      <c r="D170" s="104">
        <f>IF(ISERROR(HLOOKUP(J170,$Q$48:$AA$49,2)),0,HLOOKUP(J170,$Q$48:$AA$49,2))</f>
        <v>0</v>
      </c>
      <c r="E170" s="104">
        <f>IF(ISERROR(HLOOKUP(K170,$Q$48:$AA$49,2)),0,HLOOKUP(K170,$Q$48:$AA$49,2))</f>
        <v>0</v>
      </c>
      <c r="F170" s="104">
        <f>IF(ISERROR(HLOOKUP(L170,$Q$48:$AA$49,2)),0,HLOOKUP(L170,$Q$48:$AA$49,2))</f>
        <v>0</v>
      </c>
      <c r="G170" s="396">
        <f t="shared" si="17"/>
        <v>0</v>
      </c>
      <c r="H170" s="103">
        <f t="shared" si="18"/>
        <v>0</v>
      </c>
      <c r="I170" s="103">
        <f t="shared" si="19"/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21" t="s">
        <v>660</v>
      </c>
      <c r="P170" s="328"/>
      <c r="Q170" s="328"/>
      <c r="AS170" s="5"/>
    </row>
    <row r="171" spans="1:55" ht="12.75" hidden="1" customHeight="1" x14ac:dyDescent="0.15">
      <c r="A171" s="259" t="s">
        <v>587</v>
      </c>
      <c r="B171" s="51" t="s">
        <v>685</v>
      </c>
      <c r="C171" s="21" t="s">
        <v>547</v>
      </c>
      <c r="D171" s="104">
        <f>IF(ISERROR(HLOOKUP(J171,$Q$73:$X$74,2)),0,HLOOKUP(J171,$Q$73:$X$74,2))</f>
        <v>0</v>
      </c>
      <c r="E171" s="104">
        <f>IF(ISERROR(HLOOKUP(K171,$Q$73:$X$74,2)),0,HLOOKUP(K171,$Q$73:$X$74,2))</f>
        <v>0</v>
      </c>
      <c r="F171" s="104">
        <f>IF(ISERROR(HLOOKUP(L171,$Q$73:$X$74,2)),0,HLOOKUP(L171,$Q$73:$X$74,2))</f>
        <v>0</v>
      </c>
      <c r="G171" s="396">
        <f t="shared" si="17"/>
        <v>0</v>
      </c>
      <c r="H171" s="103">
        <f t="shared" si="18"/>
        <v>0</v>
      </c>
      <c r="I171" s="103">
        <f t="shared" si="19"/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21" t="s">
        <v>660</v>
      </c>
      <c r="P171" s="328"/>
      <c r="Q171" s="328"/>
      <c r="AS171" s="116"/>
    </row>
    <row r="172" spans="1:55" ht="12.75" hidden="1" customHeight="1" x14ac:dyDescent="0.15">
      <c r="A172" s="259">
        <v>31</v>
      </c>
      <c r="B172" s="51" t="s">
        <v>588</v>
      </c>
      <c r="C172" s="21" t="s">
        <v>613</v>
      </c>
      <c r="D172" s="104">
        <f>IF(ISERROR(HLOOKUP(J172,$Q$42:$AG$43,2)),0,HLOOKUP(J172,$Q$42:$AG$43,2))</f>
        <v>0</v>
      </c>
      <c r="E172" s="104">
        <f>IF(ISERROR(HLOOKUP(K172,$Q$42:$AG$43,2)),0,HLOOKUP(K172,$Q$42:$AG$43,2))</f>
        <v>0</v>
      </c>
      <c r="F172" s="104">
        <f>IF(ISERROR(HLOOKUP(L172,$Q$42:$AG$43,2)),0,HLOOKUP(L172,$Q$42:$AG$43,2))</f>
        <v>0</v>
      </c>
      <c r="G172" s="396">
        <f t="shared" si="17"/>
        <v>0</v>
      </c>
      <c r="H172" s="103">
        <f t="shared" si="18"/>
        <v>0</v>
      </c>
      <c r="I172" s="103">
        <f t="shared" si="19"/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21" t="s">
        <v>660</v>
      </c>
      <c r="P172" s="328"/>
      <c r="Q172" s="328"/>
      <c r="AS172" s="69"/>
    </row>
    <row r="173" spans="1:55" ht="12.75" hidden="1" customHeight="1" x14ac:dyDescent="0.15">
      <c r="A173" s="259">
        <v>32</v>
      </c>
      <c r="B173" s="338" t="s">
        <v>617</v>
      </c>
      <c r="C173" s="21" t="s">
        <v>613</v>
      </c>
      <c r="D173" s="104">
        <f>IF(ISERROR(HLOOKUP(J173,$Q$42:$AA$43,2)),0,HLOOKUP(J173,$Q$42:$AA$43,2))</f>
        <v>0</v>
      </c>
      <c r="E173" s="104">
        <f>IF(ISERROR(HLOOKUP(K173,$Q$42:$AA$43,2)),0,HLOOKUP(K173,$Q$42:$AA$43,2))</f>
        <v>0</v>
      </c>
      <c r="F173" s="104">
        <f>IF(ISERROR(HLOOKUP(L173,$Q$42:$AA$43,2)),0,HLOOKUP(L173,$Q$42:$AA$43,2))</f>
        <v>0</v>
      </c>
      <c r="G173" s="396">
        <f t="shared" si="17"/>
        <v>0</v>
      </c>
      <c r="H173" s="103">
        <f t="shared" si="18"/>
        <v>0</v>
      </c>
      <c r="I173" s="103">
        <f t="shared" si="19"/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S173" s="69"/>
    </row>
    <row r="174" spans="1:55" ht="12.75" hidden="1" customHeight="1" x14ac:dyDescent="0.15">
      <c r="A174" s="259">
        <v>33</v>
      </c>
      <c r="B174" s="338" t="s">
        <v>618</v>
      </c>
      <c r="C174" s="21" t="s">
        <v>613</v>
      </c>
      <c r="D174" s="104">
        <f>IF(ISERROR(HLOOKUP(J174,$Q$39:$AA$40,2)),0,HLOOKUP(J174,$Q$39:$AA$40,2))</f>
        <v>0</v>
      </c>
      <c r="E174" s="104">
        <f>IF(ISERROR(HLOOKUP(K174,$Q$39:$AA$40,2)),0,HLOOKUP(K174,$Q$39:$AA$40,2))</f>
        <v>0</v>
      </c>
      <c r="F174" s="104">
        <f>IF(ISERROR(HLOOKUP(L174,$Q$39:$AA$40,2)),0,HLOOKUP(L174,$Q$39:$AA$40,2))</f>
        <v>0</v>
      </c>
      <c r="G174" s="396">
        <f t="shared" si="17"/>
        <v>0</v>
      </c>
      <c r="H174" s="103">
        <f t="shared" si="18"/>
        <v>0</v>
      </c>
      <c r="I174" s="103">
        <f t="shared" si="19"/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S174" s="69"/>
    </row>
    <row r="175" spans="1:55" ht="12.75" hidden="1" customHeight="1" x14ac:dyDescent="0.15">
      <c r="A175" s="259">
        <v>34</v>
      </c>
      <c r="B175" s="338" t="s">
        <v>619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</row>
    <row r="176" spans="1:55" ht="12.75" hidden="1" customHeight="1" x14ac:dyDescent="0.15">
      <c r="A176" s="259">
        <v>35</v>
      </c>
      <c r="B176" s="338" t="s">
        <v>620</v>
      </c>
      <c r="C176" s="21" t="s">
        <v>613</v>
      </c>
      <c r="D176" s="104">
        <f>IF(ISERROR(HLOOKUP(J176,$Q$39:$AB$40,2)),0,HLOOKUP(J176,$Q$39:$AB$40,2))</f>
        <v>0</v>
      </c>
      <c r="E176" s="104">
        <f>IF(ISERROR(HLOOKUP(K176,$Q$39:$AB$40,2)),0,HLOOKUP(K176,$Q$39:$AB$40,2))</f>
        <v>0</v>
      </c>
      <c r="F176" s="104">
        <f>IF(ISERROR(HLOOKUP(L176,$Q$39:$AB$40,2)),0,HLOOKUP(L176,$Q$39:$AB$40,2))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P176" s="44"/>
      <c r="Q176" s="44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</row>
    <row r="177" spans="1:45" ht="12.75" hidden="1" customHeight="1" x14ac:dyDescent="0.15">
      <c r="A177" s="259">
        <v>36</v>
      </c>
      <c r="B177" s="339" t="s">
        <v>621</v>
      </c>
      <c r="C177" s="21" t="s">
        <v>613</v>
      </c>
      <c r="D177" s="104">
        <f>IF(ISERROR(HLOOKUP(J177,$Q$39:$AA$40,2)),0,HLOOKUP(J177,$Q$39:$AA$40,2))</f>
        <v>0</v>
      </c>
      <c r="E177" s="104">
        <f>IF(ISERROR(HLOOKUP(K177,$Q$39:$AA$40,2)),0,HLOOKUP(K177,$Q$39:$AA$40,2))</f>
        <v>0</v>
      </c>
      <c r="F177" s="104">
        <f>IF(ISERROR(HLOOKUP(L177,$Q$39:$AA$40,2)),0,HLOOKUP(L177,$Q$39:$AA$40,2))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P177" s="44"/>
      <c r="Q177" s="44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</row>
    <row r="178" spans="1:45" ht="12.75" hidden="1" customHeight="1" x14ac:dyDescent="0.15">
      <c r="A178" s="259">
        <v>37</v>
      </c>
      <c r="B178" s="340" t="s">
        <v>622</v>
      </c>
      <c r="C178" s="21" t="s">
        <v>547</v>
      </c>
      <c r="D178" s="104">
        <f t="shared" ref="D178:F179" si="20">IF(ISERROR(HLOOKUP(J178,$Q$73:$AB$74,2)),0,HLOOKUP(J178,$Q$73:$AB$74,2))</f>
        <v>0</v>
      </c>
      <c r="E178" s="104">
        <f t="shared" si="20"/>
        <v>0</v>
      </c>
      <c r="F178" s="104">
        <f t="shared" si="20"/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  <c r="AH178" s="69"/>
      <c r="AI178" s="116"/>
      <c r="AJ178" s="116"/>
      <c r="AK178" s="116"/>
      <c r="AL178" s="69"/>
      <c r="AM178" s="69"/>
      <c r="AN178" s="69"/>
      <c r="AO178" s="69"/>
      <c r="AP178" s="69"/>
      <c r="AQ178" s="69"/>
      <c r="AR178" s="69"/>
      <c r="AS178" s="69"/>
    </row>
    <row r="179" spans="1:45" ht="12.75" hidden="1" customHeight="1" x14ac:dyDescent="0.15">
      <c r="A179" s="259">
        <v>38</v>
      </c>
      <c r="B179" s="340" t="s">
        <v>623</v>
      </c>
      <c r="C179" s="21" t="s">
        <v>547</v>
      </c>
      <c r="D179" s="104">
        <f t="shared" si="20"/>
        <v>0</v>
      </c>
      <c r="E179" s="104">
        <f t="shared" si="20"/>
        <v>0</v>
      </c>
      <c r="F179" s="104">
        <f t="shared" si="20"/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</row>
    <row r="180" spans="1:45" ht="12.75" hidden="1" customHeight="1" thickBot="1" x14ac:dyDescent="0.2">
      <c r="A180" s="259">
        <v>39</v>
      </c>
      <c r="B180" s="340" t="s">
        <v>624</v>
      </c>
      <c r="C180" s="21" t="s">
        <v>613</v>
      </c>
      <c r="D180" s="104">
        <f>IF(ISERROR(HLOOKUP(J180,$Q$48:$Y$49,2)),0,HLOOKUP(J180,$Q$48:$Y$49,2))</f>
        <v>0</v>
      </c>
      <c r="E180" s="104">
        <f>IF(ISERROR(HLOOKUP(K180,$Q$48:$Y$49,2)),0,HLOOKUP(K180,$Q$48:$Y$49,2))</f>
        <v>0</v>
      </c>
      <c r="F180" s="104">
        <f>IF(ISERROR(HLOOKUP(L180,$Q$48:$Y$49,2)),0,HLOOKUP(L180,$Q$48:$Y$49,2))</f>
        <v>0</v>
      </c>
      <c r="G180" s="396">
        <f>SUM($F$30:$F$32)</f>
        <v>0</v>
      </c>
      <c r="H180" s="103">
        <f>SUM($F$30:$F$32)+$J$51</f>
        <v>0</v>
      </c>
      <c r="I180" s="103">
        <f>SUM($F$30:$F$32)+$J$51+$J$60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45" ht="12.75" hidden="1" customHeight="1" x14ac:dyDescent="0.15">
      <c r="A181" s="259">
        <v>40</v>
      </c>
      <c r="B181" s="340" t="s">
        <v>625</v>
      </c>
      <c r="C181" s="21" t="s">
        <v>613</v>
      </c>
      <c r="D181" s="104">
        <f>IF(ISERROR(HLOOKUP(J181,$Q$48:$AA$49,2)),0,HLOOKUP(J181,$Q$48:$AA$49,2))</f>
        <v>0</v>
      </c>
      <c r="E181" s="104">
        <f>IF(ISERROR(HLOOKUP(K181,$Q$48:$AA$49,2)),0,HLOOKUP(K181,$Q$48:$AA$49,2))</f>
        <v>0</v>
      </c>
      <c r="F181" s="104">
        <f>IF(ISERROR(HLOOKUP(L181,$Q$48:$AA$49,2)),0,HLOOKUP(L181,$Q$48:$AA$49,2))</f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N181" s="341" t="s">
        <v>613</v>
      </c>
      <c r="O181" s="256">
        <f>IF(ISERROR(HLOOKUP(J182,$Q$63:$AA$64,2)),0,HLOOKUP(J182,$Q$63:$AA$64,2))</f>
        <v>0</v>
      </c>
      <c r="P181" s="144">
        <f>IF(ISERROR(HLOOKUP(K182,$Q$63:$AA$64,2)),0,HLOOKUP(K182,$Q$63:$AA$64,2))</f>
        <v>0</v>
      </c>
      <c r="Q181" s="144">
        <f>IF(ISERROR(HLOOKUP(L182,$Q$63:$AA$64,2)),0,HLOOKUP(L182,$Q$63:$AA$64,2))</f>
        <v>0</v>
      </c>
      <c r="R181" s="342" t="s">
        <v>695</v>
      </c>
    </row>
    <row r="182" spans="1:45" ht="12.75" hidden="1" customHeight="1" thickBot="1" x14ac:dyDescent="0.2">
      <c r="A182" s="259">
        <v>41</v>
      </c>
      <c r="B182" s="340" t="s">
        <v>626</v>
      </c>
      <c r="C182" s="21" t="str">
        <f>IF($N$8&gt;=$R$182,$P$20,$P$19)</f>
        <v>TRIÊNIO</v>
      </c>
      <c r="D182" s="343">
        <f>IF($C$182=$N$181,$O$181,$O$182)</f>
        <v>0</v>
      </c>
      <c r="E182" s="343">
        <f>IF($C$182=$N$181,$P$181,$P$182)</f>
        <v>0</v>
      </c>
      <c r="F182" s="343">
        <f>IF($C$182=$N$181,$Q$181,$Q$182)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N182" s="344" t="s">
        <v>547</v>
      </c>
      <c r="O182" s="257">
        <f>IF(ISERROR(HLOOKUP(J182,$Q$73:$W$74,2)),0,HLOOKUP(J182,$Q$73:$W$74,2))</f>
        <v>0</v>
      </c>
      <c r="P182" s="145">
        <f>IF(ISERROR(HLOOKUP(K182,$Q$73:$W$74,2)),0,HLOOKUP(K182,$Q$73:$W$74,2))</f>
        <v>0</v>
      </c>
      <c r="Q182" s="145">
        <f>IF(ISERROR(HLOOKUP(L182,$Q$73:$W$74,2)),0,HLOOKUP(L182,$Q$73:$W$74,2))</f>
        <v>0</v>
      </c>
      <c r="R182" s="398">
        <v>36539</v>
      </c>
      <c r="S182" s="103"/>
      <c r="T182" s="103"/>
    </row>
    <row r="183" spans="1:45" ht="12.75" hidden="1" customHeight="1" x14ac:dyDescent="0.15">
      <c r="A183" s="259">
        <v>42</v>
      </c>
      <c r="B183" s="340" t="s">
        <v>627</v>
      </c>
      <c r="C183" s="21"/>
      <c r="D183" s="54"/>
      <c r="E183" s="54"/>
      <c r="F183" s="54"/>
      <c r="G183" s="396">
        <f>SUM($F$27:$F$32)</f>
        <v>0</v>
      </c>
      <c r="H183" s="103">
        <f>SUM($F$27:$F$32)+$J$51</f>
        <v>0</v>
      </c>
      <c r="I183" s="103">
        <f>SUM($F$27:$F$32)+$J$51+$J$60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45" ht="12.75" hidden="1" customHeight="1" x14ac:dyDescent="0.15">
      <c r="A184" s="259">
        <v>43</v>
      </c>
      <c r="B184" s="340" t="s">
        <v>628</v>
      </c>
      <c r="C184" s="21" t="s">
        <v>527</v>
      </c>
      <c r="D184" s="104">
        <f>IF(ISERROR(HLOOKUP(J184,$Q$26:$AY$27,2)),0,HLOOKUP(J184,$Q$26:$AY$27,2))</f>
        <v>0</v>
      </c>
      <c r="E184" s="104">
        <f>IF(ISERROR(HLOOKUP(K184,$Q$26:$AY$27,2)),0,HLOOKUP(K184,$Q$26:$AY$27,2))</f>
        <v>0</v>
      </c>
      <c r="F184" s="104">
        <f>IF(ISERROR(HLOOKUP(L184,$Q$26:$AY$27,2)),0,HLOOKUP(L184,$Q$26:$AY$27,2))</f>
        <v>0</v>
      </c>
      <c r="G184" s="396">
        <f>SUM($F$27:$F$33)</f>
        <v>0</v>
      </c>
      <c r="H184" s="103">
        <f>SUM($F$27:$F$33)+$J$51</f>
        <v>0</v>
      </c>
      <c r="I184" s="103">
        <f>SUM($F$27:$F$33)+$J$51+$J$60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45" ht="12.75" hidden="1" customHeight="1" x14ac:dyDescent="0.15">
      <c r="A185" s="259">
        <v>44</v>
      </c>
      <c r="B185" s="340" t="s">
        <v>629</v>
      </c>
      <c r="C185" s="21" t="s">
        <v>547</v>
      </c>
      <c r="D185" s="104">
        <f t="shared" ref="D185:F186" si="21">IF(ISERROR(HLOOKUP(J185,$Q$73:$W$74,2)),0,HLOOKUP(J185,$Q$73:$W$74,2))</f>
        <v>0</v>
      </c>
      <c r="E185" s="104">
        <f t="shared" si="21"/>
        <v>0</v>
      </c>
      <c r="F185" s="104">
        <f t="shared" si="21"/>
        <v>0</v>
      </c>
      <c r="G185" s="396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45" ht="12.75" hidden="1" customHeight="1" x14ac:dyDescent="0.15">
      <c r="A186" s="259">
        <v>45</v>
      </c>
      <c r="B186" s="340" t="s">
        <v>630</v>
      </c>
      <c r="C186" s="21" t="s">
        <v>547</v>
      </c>
      <c r="D186" s="104">
        <f t="shared" si="21"/>
        <v>0</v>
      </c>
      <c r="E186" s="104">
        <f t="shared" si="21"/>
        <v>0</v>
      </c>
      <c r="F186" s="104">
        <f t="shared" si="21"/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45" ht="12.75" hidden="1" customHeight="1" x14ac:dyDescent="0.15">
      <c r="A187" s="259">
        <v>46</v>
      </c>
      <c r="B187" s="340" t="s">
        <v>631</v>
      </c>
      <c r="C187" s="21" t="s">
        <v>527</v>
      </c>
      <c r="D187" s="104">
        <f>IF(ISERROR(HLOOKUP(J187,$Q$26:$AY$27,2)),0,HLOOKUP(J187,$Q$26:$AY$27,2))</f>
        <v>0</v>
      </c>
      <c r="E187" s="104">
        <f>IF(ISERROR(HLOOKUP(K187,$Q$26:$AY$27,2)),0,HLOOKUP(K187,$Q$26:$AY$27,2))</f>
        <v>0</v>
      </c>
      <c r="F187" s="104">
        <f>IF(ISERROR(HLOOKUP(L187,$Q$26:$AY$27,2)),0,HLOOKUP(L187,$Q$26:$AY$27,2))</f>
        <v>0</v>
      </c>
      <c r="G187" s="396">
        <f>SUM($F$27:$F$32)</f>
        <v>0</v>
      </c>
      <c r="H187" s="103">
        <f>SUM($F$27:$F$32)+$J$51</f>
        <v>0</v>
      </c>
      <c r="I187" s="103">
        <f>SUM($F$27:$F$32)+$J$51+$J$60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45" ht="12.75" hidden="1" customHeight="1" x14ac:dyDescent="0.15">
      <c r="A188" s="259">
        <v>47</v>
      </c>
      <c r="B188" s="340" t="s">
        <v>632</v>
      </c>
      <c r="C188" s="21" t="s">
        <v>613</v>
      </c>
      <c r="D188" s="104">
        <f>IF(ISERROR(HLOOKUP(J188,$Q$48:$Z$49,2)),0,HLOOKUP(J188,$Q$48:$Z$49,2))</f>
        <v>0</v>
      </c>
      <c r="E188" s="104">
        <f>IF(ISERROR(HLOOKUP(K188,$Q$48:$Z$49,2)),0,HLOOKUP(K188,$Q$48:$Z$49,2))</f>
        <v>0</v>
      </c>
      <c r="F188" s="104">
        <f>IF(ISERROR(HLOOKUP(L188,$Q$48:$Z$49,2)),0,HLOOKUP(L188,$Q$48:$Z$49,2))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45" ht="12.75" hidden="1" customHeight="1" x14ac:dyDescent="0.15">
      <c r="A189" s="259">
        <v>48</v>
      </c>
      <c r="B189" s="340" t="s">
        <v>633</v>
      </c>
      <c r="C189" s="21" t="s">
        <v>613</v>
      </c>
      <c r="D189" s="104">
        <f>IF(ISERROR(HLOOKUP(J189,$Q$48:$AJ$49,2)),0,HLOOKUP(J189,$Q$48:$AJ$49,2))</f>
        <v>0</v>
      </c>
      <c r="E189" s="104">
        <f>IF(ISERROR(HLOOKUP(K189,$Q$48:$AJ$49,2)),0,HLOOKUP(K189,$Q$48:$AJ$49,2))</f>
        <v>0</v>
      </c>
      <c r="F189" s="104">
        <f>IF(ISERROR(HLOOKUP(L189,$Q$48:$AJ$49,2)),0,HLOOKUP(L189,$Q$48:$AJ$49,2))</f>
        <v>0</v>
      </c>
      <c r="G189" s="396">
        <f>SUM($F$30:$F$33)</f>
        <v>0</v>
      </c>
      <c r="H189" s="103">
        <f>SUM($F$30:$F$33)+$J$51</f>
        <v>0</v>
      </c>
      <c r="I189" s="103">
        <f>SUM($F$30:$F$33)+$J$51+$J$60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45" ht="12.75" hidden="1" customHeight="1" x14ac:dyDescent="0.15">
      <c r="A190" s="259">
        <v>49</v>
      </c>
      <c r="B190" s="340" t="s">
        <v>634</v>
      </c>
      <c r="C190" s="21" t="s">
        <v>613</v>
      </c>
      <c r="D190" s="104">
        <f>IF(ISERROR(HLOOKUP(J190,$Q$48:$Z$49,2)),0,HLOOKUP(J190,$Q$48:$Z$49,2))</f>
        <v>0</v>
      </c>
      <c r="E190" s="104">
        <f>IF(ISERROR(HLOOKUP(K190,$Q$48:$Z$49,2)),0,HLOOKUP(K190,$Q$48:$Z$49,2))</f>
        <v>0</v>
      </c>
      <c r="F190" s="104">
        <f>IF(ISERROR(HLOOKUP(L190,$Q$48:$Z$49,2)),0,HLOOKUP(L190,$Q$48:$Z$49,2))</f>
        <v>0</v>
      </c>
      <c r="G190" s="396">
        <f>SUM($F$30:$F$33)</f>
        <v>0</v>
      </c>
      <c r="H190" s="103">
        <f>SUM($F$30:$F$33)+$J$51</f>
        <v>0</v>
      </c>
      <c r="I190" s="103">
        <f>SUM($F$30:$F$33)+$J$51+$J$60</f>
        <v>0</v>
      </c>
      <c r="J190" s="21">
        <f t="shared" si="14"/>
        <v>0</v>
      </c>
      <c r="K190" s="21">
        <f t="shared" si="15"/>
        <v>0</v>
      </c>
      <c r="L190" s="21">
        <f t="shared" si="16"/>
        <v>0</v>
      </c>
      <c r="M190" s="78" t="s">
        <v>661</v>
      </c>
      <c r="P190" s="44"/>
      <c r="Q190" s="44"/>
    </row>
    <row r="191" spans="1:45" ht="12.75" hidden="1" customHeight="1" x14ac:dyDescent="0.15">
      <c r="A191" s="259">
        <v>50</v>
      </c>
      <c r="B191" s="340" t="s">
        <v>635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14"/>
        <v>0</v>
      </c>
      <c r="K191" s="21">
        <f t="shared" si="15"/>
        <v>0</v>
      </c>
      <c r="L191" s="21">
        <f t="shared" si="16"/>
        <v>0</v>
      </c>
      <c r="M191" s="78" t="s">
        <v>661</v>
      </c>
      <c r="P191" s="44"/>
      <c r="Q191" s="44"/>
    </row>
    <row r="192" spans="1:45" ht="12.75" hidden="1" customHeight="1" x14ac:dyDescent="0.15">
      <c r="A192" s="259">
        <v>51</v>
      </c>
      <c r="B192" s="340" t="s">
        <v>636</v>
      </c>
      <c r="C192" s="21" t="s">
        <v>613</v>
      </c>
      <c r="D192" s="104">
        <f>IF(ISERROR(HLOOKUP(J192,$Q$39:$AA$40,2)),0,HLOOKUP(J192,$Q$39:$AA$40,2))</f>
        <v>0</v>
      </c>
      <c r="E192" s="104">
        <f>IF(ISERROR(HLOOKUP(K192,$Q$39:$AA$40,2)),0,HLOOKUP(K192,$Q$39:$AA$40,2))</f>
        <v>0</v>
      </c>
      <c r="F192" s="104">
        <f>IF(ISERROR(HLOOKUP(L192,$Q$39:$AA$40,2)),0,HLOOKUP(L192,$Q$39:$AA$40,2))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14"/>
        <v>0</v>
      </c>
      <c r="K192" s="21">
        <f t="shared" si="15"/>
        <v>0</v>
      </c>
      <c r="L192" s="21">
        <f t="shared" si="16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52</v>
      </c>
      <c r="B193" s="340" t="s">
        <v>637</v>
      </c>
      <c r="C193" s="21" t="s">
        <v>613</v>
      </c>
      <c r="D193" s="104">
        <f>IF(ISERROR(HLOOKUP(J193,$Q$66:$X$67,2)),0,HLOOKUP(J193,$Q$66:$X$67,2))</f>
        <v>0</v>
      </c>
      <c r="E193" s="104">
        <f>IF(ISERROR(HLOOKUP(K193,$Q$66:$X$67,2)),0,HLOOKUP(K193,$Q$66:$X$67,2))</f>
        <v>0</v>
      </c>
      <c r="F193" s="104">
        <f>IF(ISERROR(HLOOKUP(L193,$Q$66:$X$67,2)),0,HLOOKUP(L193,$Q$66:$X$67,2))</f>
        <v>0</v>
      </c>
      <c r="G193" s="396">
        <f>SUM($F$27:$F$32)</f>
        <v>0</v>
      </c>
      <c r="H193" s="103">
        <f>SUM($F$27:$F$32)+$J$51</f>
        <v>0</v>
      </c>
      <c r="I193" s="103">
        <f>SUM($F$27:$F$32)+$J$51+$J$60</f>
        <v>0</v>
      </c>
      <c r="J193" s="21">
        <f t="shared" si="14"/>
        <v>0</v>
      </c>
      <c r="K193" s="21">
        <f t="shared" si="15"/>
        <v>0</v>
      </c>
      <c r="L193" s="21">
        <f t="shared" si="16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53</v>
      </c>
      <c r="B194" s="340" t="s">
        <v>638</v>
      </c>
      <c r="C194" s="21" t="s">
        <v>613</v>
      </c>
      <c r="D194" s="104">
        <f>IF(ISERROR(HLOOKUP(J194,$Q$48:$AA$49,2)),0,HLOOKUP(J194,$Q$48:$AA$49,2))</f>
        <v>0</v>
      </c>
      <c r="E194" s="104">
        <f>IF(ISERROR(HLOOKUP(K194,$Q$48:$AA$49,2)),0,HLOOKUP(K194,$Q$48:$AA$49,2))</f>
        <v>0</v>
      </c>
      <c r="F194" s="104">
        <f>IF(ISERROR(HLOOKUP(L194,$Q$48:$AA$49,2)),0,HLOOKUP(L194,$Q$48:$AA$49,2))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14"/>
        <v>0</v>
      </c>
      <c r="K194" s="21">
        <f t="shared" si="15"/>
        <v>0</v>
      </c>
      <c r="L194" s="21">
        <f t="shared" si="16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54</v>
      </c>
      <c r="B195" s="340" t="s">
        <v>639</v>
      </c>
      <c r="C195" s="21" t="s">
        <v>613</v>
      </c>
      <c r="D195" s="104">
        <f>IF(ISERROR(HLOOKUP(J195,$Q$39:$AA$40,2)),0,HLOOKUP(J195,$Q$39:$AA$40,2))</f>
        <v>0</v>
      </c>
      <c r="E195" s="104">
        <f>IF(ISERROR(HLOOKUP(K195,$Q$39:$AA$40,2)),0,HLOOKUP(K195,$Q$39:$AA$40,2))</f>
        <v>0</v>
      </c>
      <c r="F195" s="104">
        <f>IF(ISERROR(HLOOKUP(L195,$Q$39:$AA$40,2)),0,HLOOKUP(L195,$Q$39:$AA$40,2))</f>
        <v>0</v>
      </c>
      <c r="G195" s="396">
        <f>SUM($F$27:$F$32)</f>
        <v>0</v>
      </c>
      <c r="H195" s="103">
        <f>SUM($F$27:$F$32)+$J$51</f>
        <v>0</v>
      </c>
      <c r="I195" s="103">
        <f>SUM($F$27:$F$32)+$J$51+$J$60</f>
        <v>0</v>
      </c>
      <c r="J195" s="21">
        <f t="shared" ref="J195:J226" si="22">ROUNDDOWN(G195/365,0)</f>
        <v>0</v>
      </c>
      <c r="K195" s="21">
        <f t="shared" ref="K195:K226" si="23">ROUNDDOWN(H195/365,0)</f>
        <v>0</v>
      </c>
      <c r="L195" s="21">
        <f t="shared" ref="L195:L226" si="24">ROUNDDOWN(I195/365,0)</f>
        <v>0</v>
      </c>
      <c r="M195" s="78" t="s">
        <v>661</v>
      </c>
      <c r="P195" s="44"/>
      <c r="Q195" s="44"/>
    </row>
    <row r="196" spans="1:33" ht="12.75" hidden="1" customHeight="1" x14ac:dyDescent="0.15">
      <c r="A196" s="259">
        <v>55</v>
      </c>
      <c r="B196" s="340" t="s">
        <v>640</v>
      </c>
      <c r="C196" s="21" t="s">
        <v>613</v>
      </c>
      <c r="D196" s="104">
        <f>IF(ISERROR(HLOOKUP(J196,$Q$60:$AA$61,2)),0,HLOOKUP(J196,$Q$60:$AA$61,2))</f>
        <v>0</v>
      </c>
      <c r="E196" s="104">
        <f>IF(ISERROR(HLOOKUP(K196,$Q$60:$AA$61,2)),0,HLOOKUP(K196,$Q$60:$AA$61,2))</f>
        <v>0</v>
      </c>
      <c r="F196" s="104">
        <f>IF(ISERROR(HLOOKUP(L196,$Q$60:$AA$61,2)),0,HLOOKUP(L196,$Q$60:$AA$61,2))</f>
        <v>0</v>
      </c>
      <c r="G196" s="396">
        <f>SUM($F$30:$F$32)</f>
        <v>0</v>
      </c>
      <c r="H196" s="103">
        <f>SUM($F$30:$F$32)+$J$51</f>
        <v>0</v>
      </c>
      <c r="I196" s="103">
        <f>SUM($F$30:$F$32)+$J$51+$J$60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</row>
    <row r="197" spans="1:33" ht="12.75" hidden="1" customHeight="1" x14ac:dyDescent="0.15">
      <c r="A197" s="259">
        <v>56</v>
      </c>
      <c r="B197" s="340" t="s">
        <v>683</v>
      </c>
      <c r="C197" s="21" t="s">
        <v>547</v>
      </c>
      <c r="D197" s="104">
        <f>IF(ISERROR(HLOOKUP(J197,$Q$80:$W$81,2)),0,HLOOKUP(J197,$Q$80:$W$81,2))</f>
        <v>0</v>
      </c>
      <c r="E197" s="104">
        <f>IF(ISERROR(HLOOKUP(K197,$Q$80:$W$81,2)),0,HLOOKUP(K197,$Q$80:$W$81,2))</f>
        <v>0</v>
      </c>
      <c r="F197" s="104">
        <f>IF(ISERROR(HLOOKUP(L197,$Q$80:$W$81,2)),0,HLOOKUP(L197,$Q$80:$W$81,2))</f>
        <v>0</v>
      </c>
      <c r="G197" s="396">
        <f>SUM($F$30:$F$32)</f>
        <v>0</v>
      </c>
      <c r="H197" s="103">
        <f>SUM($F$30:$F$32)+$J$51</f>
        <v>0</v>
      </c>
      <c r="I197" s="103">
        <f>SUM($F$30:$F$32)+$J$51+$J$60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</row>
    <row r="198" spans="1:33" ht="12.75" hidden="1" customHeight="1" x14ac:dyDescent="0.15">
      <c r="A198" s="259">
        <v>57</v>
      </c>
      <c r="B198" s="340" t="s">
        <v>699</v>
      </c>
      <c r="C198" s="21" t="s">
        <v>613</v>
      </c>
      <c r="D198" s="104">
        <f>IF(ISERROR(HLOOKUP(J198,$Q$48:$AA$49,2)),0,HLOOKUP(J198,$Q$48:$AA$49,2))</f>
        <v>0</v>
      </c>
      <c r="E198" s="104">
        <f>IF(ISERROR(HLOOKUP(K198,$Q$48:$AA$49,2)),0,HLOOKUP(K198,$Q$48:$AA$49,2))</f>
        <v>0</v>
      </c>
      <c r="F198" s="104">
        <f>IF(ISERROR(HLOOKUP(L198,$Q$48:$AA$49,2)),0,HLOOKUP(L198,$Q$48:$AA$49,2))</f>
        <v>0</v>
      </c>
      <c r="G198" s="396">
        <f>SUM($F$30:$F$32)</f>
        <v>0</v>
      </c>
      <c r="H198" s="103">
        <f>SUM($F$30:$F$32)+$J$51</f>
        <v>0</v>
      </c>
      <c r="I198" s="103">
        <f>SUM($F$30:$F$32)+$J$51+$J$60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78" t="s">
        <v>661</v>
      </c>
      <c r="P198" s="44"/>
      <c r="Q198" s="44"/>
    </row>
    <row r="199" spans="1:33" ht="12.75" hidden="1" customHeight="1" x14ac:dyDescent="0.15">
      <c r="A199" s="259">
        <v>58</v>
      </c>
      <c r="B199" s="340" t="s">
        <v>641</v>
      </c>
      <c r="C199" s="21" t="s">
        <v>613</v>
      </c>
      <c r="D199" s="104">
        <f>IF(ISERROR(HLOOKUP(J199,$Q$69:$AC$70,2)),0,HLOOKUP(J199,$Q$69:$AC$70,2))</f>
        <v>0</v>
      </c>
      <c r="E199" s="104">
        <f>IF(ISERROR(HLOOKUP(K199,$Q$69:$AC$70,2)),0,HLOOKUP(K199,$Q$69:$AC$70,2))</f>
        <v>0</v>
      </c>
      <c r="F199" s="104">
        <f>IF(ISERROR(HLOOKUP(L199,$Q$69:$AC$70,2)),0,HLOOKUP(L199,$Q$69:$AC$70,2))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78" t="s">
        <v>661</v>
      </c>
      <c r="P199" s="44"/>
      <c r="Q199" s="44"/>
    </row>
    <row r="200" spans="1:33" ht="12.75" hidden="1" customHeight="1" x14ac:dyDescent="0.15">
      <c r="A200" s="259">
        <v>59</v>
      </c>
      <c r="B200" s="340" t="s">
        <v>642</v>
      </c>
      <c r="C200" s="21" t="s">
        <v>613</v>
      </c>
      <c r="D200" s="104">
        <f>IF(ISERROR(HLOOKUP(J200,$Q$39:$AB$40,2)),0,HLOOKUP(J200,$Q$39:$AB$40,2))</f>
        <v>0</v>
      </c>
      <c r="E200" s="104">
        <f>IF(ISERROR(HLOOKUP(K200,$Q$39:$AB$40,2)),0,HLOOKUP(K200,$Q$39:$AB$40,2))</f>
        <v>0</v>
      </c>
      <c r="F200" s="104">
        <f>IF(ISERROR(HLOOKUP(L200,$Q$39:$AB$40,2)),0,HLOOKUP(L200,$Q$39:$AB$40,2))</f>
        <v>0</v>
      </c>
      <c r="G200" s="396">
        <f>SUM($F$27:$F$33)</f>
        <v>0</v>
      </c>
      <c r="H200" s="103">
        <f>SUM($F$27:$F$33)+$J$51</f>
        <v>0</v>
      </c>
      <c r="I200" s="103">
        <f>SUM($F$27:$F$33)+$J$51+$J$60</f>
        <v>0</v>
      </c>
      <c r="J200" s="21">
        <f t="shared" si="22"/>
        <v>0</v>
      </c>
      <c r="K200" s="21">
        <f t="shared" si="23"/>
        <v>0</v>
      </c>
      <c r="L200" s="21">
        <f t="shared" si="24"/>
        <v>0</v>
      </c>
      <c r="M200" s="78" t="s">
        <v>661</v>
      </c>
      <c r="P200" s="44"/>
      <c r="Q200" s="44"/>
      <c r="AC200" s="69"/>
      <c r="AD200" s="69"/>
      <c r="AE200" s="69"/>
      <c r="AF200" s="69"/>
      <c r="AG200" s="69"/>
    </row>
    <row r="201" spans="1:33" ht="12.75" hidden="1" customHeight="1" x14ac:dyDescent="0.15">
      <c r="A201" s="259">
        <v>60</v>
      </c>
      <c r="B201" s="340" t="s">
        <v>643</v>
      </c>
      <c r="C201" s="21" t="s">
        <v>547</v>
      </c>
      <c r="D201" s="104">
        <f>IF(ISERROR(HLOOKUP(J201,$Q$80:$W$81,2)),0,HLOOKUP(J201,$Q$80:$W$81,2))</f>
        <v>0</v>
      </c>
      <c r="E201" s="104">
        <f>IF(ISERROR(HLOOKUP(K201,$Q$80:$W$81,2)),0,HLOOKUP(K201,$Q$80:$W$81,2))</f>
        <v>0</v>
      </c>
      <c r="F201" s="104">
        <f>IF(ISERROR(HLOOKUP(L201,$Q$80:$W$81,2)),0,HLOOKUP(L201,$Q$80:$W$81,2))</f>
        <v>0</v>
      </c>
      <c r="G201" s="396">
        <f>SUM($F$30:$F$33)</f>
        <v>0</v>
      </c>
      <c r="H201" s="103">
        <f>SUM($F$30:$F$33)+$J$51</f>
        <v>0</v>
      </c>
      <c r="I201" s="103">
        <f>SUM($F$30:$F$33)+$J$51+$J$60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78" t="s">
        <v>661</v>
      </c>
      <c r="P201" s="44"/>
      <c r="Q201" s="44"/>
      <c r="AC201" s="69"/>
      <c r="AD201" s="69"/>
      <c r="AE201" s="69"/>
      <c r="AF201" s="69"/>
      <c r="AG201" s="69"/>
    </row>
    <row r="202" spans="1:33" ht="12.75" hidden="1" customHeight="1" x14ac:dyDescent="0.15">
      <c r="A202" s="259">
        <v>61</v>
      </c>
      <c r="B202" s="340" t="s">
        <v>644</v>
      </c>
      <c r="C202" s="21" t="s">
        <v>613</v>
      </c>
      <c r="D202" s="104">
        <f>IF(ISERROR(HLOOKUP(J202,$Q$39:$AA$40,2)),0,HLOOKUP(J202,$Q$39:$AA$40,2))</f>
        <v>0</v>
      </c>
      <c r="E202" s="104">
        <f>IF(ISERROR(HLOOKUP(K202,$Q$39:$AA$40,2)),0,HLOOKUP(K202,$Q$39:$AA$40,2))</f>
        <v>0</v>
      </c>
      <c r="F202" s="104">
        <f>IF(ISERROR(HLOOKUP(L202,$Q$39:$AA$40,2)),0,HLOOKUP(L202,$Q$39:$AA$40,2))</f>
        <v>0</v>
      </c>
      <c r="G202" s="396">
        <f>SUM($F$27:$F$33)</f>
        <v>0</v>
      </c>
      <c r="H202" s="103">
        <f>SUM($F$27:$F$33)+$J$51</f>
        <v>0</v>
      </c>
      <c r="I202" s="103">
        <f>SUM($F$27:$F$33)+$J$51+$J$60</f>
        <v>0</v>
      </c>
      <c r="J202" s="21">
        <f t="shared" si="22"/>
        <v>0</v>
      </c>
      <c r="K202" s="21">
        <f t="shared" si="23"/>
        <v>0</v>
      </c>
      <c r="L202" s="21">
        <f t="shared" si="24"/>
        <v>0</v>
      </c>
      <c r="M202" s="78" t="s">
        <v>661</v>
      </c>
      <c r="P202" s="44"/>
      <c r="Q202" s="44"/>
      <c r="AC202" s="69"/>
      <c r="AD202" s="69"/>
      <c r="AE202" s="69"/>
      <c r="AF202" s="69"/>
      <c r="AG202" s="69"/>
    </row>
    <row r="203" spans="1:33" ht="12.75" hidden="1" customHeight="1" x14ac:dyDescent="0.15">
      <c r="A203" s="259">
        <v>62</v>
      </c>
      <c r="B203" s="345" t="s">
        <v>645</v>
      </c>
      <c r="C203" s="21" t="s">
        <v>527</v>
      </c>
      <c r="D203" s="104">
        <f>IF(ISERROR(HLOOKUP(J203,$Q$26:$AY$27,2)),0,HLOOKUP(J203,$Q$26:$AY$27,2))</f>
        <v>0</v>
      </c>
      <c r="E203" s="104">
        <f>IF(ISERROR(HLOOKUP(K203,$Q$26:$AY$27,2)),0,HLOOKUP(K203,$Q$26:$AY$27,2))</f>
        <v>0</v>
      </c>
      <c r="F203" s="104">
        <f>IF(ISERROR(HLOOKUP(L203,$Q$26:$AY$27,2)),0,HLOOKUP(L203,$Q$26:$AY$27,2))</f>
        <v>0</v>
      </c>
      <c r="G203" s="396">
        <f>SUM($F$30:$F$32)</f>
        <v>0</v>
      </c>
      <c r="H203" s="103">
        <f>SUM($F$27:$F$32)+$J$51</f>
        <v>0</v>
      </c>
      <c r="I203" s="103">
        <f>SUM($F$27:$F$32)+$J$51+$J$60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69"/>
    </row>
    <row r="204" spans="1:33" ht="12.75" hidden="1" customHeight="1" x14ac:dyDescent="0.15">
      <c r="A204" s="259">
        <v>63</v>
      </c>
      <c r="B204" s="345" t="s">
        <v>646</v>
      </c>
      <c r="C204" s="21"/>
      <c r="D204" s="54"/>
      <c r="E204" s="54"/>
      <c r="F204" s="54"/>
      <c r="G204" s="54"/>
      <c r="H204" s="54"/>
      <c r="I204" s="347"/>
      <c r="J204" s="21">
        <f t="shared" si="22"/>
        <v>0</v>
      </c>
      <c r="K204" s="21">
        <f t="shared" si="23"/>
        <v>0</v>
      </c>
      <c r="L204" s="21">
        <f t="shared" si="24"/>
        <v>0</v>
      </c>
      <c r="M204" s="346" t="s">
        <v>662</v>
      </c>
      <c r="P204" s="44"/>
      <c r="Q204" s="44"/>
      <c r="AC204" s="69"/>
      <c r="AD204" s="69"/>
      <c r="AE204" s="69"/>
      <c r="AF204" s="69"/>
      <c r="AG204" s="348"/>
    </row>
    <row r="205" spans="1:33" s="308" customFormat="1" ht="12.75" hidden="1" customHeight="1" x14ac:dyDescent="0.15">
      <c r="A205" s="304">
        <v>64</v>
      </c>
      <c r="B205" s="349" t="s">
        <v>647</v>
      </c>
      <c r="C205" s="308" t="s">
        <v>613</v>
      </c>
      <c r="D205" s="305">
        <f>IF(ISERROR(HLOOKUP(J205,$Q$48:$AB$49,2)),0,HLOOKUP(J205,$Q$48:$AB$49,2))</f>
        <v>0</v>
      </c>
      <c r="E205" s="305">
        <f>IF(ISERROR(HLOOKUP(K205,$Q$48:$AB$49,2)),0,HLOOKUP(K205,$Q$48:$AB$49,2))</f>
        <v>0</v>
      </c>
      <c r="F205" s="305">
        <f>IF(ISERROR(HLOOKUP(L205,$Q$48:$AB$49,2)),0,HLOOKUP(L205,$Q$48:$AB$49,2))</f>
        <v>0</v>
      </c>
      <c r="G205" s="350">
        <f>SUM($F$30:$F$33)+$O$205</f>
        <v>0</v>
      </c>
      <c r="H205" s="350">
        <f>$G$205+$J$51</f>
        <v>0</v>
      </c>
      <c r="I205" s="350">
        <f>$G$205+$J$51+$J$60</f>
        <v>0</v>
      </c>
      <c r="J205" s="351">
        <f t="shared" si="22"/>
        <v>0</v>
      </c>
      <c r="K205" s="351">
        <f t="shared" si="23"/>
        <v>0</v>
      </c>
      <c r="L205" s="351">
        <f t="shared" si="24"/>
        <v>0</v>
      </c>
      <c r="M205" s="352" t="s">
        <v>662</v>
      </c>
      <c r="N205" s="310">
        <f>SUM($F$27:$F$29)</f>
        <v>0</v>
      </c>
      <c r="O205" s="309">
        <f>IF($N$205&gt;365,365,$N$205)</f>
        <v>0</v>
      </c>
      <c r="P205" s="353"/>
      <c r="Q205" s="353"/>
      <c r="AC205" s="354"/>
      <c r="AD205" s="354"/>
      <c r="AE205" s="354"/>
      <c r="AF205" s="354"/>
      <c r="AG205" s="354"/>
    </row>
    <row r="206" spans="1:33" ht="12.75" hidden="1" customHeight="1" x14ac:dyDescent="0.15">
      <c r="A206" s="259">
        <v>65</v>
      </c>
      <c r="B206" s="345" t="s">
        <v>648</v>
      </c>
      <c r="C206" s="21" t="s">
        <v>547</v>
      </c>
      <c r="D206" s="104">
        <f>IF(ISERROR(HLOOKUP(J206,$Q$73:$AB$74,2)),0,HLOOKUP(J206,$Q$73:$AB$74,2))</f>
        <v>0</v>
      </c>
      <c r="E206" s="105">
        <f>IF(ISERROR(HLOOKUP(K206,$Q$73:$AB$74,2)),0,HLOOKUP(K206,$Q$73:$AB$74,2))</f>
        <v>0</v>
      </c>
      <c r="F206" s="106">
        <f>IF(ISERROR(HLOOKUP(L206,$Q$73:$AB$74,2)),0,HLOOKUP(L206,$Q$73:$AB$74,2))</f>
        <v>0</v>
      </c>
      <c r="G206" s="355">
        <f>SUM($F$27:$F$32)</f>
        <v>0</v>
      </c>
      <c r="H206" s="355">
        <f>SUM($F$27:$F$32)+$J$51</f>
        <v>0</v>
      </c>
      <c r="I206" s="355">
        <f>SUM($F$27:$F$32)+$J$51+$J$60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  <c r="AC206" s="69"/>
      <c r="AD206" s="69"/>
      <c r="AE206" s="69"/>
      <c r="AF206" s="69"/>
      <c r="AG206" s="348"/>
    </row>
    <row r="207" spans="1:33" ht="12.75" hidden="1" customHeight="1" x14ac:dyDescent="0.15">
      <c r="A207" s="259">
        <v>66</v>
      </c>
      <c r="B207" s="345" t="s">
        <v>649</v>
      </c>
      <c r="C207" s="21" t="s">
        <v>613</v>
      </c>
      <c r="D207" s="104">
        <f>IF(ISERROR(HLOOKUP(J207,$Q$39:$Z$40,2)),0,HLOOKUP(J207,$Q$39:$Z$40,2))</f>
        <v>0</v>
      </c>
      <c r="E207" s="104">
        <f>IF(ISERROR(HLOOKUP(K207,$Q$39:$Z$40,2)),0,HLOOKUP(K207,$Q$39:$Z$40,2))</f>
        <v>0</v>
      </c>
      <c r="F207" s="104">
        <f>IF(ISERROR(HLOOKUP(L207,$Q$39:$Z$40,2)),0,HLOOKUP(L207,$Q$39:$Z$40,2))</f>
        <v>0</v>
      </c>
      <c r="G207" s="355">
        <f>SUM($F$30:$F$32)</f>
        <v>0</v>
      </c>
      <c r="H207" s="355">
        <f>SUM($F$30:$F$32)+$J$51</f>
        <v>0</v>
      </c>
      <c r="I207" s="355">
        <f>SUM($F$30:$F$32)+$J$51+$J$60</f>
        <v>0</v>
      </c>
      <c r="J207" s="356">
        <f t="shared" si="22"/>
        <v>0</v>
      </c>
      <c r="K207" s="356">
        <f t="shared" si="23"/>
        <v>0</v>
      </c>
      <c r="L207" s="356">
        <f t="shared" si="24"/>
        <v>0</v>
      </c>
      <c r="M207" s="346" t="s">
        <v>662</v>
      </c>
      <c r="P207" s="44"/>
      <c r="Q207" s="44"/>
      <c r="AC207" s="69"/>
      <c r="AD207" s="69"/>
      <c r="AE207" s="69"/>
      <c r="AF207" s="69"/>
      <c r="AG207" s="348"/>
    </row>
    <row r="208" spans="1:33" ht="12.75" hidden="1" customHeight="1" x14ac:dyDescent="0.15">
      <c r="A208" s="259">
        <v>67</v>
      </c>
      <c r="B208" s="345" t="s">
        <v>650</v>
      </c>
      <c r="C208" s="21" t="s">
        <v>613</v>
      </c>
      <c r="D208" s="104">
        <f>IF(ISERROR(HLOOKUP(J208,$Q$51:$Y$52,2)),0,HLOOKUP(J208,$Q$51:$Y$52,2))</f>
        <v>0</v>
      </c>
      <c r="E208" s="104">
        <f>IF(ISERROR(HLOOKUP(K208,$Q$51:$Y$52,2)),0,HLOOKUP(K208,$Q$51:$Y$52,2))</f>
        <v>0</v>
      </c>
      <c r="F208" s="104">
        <f>IF(ISERROR(HLOOKUP(L208,$Q$51:$Y$52,2)),0,HLOOKUP(L208,$Q$51:$Y$52,2))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  <c r="AC208" s="69"/>
      <c r="AD208" s="69"/>
      <c r="AE208" s="69"/>
      <c r="AF208" s="69"/>
      <c r="AG208" s="348"/>
    </row>
    <row r="209" spans="1:33" s="308" customFormat="1" ht="12.75" hidden="1" customHeight="1" x14ac:dyDescent="0.15">
      <c r="A209" s="304">
        <v>68</v>
      </c>
      <c r="B209" s="349" t="s">
        <v>651</v>
      </c>
      <c r="C209" s="308" t="s">
        <v>547</v>
      </c>
      <c r="D209" s="305">
        <f>IF(ISERROR(HLOOKUP(J209,$Q$73:$W$74,2)),0,HLOOKUP(J209,$Q$73:$W$74,2))</f>
        <v>0</v>
      </c>
      <c r="E209" s="305">
        <f>IF(ISERROR(HLOOKUP(K209,$Q$73:$W$74,2)),0,HLOOKUP(K209,$Q$73:$W$74,2))</f>
        <v>0</v>
      </c>
      <c r="F209" s="305">
        <f>IF(ISERROR(HLOOKUP(L209,$Q$73:$W$74,2)),0,HLOOKUP(L209,$Q$73:$W$74,2))</f>
        <v>0</v>
      </c>
      <c r="G209" s="350">
        <f>$N$209</f>
        <v>0</v>
      </c>
      <c r="H209" s="350">
        <f>$G$209+$J$51</f>
        <v>0</v>
      </c>
      <c r="I209" s="350">
        <f>$G$209+$J$51+$J$60</f>
        <v>0</v>
      </c>
      <c r="J209" s="308">
        <f t="shared" si="22"/>
        <v>0</v>
      </c>
      <c r="K209" s="308">
        <f t="shared" si="23"/>
        <v>0</v>
      </c>
      <c r="L209" s="308">
        <f t="shared" si="24"/>
        <v>0</v>
      </c>
      <c r="M209" s="352" t="s">
        <v>662</v>
      </c>
      <c r="N209" s="310">
        <f>SUM(F30:F32)</f>
        <v>0</v>
      </c>
      <c r="O209" s="309"/>
      <c r="P209" s="353"/>
      <c r="Q209" s="353"/>
      <c r="AC209" s="354"/>
      <c r="AD209" s="354"/>
      <c r="AE209" s="354"/>
      <c r="AF209" s="354"/>
      <c r="AG209" s="354"/>
    </row>
    <row r="210" spans="1:33" ht="12.75" hidden="1" customHeight="1" x14ac:dyDescent="0.15">
      <c r="A210" s="259">
        <v>69</v>
      </c>
      <c r="B210" s="345" t="s">
        <v>652</v>
      </c>
      <c r="C210" s="21" t="s">
        <v>613</v>
      </c>
      <c r="D210" s="104">
        <f>IF(ISERROR(HLOOKUP(J210,$Q$39:$Z$40,2)),0,HLOOKUP(J210,$Q$39:$Z$40,2))</f>
        <v>0</v>
      </c>
      <c r="E210" s="104">
        <f>IF(ISERROR(HLOOKUP(K210,$Q$39:$Z$40,2)),0,HLOOKUP(K210,$Q$39:$Z$40,2))</f>
        <v>0</v>
      </c>
      <c r="F210" s="104">
        <f>IF(ISERROR(HLOOKUP(L210,$Q$39:$Z$40,2)),0,HLOOKUP(L210,$Q$39:$Z$40,2))</f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  <c r="AC210" s="69"/>
      <c r="AD210" s="69"/>
      <c r="AE210" s="69"/>
      <c r="AF210" s="69"/>
      <c r="AG210" s="69"/>
    </row>
    <row r="211" spans="1:33" ht="13.5" hidden="1" x14ac:dyDescent="0.15">
      <c r="A211" s="259">
        <v>70</v>
      </c>
      <c r="B211" s="345" t="s">
        <v>653</v>
      </c>
      <c r="C211" s="21" t="s">
        <v>613</v>
      </c>
      <c r="D211" s="104">
        <f>IF(ISERROR(HLOOKUP(J211,$Q$48:$AB$49,2)),0,HLOOKUP(J211,$Q$48:$AB$49,2))</f>
        <v>0</v>
      </c>
      <c r="E211" s="104">
        <f>IF(ISERROR(HLOOKUP(K211,$Q$48:$AB$49,2)),0,HLOOKUP(K211,$Q$48:$AB$49,2))</f>
        <v>0</v>
      </c>
      <c r="F211" s="104">
        <f>IF(ISERROR(HLOOKUP(L211,$Q$48:$AB$49,2)),0,HLOOKUP(L211,$Q$48:$AB$49,2))</f>
        <v>0</v>
      </c>
      <c r="G211" s="396">
        <f>SUM($F$30:$F$32)</f>
        <v>0</v>
      </c>
      <c r="H211" s="103">
        <f>SUM($F$30:$F$32)+$J$51</f>
        <v>0</v>
      </c>
      <c r="I211" s="103">
        <f>SUM($F$30:$F$32)+$J$51+$J$60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3" ht="13.5" hidden="1" x14ac:dyDescent="0.15">
      <c r="A212" s="259">
        <v>71</v>
      </c>
      <c r="B212" s="345" t="s">
        <v>654</v>
      </c>
      <c r="C212" s="21" t="s">
        <v>613</v>
      </c>
      <c r="D212" s="104">
        <f>IF(ISERROR(HLOOKUP(J212,$Q$48:$AA$49,2)),0,HLOOKUP(J212,$Q$48:$AA$49,2))</f>
        <v>0</v>
      </c>
      <c r="E212" s="104">
        <f>IF(ISERROR(HLOOKUP(K212,$Q$48:$AA$49,2)),0,HLOOKUP(K212,$Q$48:$AA$49,2))</f>
        <v>0</v>
      </c>
      <c r="F212" s="104">
        <f>IF(ISERROR(HLOOKUP(L212,$Q$48:$AA$49,2)),0,HLOOKUP(L212,$Q$48:$AA$49,2))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3" ht="13.5" hidden="1" x14ac:dyDescent="0.15">
      <c r="A213" s="259">
        <v>72</v>
      </c>
      <c r="B213" s="345" t="s">
        <v>655</v>
      </c>
      <c r="C213" s="21" t="s">
        <v>527</v>
      </c>
      <c r="D213" s="104">
        <f>IF(ISERROR(HLOOKUP(J213,$Q$54:$AR$55,2)),0,HLOOKUP(J213,$Q$54:$AR$55,2))</f>
        <v>0</v>
      </c>
      <c r="E213" s="104">
        <f>IF(ISERROR(HLOOKUP(K213,$Q$54:$AR$55,2)),0,HLOOKUP(K213,$Q$54:$AR$55,2))</f>
        <v>0</v>
      </c>
      <c r="F213" s="104">
        <f>IF(ISERROR(HLOOKUP(L213,$Q$54:$AR$55,2)),0,HLOOKUP(L213,$Q$54:$AR$55,2))</f>
        <v>0</v>
      </c>
      <c r="G213" s="396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3" ht="13.5" hidden="1" x14ac:dyDescent="0.15">
      <c r="A214" s="259">
        <v>73</v>
      </c>
      <c r="B214" s="345" t="s">
        <v>663</v>
      </c>
      <c r="C214" s="21" t="s">
        <v>527</v>
      </c>
      <c r="D214" s="104">
        <f t="shared" ref="D214:F215" si="25">IF(ISERROR(HLOOKUP(J214,$Q$26:$AY$27,2)),0,HLOOKUP(J214,$Q$26:$AY$27,2))</f>
        <v>0</v>
      </c>
      <c r="E214" s="104">
        <f t="shared" si="25"/>
        <v>0</v>
      </c>
      <c r="F214" s="104">
        <f t="shared" si="25"/>
        <v>0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3" ht="13.5" hidden="1" x14ac:dyDescent="0.15">
      <c r="A215" s="259">
        <v>74</v>
      </c>
      <c r="B215" s="345" t="s">
        <v>664</v>
      </c>
      <c r="C215" s="21" t="s">
        <v>527</v>
      </c>
      <c r="D215" s="104">
        <f t="shared" si="25"/>
        <v>0</v>
      </c>
      <c r="E215" s="104">
        <f t="shared" si="25"/>
        <v>0</v>
      </c>
      <c r="F215" s="104">
        <f t="shared" si="25"/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22"/>
        <v>0</v>
      </c>
      <c r="K215" s="21">
        <f t="shared" si="23"/>
        <v>0</v>
      </c>
      <c r="L215" s="21">
        <f t="shared" si="24"/>
        <v>0</v>
      </c>
      <c r="M215" s="346" t="s">
        <v>662</v>
      </c>
      <c r="P215" s="44"/>
      <c r="Q215" s="44"/>
    </row>
    <row r="216" spans="1:33" ht="13.5" hidden="1" x14ac:dyDescent="0.15">
      <c r="A216" s="259">
        <v>75</v>
      </c>
      <c r="B216" s="345" t="s">
        <v>665</v>
      </c>
      <c r="C216" s="21" t="s">
        <v>547</v>
      </c>
      <c r="D216" s="104">
        <f>IF(ISERROR(HLOOKUP(J216,$Q$73:$W$74,2)),0,HLOOKUP(J216,$Q$73:$W$74,2))</f>
        <v>0</v>
      </c>
      <c r="E216" s="104">
        <f>IF(ISERROR(HLOOKUP(K216,$Q$73:$W$74,2)),0,HLOOKUP(K216,$Q$73:$W$74,2))</f>
        <v>0</v>
      </c>
      <c r="F216" s="104">
        <f>IF(ISERROR(HLOOKUP(L216,$Q$73:$W$74,2)),0,HLOOKUP(L216,$Q$73:$W$74,2))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3" ht="13.5" hidden="1" x14ac:dyDescent="0.15">
      <c r="A217" s="259">
        <v>76</v>
      </c>
      <c r="B217" s="345" t="s">
        <v>689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3" ht="13.5" hidden="1" x14ac:dyDescent="0.15">
      <c r="A218" s="259">
        <v>77</v>
      </c>
      <c r="B218" s="345" t="s">
        <v>666</v>
      </c>
      <c r="C218" s="21" t="s">
        <v>613</v>
      </c>
      <c r="D218" s="104">
        <f>IF(ISERROR(HLOOKUP(J218,$Q$48:$AA$49,2)),0,HLOOKUP(J218,$Q$48:$AA$49,2))</f>
        <v>0</v>
      </c>
      <c r="E218" s="104">
        <f>IF(ISERROR(HLOOKUP(K218,$Q$48:$AA$49,2)),0,HLOOKUP(K218,$Q$48:$AA$49,2))</f>
        <v>0</v>
      </c>
      <c r="F218" s="104">
        <f>IF(ISERROR(HLOOKUP(L218,$Q$48:$AA$49,2)),0,HLOOKUP(L218,$Q$48:$AA$49,2))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3" ht="13.5" hidden="1" x14ac:dyDescent="0.15">
      <c r="A219" s="259">
        <v>78</v>
      </c>
      <c r="B219" s="345" t="s">
        <v>667</v>
      </c>
      <c r="C219" s="21" t="s">
        <v>613</v>
      </c>
      <c r="D219" s="104">
        <f>IF(ISERROR(HLOOKUP(J219,$Q$57:$AA$58,2)),0,HLOOKUP(J219,$Q$57:$AA$58,2))</f>
        <v>0</v>
      </c>
      <c r="E219" s="104">
        <f>IF(ISERROR(HLOOKUP(K219,$Q$57:$AA$58,2)),0,HLOOKUP(K219,$Q$57:$AA$58,2))</f>
        <v>0</v>
      </c>
      <c r="F219" s="104">
        <f>IF(ISERROR(HLOOKUP(L219,$Q$57:$AA$58,2)),0,HLOOKUP(L219,$Q$57:$AA$58,2))</f>
        <v>0</v>
      </c>
      <c r="G219" s="396">
        <f>SUM($F$29:$F$32)</f>
        <v>0</v>
      </c>
      <c r="H219" s="103">
        <f>SUM($F$29:$F$32)+$J$51</f>
        <v>0</v>
      </c>
      <c r="I219" s="103">
        <f>SUM($F$29:$F$32)+$J$51+$J$60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3" s="308" customFormat="1" ht="13.5" hidden="1" x14ac:dyDescent="0.15">
      <c r="A220" s="304">
        <v>79</v>
      </c>
      <c r="B220" s="349" t="s">
        <v>668</v>
      </c>
      <c r="C220" s="308" t="s">
        <v>613</v>
      </c>
      <c r="D220" s="305">
        <f>IF(ISERROR(HLOOKUP(J220,$Q$39:$AA$40,2)),0,HLOOKUP(J220,$Q$39:$AA$40,2))</f>
        <v>0</v>
      </c>
      <c r="E220" s="305">
        <f>IF(ISERROR(HLOOKUP(K220,$Q$39:$AA$40,2)),0,HLOOKUP(K220,$Q$39:$AA$40,2))</f>
        <v>0</v>
      </c>
      <c r="F220" s="305">
        <f>IF(ISERROR(HLOOKUP(L220,$Q$39:$AA$40,2)),0,HLOOKUP(L220,$Q$39:$AA$40,2))</f>
        <v>0</v>
      </c>
      <c r="G220" s="399">
        <f>$N$220+$F$33</f>
        <v>0</v>
      </c>
      <c r="H220" s="307">
        <f>$G$220+$J$51</f>
        <v>0</v>
      </c>
      <c r="I220" s="307">
        <f>$N$220+$J$51+$J$60</f>
        <v>0</v>
      </c>
      <c r="J220" s="308">
        <f t="shared" si="22"/>
        <v>0</v>
      </c>
      <c r="K220" s="308">
        <f t="shared" si="23"/>
        <v>0</v>
      </c>
      <c r="L220" s="308">
        <f t="shared" si="24"/>
        <v>0</v>
      </c>
      <c r="M220" s="352" t="s">
        <v>662</v>
      </c>
      <c r="N220" s="308">
        <f>IF($C$30&gt;=$A$36,$E$30-$C$30+1,IF($C$31&gt;=$A$36,$E$31-$C$31+1,IF($C$32&gt;=$A$36,$E$32-$C$32+1,IF($E$30&lt;&gt;0,$E$30-$A$36+1,IF($E$31&lt;&gt;0,$E$31-$A$36+1,IF($E$32&lt;&gt;0,$E$32-$A$36+1,0))))))</f>
        <v>0</v>
      </c>
      <c r="O220" s="309"/>
      <c r="P220" s="353"/>
      <c r="Q220" s="353"/>
      <c r="AD220" s="310"/>
      <c r="AE220" s="310"/>
      <c r="AF220" s="310"/>
    </row>
    <row r="221" spans="1:33" ht="13.5" hidden="1" x14ac:dyDescent="0.15">
      <c r="A221" s="259">
        <v>80</v>
      </c>
      <c r="B221" s="345" t="s">
        <v>669</v>
      </c>
      <c r="C221" s="21" t="s">
        <v>547</v>
      </c>
      <c r="D221" s="104">
        <f>IF(ISERROR(HLOOKUP(J221,$Q$73:$V$74,2)),0,HLOOKUP(J221,$Q$73:$V$74,2))</f>
        <v>0</v>
      </c>
      <c r="E221" s="104">
        <f>IF(ISERROR(HLOOKUP(K221,$Q$73:$V$74,2)),0,HLOOKUP(K221,$Q$73:$V$74,2))</f>
        <v>0</v>
      </c>
      <c r="F221" s="104">
        <f>IF(ISERROR(HLOOKUP(L221,$Q$73:$V$74,2)),0,HLOOKUP(L221,$Q$73:$V$74,2))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P221" s="44"/>
      <c r="Q221" s="44"/>
    </row>
    <row r="222" spans="1:33" ht="13.5" hidden="1" x14ac:dyDescent="0.15">
      <c r="A222" s="259" t="s">
        <v>703</v>
      </c>
      <c r="B222" s="345" t="s">
        <v>701</v>
      </c>
      <c r="C222" s="21" t="s">
        <v>702</v>
      </c>
      <c r="D222" s="148">
        <f>IF(J222&lt;=10,0.1,IF(J222&lt;=20,0.2,0.3))</f>
        <v>0.1</v>
      </c>
      <c r="E222" s="148">
        <f>IF(K222&lt;=10,0.1,IF(K222&lt;=20,0.2,0.3))</f>
        <v>0.1</v>
      </c>
      <c r="F222" s="148">
        <f>IF(L222&lt;=10,0.1,IF(L222&lt;=20,0.2,0.3))</f>
        <v>0.1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22"/>
        <v>0</v>
      </c>
      <c r="K222" s="21">
        <f t="shared" si="23"/>
        <v>0</v>
      </c>
      <c r="L222" s="21">
        <f t="shared" si="24"/>
        <v>0</v>
      </c>
      <c r="M222" s="346" t="s">
        <v>662</v>
      </c>
      <c r="P222" s="44"/>
      <c r="Q222" s="44"/>
    </row>
    <row r="223" spans="1:33" ht="13.5" hidden="1" x14ac:dyDescent="0.15">
      <c r="A223" s="259">
        <v>81</v>
      </c>
      <c r="B223" s="345" t="s">
        <v>670</v>
      </c>
      <c r="C223" s="21" t="s">
        <v>547</v>
      </c>
      <c r="D223" s="104">
        <f>IF(ISERROR(HLOOKUP(J223,$Q$73:$W$74,2)),0,HLOOKUP(J223,$Q$73:$W$74,2))</f>
        <v>0</v>
      </c>
      <c r="E223" s="104">
        <f>IF(ISERROR(HLOOKUP(K223,$Q$73:$W$74,2)),0,HLOOKUP(K223,$Q$73:$W$74,2))</f>
        <v>0</v>
      </c>
      <c r="F223" s="104">
        <f>IF(ISERROR(HLOOKUP(L223,$Q$73:$W$74,2)),0,HLOOKUP(L223,$Q$73:$W$74,2))</f>
        <v>0</v>
      </c>
      <c r="G223" s="396">
        <f>SUM($F$27:$F$33)</f>
        <v>0</v>
      </c>
      <c r="H223" s="103">
        <f>SUM($F$27:$F$33)+$J$51</f>
        <v>0</v>
      </c>
      <c r="I223" s="103">
        <f>SUM($F$27:$F$33)+$J$51+$J$60</f>
        <v>0</v>
      </c>
      <c r="J223" s="21">
        <f t="shared" si="22"/>
        <v>0</v>
      </c>
      <c r="K223" s="21">
        <f t="shared" si="23"/>
        <v>0</v>
      </c>
      <c r="L223" s="21">
        <f t="shared" si="24"/>
        <v>0</v>
      </c>
      <c r="M223" s="346" t="s">
        <v>662</v>
      </c>
      <c r="P223" s="44"/>
      <c r="Q223" s="44"/>
    </row>
    <row r="224" spans="1:33" ht="13.5" hidden="1" x14ac:dyDescent="0.15">
      <c r="A224" s="259">
        <v>82</v>
      </c>
      <c r="B224" s="345" t="s">
        <v>671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22"/>
        <v>0</v>
      </c>
      <c r="K224" s="21">
        <f t="shared" si="23"/>
        <v>0</v>
      </c>
      <c r="L224" s="21">
        <f t="shared" si="24"/>
        <v>0</v>
      </c>
      <c r="M224" s="346" t="s">
        <v>662</v>
      </c>
      <c r="P224" s="44"/>
      <c r="Q224" s="44"/>
    </row>
    <row r="225" spans="1:17" ht="13.5" hidden="1" x14ac:dyDescent="0.15">
      <c r="A225" s="259">
        <v>83</v>
      </c>
      <c r="B225" s="345" t="s">
        <v>672</v>
      </c>
      <c r="C225" s="21"/>
      <c r="E225" s="40"/>
      <c r="J225" s="21">
        <f t="shared" si="22"/>
        <v>0</v>
      </c>
      <c r="K225" s="21">
        <f t="shared" si="23"/>
        <v>0</v>
      </c>
      <c r="L225" s="21">
        <f t="shared" si="24"/>
        <v>0</v>
      </c>
      <c r="M225" s="346" t="s">
        <v>662</v>
      </c>
      <c r="P225" s="44"/>
      <c r="Q225" s="44"/>
    </row>
    <row r="226" spans="1:17" ht="13.5" hidden="1" x14ac:dyDescent="0.15">
      <c r="A226" s="259">
        <v>84</v>
      </c>
      <c r="B226" s="108" t="s">
        <v>673</v>
      </c>
      <c r="C226" s="21" t="s">
        <v>613</v>
      </c>
      <c r="D226" s="104">
        <f>IF(ISERROR(HLOOKUP(J226,$Q$48:$AB$49,2)),0,HLOOKUP(J226,$Q$48:$AB$49,2))</f>
        <v>0</v>
      </c>
      <c r="E226" s="104">
        <f>IF(ISERROR(HLOOKUP(K226,$Q$48:$AB$49,2)),0,HLOOKUP(K226,$Q$48:$AB$49,2))</f>
        <v>0</v>
      </c>
      <c r="F226" s="104">
        <f>IF(ISERROR(HLOOKUP(L226,$Q$48:$AB$49,2)),0,HLOOKUP(L226,$Q$48:$AB$49,2))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2"/>
        <v>0</v>
      </c>
      <c r="K226" s="21">
        <f t="shared" si="23"/>
        <v>0</v>
      </c>
      <c r="L226" s="21">
        <f t="shared" si="24"/>
        <v>0</v>
      </c>
      <c r="M226" s="346" t="s">
        <v>662</v>
      </c>
      <c r="N226" s="104">
        <f>IF(ISERROR(HLOOKUP(L226,$Q$48:$AB$49,2)),0,HLOOKUP(L226,$Q$48:$AB$49,2))</f>
        <v>0</v>
      </c>
      <c r="P226" s="44"/>
      <c r="Q226" s="44"/>
    </row>
    <row r="227" spans="1:17" ht="13.5" hidden="1" x14ac:dyDescent="0.15">
      <c r="A227" s="259">
        <v>85</v>
      </c>
      <c r="B227" s="108" t="s">
        <v>674</v>
      </c>
      <c r="C227" s="21" t="s">
        <v>527</v>
      </c>
      <c r="D227" s="104">
        <f>IF(ISERROR(HLOOKUP(J227,$Q$35:$AY$36,2)),0,HLOOKUP(J227,$Q$35:$AY$36,2))</f>
        <v>0</v>
      </c>
      <c r="E227" s="104">
        <f>IF(ISERROR(HLOOKUP(K227,$Q$35:$AY$36,2)),0,HLOOKUP(K227,$Q$35:$AY$36,2))</f>
        <v>0</v>
      </c>
      <c r="F227" s="104">
        <f>IF(ISERROR(HLOOKUP(L227,$Q$35:$AY$36,2)),0,HLOOKUP(L227,$Q$35:$AY$36,2))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ref="J227:J234" si="26">ROUNDDOWN(G227/365,0)</f>
        <v>0</v>
      </c>
      <c r="K227" s="21">
        <f t="shared" ref="K227:K234" si="27">ROUNDDOWN(H227/365,0)</f>
        <v>0</v>
      </c>
      <c r="L227" s="21">
        <f t="shared" ref="L227:L234" si="28">ROUNDDOWN(I227/365,0)</f>
        <v>0</v>
      </c>
      <c r="M227" s="346" t="s">
        <v>662</v>
      </c>
      <c r="P227" s="44"/>
      <c r="Q227" s="44"/>
    </row>
    <row r="228" spans="1:17" ht="13.5" hidden="1" x14ac:dyDescent="0.15">
      <c r="A228" s="259">
        <v>86</v>
      </c>
      <c r="B228" s="108" t="s">
        <v>675</v>
      </c>
      <c r="C228" s="21" t="s">
        <v>613</v>
      </c>
      <c r="D228" s="104">
        <f>IF(ISERROR(HLOOKUP(J228,$Q$60:$AC$61,2)),0,HLOOKUP(J228,$Q$60:$AC$61,2))</f>
        <v>0</v>
      </c>
      <c r="E228" s="104">
        <f>IF(ISERROR(HLOOKUP(K228,$Q$60:$AC$61,2)),0,HLOOKUP(K228,$Q$60:$AC$61,2))</f>
        <v>0</v>
      </c>
      <c r="F228" s="104">
        <f>IF(ISERROR(HLOOKUP(L228,$Q$60:$AC$61,2)),0,HLOOKUP(L228,$Q$60:$AC$61,2))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87</v>
      </c>
      <c r="B229" s="108" t="s">
        <v>677</v>
      </c>
      <c r="C229" s="21"/>
      <c r="D229" s="21"/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A230" s="259">
        <v>88</v>
      </c>
      <c r="B230" s="108" t="s">
        <v>678</v>
      </c>
      <c r="C230" s="21" t="s">
        <v>613</v>
      </c>
      <c r="D230" s="104">
        <f>IF(ISERROR(HLOOKUP(J230,$Q$39:$AA$40,2)),0,HLOOKUP(J230,$Q$39:$AA$40,2))</f>
        <v>0</v>
      </c>
      <c r="E230" s="104">
        <f>IF(ISERROR(HLOOKUP(K230,$Q$39:$AA$40,2)),0,HLOOKUP(K230,$Q$39:$AA$40,2))</f>
        <v>0</v>
      </c>
      <c r="F230" s="104">
        <f>IF(ISERROR(HLOOKUP(L230,$Q$39:$AA$40,2)),0,HLOOKUP(L230,$Q$39:$AA$40,2))</f>
        <v>0</v>
      </c>
      <c r="G230" s="396">
        <f>SUM($F$27:$F$32)</f>
        <v>0</v>
      </c>
      <c r="H230" s="103">
        <f>SUM($F$27:$F$32)+$J$51</f>
        <v>0</v>
      </c>
      <c r="I230" s="103">
        <f>SUM($F$27:$F$32)+$J$51+$J$60</f>
        <v>0</v>
      </c>
      <c r="J230" s="21">
        <f t="shared" si="26"/>
        <v>0</v>
      </c>
      <c r="K230" s="21">
        <f t="shared" si="27"/>
        <v>0</v>
      </c>
      <c r="L230" s="21">
        <f t="shared" si="28"/>
        <v>0</v>
      </c>
      <c r="M230" s="346" t="s">
        <v>662</v>
      </c>
      <c r="P230" s="44"/>
      <c r="Q230" s="44"/>
    </row>
    <row r="231" spans="1:17" ht="13.5" hidden="1" x14ac:dyDescent="0.15">
      <c r="A231" s="259">
        <v>89</v>
      </c>
      <c r="B231" s="108" t="s">
        <v>679</v>
      </c>
      <c r="C231" s="21" t="s">
        <v>613</v>
      </c>
      <c r="D231" s="104">
        <f>IF(ISERROR(HLOOKUP(J231,$Q$48:$V$49,2)),0,HLOOKUP(J231,$Q$48:$V$49,2))</f>
        <v>0</v>
      </c>
      <c r="E231" s="104">
        <f>IF(ISERROR(HLOOKUP(K231,$Q$48:$V$49,2)),0,HLOOKUP(K231,$Q$48:$V$49,2))</f>
        <v>0</v>
      </c>
      <c r="F231" s="104">
        <f>IF(ISERROR(HLOOKUP(L231,$Q$48:$V$49,2)),0,HLOOKUP(L231,$Q$48:$V$49,2))</f>
        <v>0</v>
      </c>
      <c r="G231" s="396">
        <f>SUM($F$30:$F$32)</f>
        <v>0</v>
      </c>
      <c r="H231" s="103">
        <f>SUM($F$30:$F$32)+$J$51</f>
        <v>0</v>
      </c>
      <c r="I231" s="103">
        <f>SUM($F$30:$F$32)+$J$51+$J$60</f>
        <v>0</v>
      </c>
      <c r="J231" s="21">
        <f t="shared" si="26"/>
        <v>0</v>
      </c>
      <c r="K231" s="21">
        <f t="shared" si="27"/>
        <v>0</v>
      </c>
      <c r="L231" s="21">
        <f t="shared" si="28"/>
        <v>0</v>
      </c>
      <c r="M231" s="346" t="s">
        <v>662</v>
      </c>
      <c r="P231" s="44"/>
      <c r="Q231" s="44"/>
    </row>
    <row r="232" spans="1:17" ht="13.5" hidden="1" x14ac:dyDescent="0.15">
      <c r="A232" s="259">
        <v>90</v>
      </c>
      <c r="B232" s="108" t="s">
        <v>680</v>
      </c>
      <c r="C232" s="21" t="s">
        <v>527</v>
      </c>
      <c r="D232" s="104">
        <f>IF(ISERROR(HLOOKUP(J232,$Q$26:$AY$27,2)),0,HLOOKUP(J232,$Q$26:$AY$27,2))</f>
        <v>0</v>
      </c>
      <c r="E232" s="104">
        <f>IF(ISERROR(HLOOKUP(K232,$Q$26:$AY$27,2)),0,HLOOKUP(K232,$Q$26:$AY$27,2))</f>
        <v>0</v>
      </c>
      <c r="F232" s="104">
        <f>IF(ISERROR(HLOOKUP(L232,$Q$26:$AY$27,2)),0,HLOOKUP(L232,$Q$26:$AY$27,2))</f>
        <v>0</v>
      </c>
      <c r="G232" s="396">
        <f>SUM($F$30:$F$32)</f>
        <v>0</v>
      </c>
      <c r="H232" s="103">
        <f>SUM($F$30:$F$32)+$J$51</f>
        <v>0</v>
      </c>
      <c r="I232" s="103">
        <f>SUM($F$30:$F$32)+$J$51+$J$60</f>
        <v>0</v>
      </c>
      <c r="J232" s="21">
        <f t="shared" si="26"/>
        <v>0</v>
      </c>
      <c r="K232" s="21">
        <f t="shared" si="27"/>
        <v>0</v>
      </c>
      <c r="L232" s="21">
        <f t="shared" si="28"/>
        <v>0</v>
      </c>
      <c r="M232" s="346" t="s">
        <v>662</v>
      </c>
      <c r="P232" s="44"/>
      <c r="Q232" s="44"/>
    </row>
    <row r="233" spans="1:17" ht="13.5" hidden="1" x14ac:dyDescent="0.15">
      <c r="A233" s="259">
        <v>91</v>
      </c>
      <c r="B233" s="108" t="s">
        <v>681</v>
      </c>
      <c r="C233" s="21" t="s">
        <v>613</v>
      </c>
      <c r="D233" s="104">
        <f>IF(ISERROR(HLOOKUP(J233,$Q$42:$AA$43,2)),0,HLOOKUP(J233,$Q$42:$AA$43,2))</f>
        <v>0</v>
      </c>
      <c r="E233" s="104">
        <f>IF(ISERROR(HLOOKUP(K233,$Q$42:$AA$43,2)),0,HLOOKUP(K233,$Q$42:$AA$43,2))</f>
        <v>0</v>
      </c>
      <c r="F233" s="104">
        <f>IF(ISERROR(HLOOKUP(L233,$Q$42:$AA$43,2)),0,HLOOKUP(L233,$Q$42:$AA$43,2))</f>
        <v>0</v>
      </c>
      <c r="G233" s="396">
        <f>SUM($F$30:$F$32)</f>
        <v>0</v>
      </c>
      <c r="H233" s="103">
        <f>SUM($F$30:$F$32)+$J$51</f>
        <v>0</v>
      </c>
      <c r="I233" s="103">
        <f>SUM($F$30:$F$32)+$J$51+$J$60</f>
        <v>0</v>
      </c>
      <c r="J233" s="21">
        <f t="shared" si="26"/>
        <v>0</v>
      </c>
      <c r="K233" s="21">
        <f t="shared" si="27"/>
        <v>0</v>
      </c>
      <c r="L233" s="21">
        <f t="shared" si="28"/>
        <v>0</v>
      </c>
      <c r="M233" s="346" t="s">
        <v>662</v>
      </c>
      <c r="P233" s="44"/>
      <c r="Q233" s="44"/>
    </row>
    <row r="234" spans="1:17" ht="13.5" hidden="1" x14ac:dyDescent="0.15">
      <c r="A234" s="259">
        <v>92</v>
      </c>
      <c r="B234" s="108" t="s">
        <v>682</v>
      </c>
      <c r="C234" s="21" t="s">
        <v>613</v>
      </c>
      <c r="D234" s="104">
        <f>IF(ISERROR(HLOOKUP(J234,$Q$42:$Z$43,2)),0,HLOOKUP(J234,$Q$42:$Z$43,2))</f>
        <v>0</v>
      </c>
      <c r="E234" s="104">
        <f>IF(ISERROR(HLOOKUP(K234,$Q$42:$Z$43,2)),0,HLOOKUP(K234,$Q$42:$Z$43,2))</f>
        <v>0</v>
      </c>
      <c r="F234" s="104">
        <f>IF(ISERROR(HLOOKUP(L234,$Q$42:$Z$43,2)),0,HLOOKUP(L234,$Q$42:$Z$43,2))</f>
        <v>0</v>
      </c>
      <c r="G234" s="396">
        <f>SUM($F$30:$F$32)</f>
        <v>0</v>
      </c>
      <c r="H234" s="103">
        <f>SUM($F$30:$F$32)+$J$51</f>
        <v>0</v>
      </c>
      <c r="I234" s="103">
        <f>SUM($F$30:$F$32)+$J$51+$J$60</f>
        <v>0</v>
      </c>
      <c r="J234" s="21">
        <f t="shared" si="26"/>
        <v>0</v>
      </c>
      <c r="K234" s="21">
        <f t="shared" si="27"/>
        <v>0</v>
      </c>
      <c r="L234" s="21">
        <f t="shared" si="28"/>
        <v>0</v>
      </c>
      <c r="M234" s="346" t="s">
        <v>662</v>
      </c>
      <c r="P234" s="44"/>
      <c r="Q234" s="44"/>
    </row>
    <row r="235" spans="1:17" ht="13.5" hidden="1" x14ac:dyDescent="0.15">
      <c r="B235" s="10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357"/>
      <c r="N235" s="54"/>
      <c r="O235" s="258"/>
      <c r="P235" s="44"/>
      <c r="Q235" s="44"/>
    </row>
    <row r="236" spans="1:17" ht="13.5" hidden="1" x14ac:dyDescent="0.15">
      <c r="B236" s="248" t="s">
        <v>720</v>
      </c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258"/>
    </row>
    <row r="237" spans="1:17" ht="13.5" hidden="1" x14ac:dyDescent="0.15">
      <c r="A237" s="259">
        <v>1</v>
      </c>
      <c r="B237" s="51" t="s">
        <v>550</v>
      </c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258"/>
    </row>
    <row r="238" spans="1:17" ht="13.5" hidden="1" x14ac:dyDescent="0.15">
      <c r="A238" s="259" t="s">
        <v>721</v>
      </c>
      <c r="B238" s="51" t="s">
        <v>615</v>
      </c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58"/>
    </row>
    <row r="239" spans="1:17" ht="13.5" hidden="1" x14ac:dyDescent="0.15">
      <c r="A239" s="259">
        <v>2</v>
      </c>
      <c r="B239" s="338" t="s">
        <v>617</v>
      </c>
      <c r="C239" s="109"/>
      <c r="D239" s="109"/>
      <c r="E239" s="110"/>
      <c r="F239" s="358"/>
      <c r="G239" s="111"/>
      <c r="H239" s="111"/>
      <c r="I239" s="111"/>
      <c r="J239" s="46"/>
      <c r="K239" s="46"/>
      <c r="L239" s="46"/>
      <c r="M239" s="46"/>
      <c r="N239" s="9"/>
      <c r="O239" s="258"/>
    </row>
    <row r="240" spans="1:17" ht="13.5" hidden="1" x14ac:dyDescent="0.15">
      <c r="A240" s="259">
        <v>3</v>
      </c>
      <c r="B240" s="345" t="s">
        <v>645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4</v>
      </c>
      <c r="B241" s="338" t="s">
        <v>618</v>
      </c>
      <c r="C241" s="104"/>
      <c r="D241" s="104"/>
      <c r="E241" s="104"/>
      <c r="F241" s="112"/>
      <c r="G241" s="112"/>
      <c r="H241" s="112"/>
      <c r="I241" s="112"/>
      <c r="J241" s="46"/>
      <c r="K241" s="46"/>
      <c r="L241" s="46"/>
      <c r="M241" s="46"/>
      <c r="N241" s="46"/>
      <c r="O241" s="258"/>
    </row>
    <row r="242" spans="1:40" ht="13.5" hidden="1" x14ac:dyDescent="0.15">
      <c r="A242" s="259">
        <v>5</v>
      </c>
      <c r="B242" s="345" t="s">
        <v>646</v>
      </c>
      <c r="C242" s="104"/>
      <c r="D242" s="104"/>
      <c r="E242" s="104"/>
      <c r="F242" s="112"/>
      <c r="G242" s="112"/>
      <c r="H242" s="112"/>
      <c r="I242" s="112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6</v>
      </c>
      <c r="B243" s="345" t="s">
        <v>647</v>
      </c>
      <c r="C243" s="104"/>
      <c r="D243" s="104"/>
      <c r="E243" s="104"/>
      <c r="F243" s="112"/>
      <c r="G243" s="112"/>
      <c r="H243" s="112"/>
      <c r="I243" s="112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7</v>
      </c>
      <c r="B244" s="51" t="s">
        <v>551</v>
      </c>
      <c r="C244" s="104"/>
      <c r="D244" s="104"/>
      <c r="E244" s="104"/>
      <c r="F244" s="112"/>
      <c r="G244" s="112"/>
      <c r="H244" s="112"/>
      <c r="I244" s="112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8</v>
      </c>
      <c r="B245" s="51" t="s">
        <v>552</v>
      </c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9</v>
      </c>
      <c r="B246" s="51" t="s">
        <v>553</v>
      </c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58"/>
      <c r="AH246" s="69"/>
      <c r="AI246" s="69"/>
      <c r="AJ246" s="69"/>
      <c r="AK246" s="69"/>
      <c r="AL246" s="69"/>
      <c r="AM246" s="69"/>
      <c r="AN246" s="69"/>
    </row>
    <row r="247" spans="1:40" ht="13.5" hidden="1" x14ac:dyDescent="0.15">
      <c r="A247" s="259" t="s">
        <v>722</v>
      </c>
      <c r="B247" s="51" t="s">
        <v>616</v>
      </c>
      <c r="C247" s="109"/>
      <c r="D247" s="109"/>
      <c r="E247" s="110"/>
      <c r="F247" s="358"/>
      <c r="G247" s="111"/>
      <c r="H247" s="111"/>
      <c r="I247" s="111"/>
      <c r="J247" s="46"/>
      <c r="K247" s="46"/>
      <c r="L247" s="46"/>
      <c r="M247" s="46"/>
      <c r="N247" s="9"/>
      <c r="O247" s="258"/>
      <c r="AH247" s="69"/>
      <c r="AI247" s="69"/>
      <c r="AJ247" s="69"/>
      <c r="AK247" s="69"/>
      <c r="AL247" s="69"/>
      <c r="AM247" s="69"/>
      <c r="AN247" s="69"/>
    </row>
    <row r="248" spans="1:40" ht="13.5" hidden="1" x14ac:dyDescent="0.15">
      <c r="A248" s="259">
        <v>10</v>
      </c>
      <c r="B248" s="338" t="s">
        <v>619</v>
      </c>
      <c r="C248" s="104"/>
      <c r="D248" s="105"/>
      <c r="E248" s="106"/>
      <c r="F248" s="46"/>
      <c r="G248" s="46"/>
      <c r="H248" s="46"/>
      <c r="I248" s="46"/>
      <c r="J248" s="46"/>
      <c r="K248" s="46"/>
      <c r="L248" s="46"/>
      <c r="M248" s="46"/>
      <c r="N248" s="46"/>
      <c r="O248" s="258"/>
      <c r="AH248" s="69"/>
      <c r="AI248" s="69"/>
      <c r="AJ248" s="69"/>
      <c r="AK248" s="69"/>
      <c r="AL248" s="69"/>
      <c r="AM248" s="69"/>
      <c r="AN248" s="69"/>
    </row>
    <row r="249" spans="1:40" ht="13.5" hidden="1" x14ac:dyDescent="0.15">
      <c r="A249" s="259">
        <v>11</v>
      </c>
      <c r="B249" s="345" t="s">
        <v>648</v>
      </c>
      <c r="C249" s="104"/>
      <c r="D249" s="105"/>
      <c r="E249" s="106"/>
      <c r="F249" s="47"/>
      <c r="G249" s="47"/>
      <c r="H249" s="47"/>
      <c r="I249" s="47"/>
      <c r="J249" s="46"/>
      <c r="K249" s="46"/>
      <c r="L249" s="46"/>
      <c r="M249" s="46"/>
      <c r="N249" s="46"/>
      <c r="O249" s="258"/>
      <c r="AH249" s="69"/>
      <c r="AI249" s="69"/>
      <c r="AJ249" s="69"/>
      <c r="AK249" s="69"/>
      <c r="AL249" s="69"/>
      <c r="AM249" s="69"/>
      <c r="AN249" s="69"/>
    </row>
    <row r="250" spans="1:40" ht="13.5" hidden="1" x14ac:dyDescent="0.15">
      <c r="A250" s="259">
        <v>12</v>
      </c>
      <c r="B250" s="345" t="s">
        <v>649</v>
      </c>
      <c r="C250" s="104"/>
      <c r="D250" s="105"/>
      <c r="E250" s="106"/>
      <c r="F250" s="47"/>
      <c r="G250" s="111"/>
      <c r="H250" s="47"/>
      <c r="I250" s="47"/>
      <c r="J250" s="46"/>
      <c r="K250" s="46"/>
      <c r="L250" s="46"/>
      <c r="M250" s="46"/>
      <c r="N250" s="46"/>
      <c r="O250" s="258"/>
      <c r="AH250" s="69"/>
      <c r="AI250" s="69"/>
      <c r="AJ250" s="69"/>
      <c r="AK250" s="69"/>
      <c r="AL250" s="69"/>
      <c r="AM250" s="69"/>
      <c r="AN250" s="69"/>
    </row>
    <row r="251" spans="1:40" ht="13.5" hidden="1" x14ac:dyDescent="0.15">
      <c r="A251" s="259">
        <v>13</v>
      </c>
      <c r="B251" s="338" t="s">
        <v>620</v>
      </c>
      <c r="C251" s="104"/>
      <c r="D251" s="105"/>
      <c r="E251" s="106"/>
      <c r="F251" s="47"/>
      <c r="G251" s="111"/>
      <c r="H251" s="47"/>
      <c r="I251" s="47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14</v>
      </c>
      <c r="B252" s="345" t="s">
        <v>650</v>
      </c>
      <c r="C252" s="104"/>
      <c r="D252" s="105"/>
      <c r="E252" s="106"/>
      <c r="F252" s="47"/>
      <c r="G252" s="111"/>
      <c r="H252" s="47"/>
      <c r="I252" s="47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15</v>
      </c>
      <c r="B253" s="345" t="s">
        <v>651</v>
      </c>
      <c r="C253" s="104"/>
      <c r="D253" s="105"/>
      <c r="E253" s="106"/>
      <c r="F253" s="47"/>
      <c r="G253" s="111"/>
      <c r="H253" s="47"/>
      <c r="I253" s="47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16</v>
      </c>
      <c r="B254" s="339" t="s">
        <v>621</v>
      </c>
      <c r="C254" s="104"/>
      <c r="D254" s="105"/>
      <c r="E254" s="106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17</v>
      </c>
      <c r="B255" s="345" t="s">
        <v>652</v>
      </c>
      <c r="C255" s="104"/>
      <c r="D255" s="105"/>
      <c r="E255" s="106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18</v>
      </c>
      <c r="B256" s="345" t="s">
        <v>653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19</v>
      </c>
      <c r="B257" s="340" t="s">
        <v>622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20</v>
      </c>
      <c r="B258" s="345" t="s">
        <v>654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21</v>
      </c>
      <c r="B259" s="340" t="s">
        <v>623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22</v>
      </c>
      <c r="B260" s="345" t="s">
        <v>655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23</v>
      </c>
      <c r="B261" s="340" t="s">
        <v>624</v>
      </c>
      <c r="C261" s="104"/>
      <c r="D261" s="104"/>
      <c r="E261" s="104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24</v>
      </c>
      <c r="B262" s="340" t="s">
        <v>625</v>
      </c>
      <c r="C262" s="104"/>
      <c r="D262" s="104"/>
      <c r="E262" s="104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25</v>
      </c>
      <c r="B263" s="340" t="s">
        <v>626</v>
      </c>
      <c r="C263" s="104"/>
      <c r="D263" s="104"/>
      <c r="E263" s="104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26</v>
      </c>
      <c r="B264" s="51" t="s">
        <v>556</v>
      </c>
      <c r="C264" s="104"/>
      <c r="D264" s="104"/>
      <c r="E264" s="104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27</v>
      </c>
      <c r="B265" s="107" t="s">
        <v>549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28</v>
      </c>
      <c r="B266" s="340" t="s">
        <v>627</v>
      </c>
      <c r="C266" s="359"/>
      <c r="D266" s="111"/>
      <c r="E266" s="360"/>
      <c r="F266" s="112"/>
      <c r="G266" s="112"/>
      <c r="H266" s="112"/>
      <c r="I266" s="112"/>
      <c r="J266" s="46"/>
      <c r="K266" s="46"/>
      <c r="L266" s="46"/>
      <c r="M266" s="46"/>
      <c r="N266" s="361"/>
      <c r="O266" s="258"/>
    </row>
    <row r="267" spans="1:15" ht="13.5" hidden="1" x14ac:dyDescent="0.15">
      <c r="A267" s="259">
        <v>29</v>
      </c>
      <c r="B267" s="345" t="s">
        <v>663</v>
      </c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58"/>
    </row>
    <row r="268" spans="1:15" ht="13.5" hidden="1" x14ac:dyDescent="0.15">
      <c r="A268" s="259">
        <v>30</v>
      </c>
      <c r="B268" s="340" t="s">
        <v>628</v>
      </c>
      <c r="C268" s="109"/>
      <c r="D268" s="109"/>
      <c r="E268" s="110"/>
      <c r="F268" s="358"/>
      <c r="G268" s="111"/>
      <c r="H268" s="111"/>
      <c r="I268" s="111"/>
      <c r="J268" s="46"/>
      <c r="K268" s="46"/>
      <c r="L268" s="46"/>
      <c r="M268" s="46"/>
      <c r="N268" s="9"/>
      <c r="O268" s="258"/>
    </row>
    <row r="269" spans="1:15" ht="13.5" hidden="1" x14ac:dyDescent="0.15">
      <c r="A269" s="259">
        <v>31</v>
      </c>
      <c r="B269" s="51" t="s">
        <v>557</v>
      </c>
      <c r="C269" s="104"/>
      <c r="D269" s="105"/>
      <c r="E269" s="106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 t="s">
        <v>723</v>
      </c>
      <c r="B270" s="51" t="s">
        <v>614</v>
      </c>
      <c r="C270" s="104"/>
      <c r="D270" s="105"/>
      <c r="E270" s="106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32</v>
      </c>
      <c r="B271" s="345" t="s">
        <v>664</v>
      </c>
      <c r="C271" s="104"/>
      <c r="D271" s="105"/>
      <c r="E271" s="106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33</v>
      </c>
      <c r="B272" s="340" t="s">
        <v>629</v>
      </c>
      <c r="C272" s="104"/>
      <c r="D272" s="105"/>
      <c r="E272" s="106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34</v>
      </c>
      <c r="B273" s="345" t="s">
        <v>665</v>
      </c>
      <c r="C273" s="104"/>
      <c r="D273" s="105"/>
      <c r="E273" s="106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35</v>
      </c>
      <c r="B274" s="51" t="s">
        <v>559</v>
      </c>
      <c r="C274" s="104"/>
      <c r="D274" s="104"/>
      <c r="E274" s="104"/>
      <c r="F274" s="112"/>
      <c r="G274" s="112"/>
      <c r="H274" s="112"/>
      <c r="I274" s="112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36</v>
      </c>
      <c r="B275" s="51" t="s">
        <v>560</v>
      </c>
      <c r="C275" s="104"/>
      <c r="D275" s="104"/>
      <c r="E275" s="104"/>
      <c r="F275" s="112"/>
      <c r="G275" s="112"/>
      <c r="H275" s="112"/>
      <c r="I275" s="112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37</v>
      </c>
      <c r="B276" s="345" t="s">
        <v>689</v>
      </c>
      <c r="C276" s="104"/>
      <c r="D276" s="104"/>
      <c r="E276" s="104"/>
      <c r="F276" s="112"/>
      <c r="G276" s="112"/>
      <c r="H276" s="112"/>
      <c r="I276" s="112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38</v>
      </c>
      <c r="B277" s="345" t="s">
        <v>666</v>
      </c>
      <c r="C277" s="104"/>
      <c r="D277" s="104"/>
      <c r="E277" s="104"/>
      <c r="F277" s="112"/>
      <c r="G277" s="112"/>
      <c r="H277" s="112"/>
      <c r="I277" s="112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39</v>
      </c>
      <c r="B278" s="340" t="s">
        <v>630</v>
      </c>
      <c r="C278" s="104"/>
      <c r="D278" s="104"/>
      <c r="E278" s="104"/>
      <c r="F278" s="112"/>
      <c r="G278" s="112"/>
      <c r="H278" s="112"/>
      <c r="I278" s="112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40</v>
      </c>
      <c r="B279" s="340" t="s">
        <v>631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41</v>
      </c>
      <c r="B280" s="51" t="s">
        <v>561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42</v>
      </c>
      <c r="B281" s="345" t="s">
        <v>667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43</v>
      </c>
      <c r="B282" s="51" t="s">
        <v>562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44</v>
      </c>
      <c r="B283" s="51" t="s">
        <v>563</v>
      </c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45</v>
      </c>
      <c r="B284" s="51" t="s">
        <v>686</v>
      </c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46</v>
      </c>
      <c r="B285" s="345" t="s">
        <v>668</v>
      </c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47</v>
      </c>
      <c r="B286" s="345" t="s">
        <v>669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 t="s">
        <v>724</v>
      </c>
      <c r="B287" s="345" t="s">
        <v>701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48</v>
      </c>
      <c r="B288" s="51" t="s">
        <v>564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49</v>
      </c>
      <c r="B289" s="345" t="s">
        <v>670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50</v>
      </c>
      <c r="B290" s="340" t="s">
        <v>632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51</v>
      </c>
      <c r="B291" s="51" t="s">
        <v>565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52</v>
      </c>
      <c r="B292" s="51" t="s">
        <v>566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53</v>
      </c>
      <c r="B293" s="51" t="s">
        <v>567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54</v>
      </c>
      <c r="B294" s="51" t="s">
        <v>568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55</v>
      </c>
      <c r="B295" s="51" t="s">
        <v>569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56</v>
      </c>
      <c r="B296" s="340" t="s">
        <v>633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57</v>
      </c>
      <c r="B297" s="51" t="s">
        <v>570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58</v>
      </c>
      <c r="B298" s="51" t="s">
        <v>571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59</v>
      </c>
      <c r="B299" s="345" t="s">
        <v>671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60</v>
      </c>
      <c r="B300" s="51" t="s">
        <v>572</v>
      </c>
      <c r="C300" s="9"/>
      <c r="D300" s="9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58"/>
    </row>
    <row r="301" spans="1:15" ht="13.5" hidden="1" x14ac:dyDescent="0.15">
      <c r="A301" s="259">
        <v>61</v>
      </c>
      <c r="B301" s="51" t="s">
        <v>573</v>
      </c>
      <c r="C301" s="9"/>
      <c r="D301" s="9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258"/>
    </row>
    <row r="302" spans="1:15" ht="13.5" hidden="1" x14ac:dyDescent="0.15">
      <c r="A302" s="259">
        <v>62</v>
      </c>
      <c r="B302" s="51" t="s">
        <v>574</v>
      </c>
      <c r="C302" s="9"/>
      <c r="D302" s="9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258"/>
    </row>
    <row r="303" spans="1:15" ht="13.5" hidden="1" x14ac:dyDescent="0.15">
      <c r="A303" s="259">
        <v>63</v>
      </c>
      <c r="B303" s="345" t="s">
        <v>672</v>
      </c>
      <c r="C303" s="9"/>
      <c r="D303" s="9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258"/>
    </row>
    <row r="304" spans="1:15" ht="13.5" hidden="1" x14ac:dyDescent="0.15">
      <c r="A304" s="259">
        <v>64</v>
      </c>
      <c r="B304" s="51" t="s">
        <v>580</v>
      </c>
      <c r="C304" s="9"/>
      <c r="D304" s="9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258"/>
    </row>
    <row r="305" spans="1:15" ht="13.5" hidden="1" x14ac:dyDescent="0.15">
      <c r="A305" s="259">
        <v>65</v>
      </c>
      <c r="B305" s="51" t="s">
        <v>583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66</v>
      </c>
      <c r="B306" s="340" t="s">
        <v>634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67</v>
      </c>
      <c r="B307" s="51" t="s">
        <v>581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 t="s">
        <v>725</v>
      </c>
      <c r="B308" s="51" t="s">
        <v>684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68</v>
      </c>
      <c r="B309" s="108" t="s">
        <v>673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69</v>
      </c>
      <c r="B310" s="340" t="s">
        <v>635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70</v>
      </c>
      <c r="B311" s="108" t="s">
        <v>674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71</v>
      </c>
      <c r="B312" s="108" t="s">
        <v>675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72</v>
      </c>
      <c r="B313" s="108" t="s">
        <v>677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73</v>
      </c>
      <c r="B314" s="340" t="s">
        <v>636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74</v>
      </c>
      <c r="B315" s="108" t="s">
        <v>678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75</v>
      </c>
      <c r="B316" s="340" t="s">
        <v>637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76</v>
      </c>
      <c r="B317" s="108" t="s">
        <v>679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77</v>
      </c>
      <c r="B318" s="340" t="s">
        <v>638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78</v>
      </c>
      <c r="B319" s="108" t="s">
        <v>680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79</v>
      </c>
      <c r="B320" s="340" t="s">
        <v>639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80</v>
      </c>
      <c r="B321" s="340" t="s">
        <v>640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81</v>
      </c>
      <c r="B322" s="108" t="s">
        <v>681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82</v>
      </c>
      <c r="B323" s="51" t="s">
        <v>584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83</v>
      </c>
      <c r="B324" s="340" t="s">
        <v>683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84</v>
      </c>
      <c r="B325" s="340" t="s">
        <v>699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85</v>
      </c>
      <c r="B326" s="340" t="s">
        <v>641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86</v>
      </c>
      <c r="B327" s="340" t="s">
        <v>642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>
        <v>87</v>
      </c>
      <c r="B328" s="340" t="s">
        <v>643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88</v>
      </c>
      <c r="B329" s="340" t="s">
        <v>644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A330" s="259">
        <v>89</v>
      </c>
      <c r="B330" s="51" t="s">
        <v>585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A331" s="259">
        <v>90</v>
      </c>
      <c r="B331" s="108" t="s">
        <v>682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A332" s="259">
        <v>91</v>
      </c>
      <c r="B332" s="51" t="s">
        <v>586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A333" s="259" t="s">
        <v>726</v>
      </c>
      <c r="B333" s="51" t="s">
        <v>685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A334" s="259">
        <v>92</v>
      </c>
      <c r="B334" s="51" t="s">
        <v>588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  <row r="825" spans="2:15" ht="13.5" hidden="1" x14ac:dyDescent="0.15">
      <c r="B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258"/>
    </row>
    <row r="826" spans="2:15" ht="13.5" hidden="1" x14ac:dyDescent="0.15">
      <c r="B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258"/>
    </row>
    <row r="827" spans="2:15" ht="13.5" hidden="1" x14ac:dyDescent="0.15">
      <c r="B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258"/>
    </row>
    <row r="828" spans="2:15" ht="13.5" hidden="1" x14ac:dyDescent="0.15">
      <c r="B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258"/>
    </row>
    <row r="829" spans="2:15" ht="13.5" hidden="1" x14ac:dyDescent="0.15">
      <c r="B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106:E106"/>
    <mergeCell ref="B135:N135"/>
    <mergeCell ref="C128:E128"/>
    <mergeCell ref="F128:H128"/>
    <mergeCell ref="K115:S115"/>
    <mergeCell ref="B115:J115"/>
    <mergeCell ref="I128:J128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J105">
    <cfRule type="cellIs" dxfId="129" priority="1" stopIfTrue="1" operator="equal">
      <formula>"ATENDE TEMPO NO CARGO"</formula>
    </cfRule>
    <cfRule type="cellIs" dxfId="128" priority="2" stopIfTrue="1" operator="equal">
      <formula>"NÃO CUMPRE TEMPO NO CARGO"</formula>
    </cfRule>
  </conditionalFormatting>
  <conditionalFormatting sqref="M248:M266 M238:M244 M269:M292 C226:C228 C137:C182 N181:N182 C184:C203 C223:C224 C230:C234 C205:C221">
    <cfRule type="cellIs" dxfId="127" priority="3" stopIfTrue="1" operator="equal">
      <formula>"ANUÊNIO"</formula>
    </cfRule>
    <cfRule type="cellIs" dxfId="126" priority="4" stopIfTrue="1" operator="equal">
      <formula>"TRIÊNIO"</formula>
    </cfRule>
    <cfRule type="cellIs" dxfId="125" priority="5" stopIfTrue="1" operator="equal">
      <formula>"QUINQUÊNIO"</formula>
    </cfRule>
  </conditionalFormatting>
  <conditionalFormatting sqref="F72:F74">
    <cfRule type="cellIs" dxfId="124" priority="6" stopIfTrue="1" operator="equal">
      <formula>"NADA A CUMPRIR"</formula>
    </cfRule>
    <cfRule type="cellIs" dxfId="123" priority="7" stopIfTrue="1" operator="equal">
      <formula>"NÃO CABE"</formula>
    </cfRule>
    <cfRule type="cellIs" dxfId="122" priority="8" stopIfTrue="1" operator="greaterThanOrEqual">
      <formula>0</formula>
    </cfRule>
  </conditionalFormatting>
  <conditionalFormatting sqref="E71">
    <cfRule type="cellIs" dxfId="121" priority="9" stopIfTrue="1" operator="equal">
      <formula>"NÃO ATENDE LIMITE MÍNIMO DE IDADE"</formula>
    </cfRule>
    <cfRule type="cellIs" dxfId="120" priority="10" stopIfTrue="1" operator="equal">
      <formula>"REANALISAR FUNDAMENTAÇÃO E/OU MODALIDADE"</formula>
    </cfRule>
    <cfRule type="cellIs" dxfId="119" priority="11" stopIfTrue="1" operator="equal">
      <formula>"ATENDE LIMITE MÍNIMO DE IDADE"</formula>
    </cfRule>
  </conditionalFormatting>
  <conditionalFormatting sqref="N69 N71">
    <cfRule type="cellIs" dxfId="118" priority="12" stopIfTrue="1" operator="equal">
      <formula>0</formula>
    </cfRule>
  </conditionalFormatting>
  <conditionalFormatting sqref="K8">
    <cfRule type="expression" dxfId="117" priority="13" stopIfTrue="1">
      <formula>"SE($N$8=0)"</formula>
    </cfRule>
  </conditionalFormatting>
  <conditionalFormatting sqref="C73">
    <cfRule type="cellIs" dxfId="116" priority="14" stopIfTrue="1" operator="equal">
      <formula>"FALTA DATA"</formula>
    </cfRule>
  </conditionalFormatting>
  <conditionalFormatting sqref="M74">
    <cfRule type="cellIs" dxfId="115" priority="15" stopIfTrue="1" operator="equal">
      <formula>"ATENDE"</formula>
    </cfRule>
    <cfRule type="cellIs" dxfId="114" priority="16" stopIfTrue="1" operator="equal">
      <formula>"NÃO ATENDE"</formula>
    </cfRule>
    <cfRule type="cellIs" dxfId="113" priority="17" stopIfTrue="1" operator="equal">
      <formula>"NÃO CABE"</formula>
    </cfRule>
  </conditionalFormatting>
  <conditionalFormatting sqref="M73">
    <cfRule type="cellIs" dxfId="112" priority="18" stopIfTrue="1" operator="equal">
      <formula>"ATENDE"</formula>
    </cfRule>
    <cfRule type="cellIs" dxfId="111" priority="19" stopIfTrue="1" operator="equal">
      <formula>"NÃO ATENDE"</formula>
    </cfRule>
    <cfRule type="cellIs" dxfId="110" priority="20" stopIfTrue="1" operator="equal">
      <formula>"NÃO CABE"</formula>
    </cfRule>
  </conditionalFormatting>
  <conditionalFormatting sqref="M75 L78:L86 L77:M77 L88:L92">
    <cfRule type="cellIs" dxfId="109" priority="21" stopIfTrue="1" operator="equal">
      <formula>"ATENDE"</formula>
    </cfRule>
    <cfRule type="cellIs" dxfId="108" priority="22" stopIfTrue="1" operator="equal">
      <formula>"NÃO ATENDE"</formula>
    </cfRule>
    <cfRule type="cellIs" dxfId="107" priority="23" stopIfTrue="1" operator="equal">
      <formula>"OK"</formula>
    </cfRule>
  </conditionalFormatting>
  <conditionalFormatting sqref="K42">
    <cfRule type="expression" dxfId="106" priority="24" stopIfTrue="1">
      <formula>$E$42&lt;=0</formula>
    </cfRule>
  </conditionalFormatting>
  <conditionalFormatting sqref="M42">
    <cfRule type="expression" dxfId="105" priority="25" stopIfTrue="1">
      <formula>$E$42&lt;=0</formula>
    </cfRule>
  </conditionalFormatting>
  <conditionalFormatting sqref="O70 I67">
    <cfRule type="cellIs" dxfId="104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1100-000000000000}">
      <formula1>$O$2:$O$7</formula1>
    </dataValidation>
    <dataValidation type="list" allowBlank="1" showInputMessage="1" showErrorMessage="1" sqref="E2:I2" xr:uid="{00000000-0002-0000-1100-000001000000}">
      <formula1>$B$95:$B$103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S829"/>
  <sheetViews>
    <sheetView showGridLines="0" topLeftCell="A44" zoomScale="75" zoomScaleNormal="75" workbookViewId="0" xr3:uid="{CF366857-BBDD-5199-9BC9-FF52903B0715}">
      <selection activeCell="A77" sqref="A77:A65536"/>
    </sheetView>
  </sheetViews>
  <sheetFormatPr defaultColWidth="9.16796875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253" width="9.16796875" style="21" hidden="1" customWidth="1"/>
    <col min="254" max="16384" width="9.16796875" style="2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455</v>
      </c>
      <c r="F2" s="1850"/>
      <c r="G2" s="1850"/>
      <c r="H2" s="1850"/>
      <c r="I2" s="1850"/>
      <c r="J2" s="652" t="s">
        <v>462</v>
      </c>
      <c r="K2" s="1939" t="s">
        <v>465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IF(OR($E$2=$B$95,$E$2=$B$96,E2=B97),IF($M$13&gt;=5,"ATENDE","NÃO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IF(OR($E$2=$B$95,$E$2=$B$96,E2=B97),IF($M$15&gt;=10,"ATENDE","NÃO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37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37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263" t="s">
        <v>335</v>
      </c>
      <c r="C26" s="744">
        <f>CRÍTICA_IGP1!C26</f>
        <v>0</v>
      </c>
      <c r="D26" s="593" t="s">
        <v>336</v>
      </c>
      <c r="E26" s="744">
        <f>CRÍTICA_IGP1!E26</f>
        <v>0</v>
      </c>
      <c r="F26" s="745">
        <f>CRÍTICA_IGP1!F26</f>
        <v>0</v>
      </c>
      <c r="G26" s="594" t="s">
        <v>337</v>
      </c>
      <c r="H26" s="595"/>
      <c r="I26" s="595"/>
      <c r="J26" s="615">
        <f>CRÍTICA_IGP1!J26</f>
        <v>0</v>
      </c>
      <c r="K26" s="215"/>
      <c r="L26" s="215" t="s">
        <v>524</v>
      </c>
      <c r="M26" s="595"/>
      <c r="N26" s="746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596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7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596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7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596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748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596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597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596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7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596" t="s">
        <v>606</v>
      </c>
      <c r="C32" s="674">
        <f>CRÍTICA_IGP1!C32</f>
        <v>0</v>
      </c>
      <c r="D32" s="170" t="s">
        <v>336</v>
      </c>
      <c r="E32" s="677">
        <f>CRÍTICA_IGP1!E32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604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596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605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596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606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45" t="s">
        <v>490</v>
      </c>
      <c r="C35" s="1946"/>
      <c r="D35" s="1946"/>
      <c r="E35" s="1947"/>
      <c r="F35" s="607">
        <f>IF(K2=O4,N35,IF(K2=O5,M35,0))</f>
        <v>0</v>
      </c>
      <c r="G35" s="601" t="s">
        <v>491</v>
      </c>
      <c r="H35" s="238"/>
      <c r="I35" s="238"/>
      <c r="J35" s="238"/>
      <c r="K35" s="238"/>
      <c r="L35" s="238"/>
      <c r="M35" s="608">
        <f>IF(E2=B103,IF(D12="X",IF(G10="X",ROUNDDOWN(SUM(F26:F34)*0.2,0),ROUNDDOWN(SUM(F26:F34)*0.17,0)),0),0)</f>
        <v>0</v>
      </c>
      <c r="N35" s="609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IF(N8&gt;=37986,0,IF(AND(N8&lt;37986,F38&lt;&gt;0),SUM(F26:F35),0))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IF(E41&gt;0,IF(E2=B95,E41,IF(E2=B96,E41,IF(E2=B102,E41,))),0)</f>
        <v>12775</v>
      </c>
      <c r="D41" s="178" t="b">
        <f>IF(E41&gt;0,IF(K2=O5,IF(E2=B103,E41,0)),0)</f>
        <v>0</v>
      </c>
      <c r="E41" s="179">
        <f>IF($E$2=B102,IF($G$10="X",(25*365)-$F$37,(30*365)-$F$37),IF($G$10="X",(30*365)-$F$37,(35*365)-$F$37))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CUMPRIR",IF(K2=O5,IF(E2=B103,"HÁ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IF(E42&gt;0,IF(E2=B102,ROUNDUP(E42*0.4,0),ROUNDUP(E42*0.2,0)),0)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IF(N8&gt;=37986,0,IF(F46&lt;&gt;0,F46,IF(K2=O2,0,IF(K2=O3,A42,IF(K2=O4,A43,A44)))))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6" customHeight="1" thickBot="1" x14ac:dyDescent="0.2">
      <c r="A46" s="376"/>
      <c r="B46" s="234"/>
      <c r="C46" s="1066"/>
      <c r="D46" s="1262"/>
      <c r="F46" s="1257">
        <f>SUM(F47:F50)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CRÍTICA_IGP1!E50</f>
        <v>25567</v>
      </c>
      <c r="F50" s="1268">
        <f>'MTS - MAPA DE TEMPO DE SERVIÇO'!$H$40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6" customHeight="1" thickBot="1" x14ac:dyDescent="0.2">
      <c r="A51" s="295"/>
      <c r="B51" s="362"/>
      <c r="C51" s="277" t="str">
        <f>IF($C$47&gt;0,$C$47,IF($C$48&gt;0,$C$48,IF($C$49&gt;0,$C$49,IF($C$50&gt;0,$C$50,"REVER"))))</f>
        <v>REVER</v>
      </c>
      <c r="D51" s="362"/>
      <c r="E51" s="277">
        <f>IF($E$50&gt;0,$E$50,IF($E$49&gt;0,$E$49,IF($E$48&gt;0,$E$48,IF($E$47&gt;0,$E$47,"REVER"))))</f>
        <v>25567</v>
      </c>
      <c r="F51" s="362" t="s">
        <v>741</v>
      </c>
      <c r="G51" s="362"/>
      <c r="H51" s="363">
        <f>SUM($F$48:$F$50)</f>
        <v>0</v>
      </c>
      <c r="I51" s="362" t="s">
        <v>743</v>
      </c>
      <c r="J51" s="363">
        <f>SUM(F49:F50)</f>
        <v>0</v>
      </c>
      <c r="K51" s="362"/>
      <c r="L51" s="362"/>
      <c r="M51" s="362"/>
      <c r="N51" s="362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ht="15" thickBot="1" x14ac:dyDescent="0.2">
      <c r="A57" s="376"/>
      <c r="B57" s="598" t="s">
        <v>606</v>
      </c>
      <c r="C57" s="751">
        <f>CRÍTICA_IGP1!C57</f>
        <v>0</v>
      </c>
      <c r="D57" s="599" t="s">
        <v>336</v>
      </c>
      <c r="E57" s="750">
        <f>CRÍTICA_IGP1!E57</f>
        <v>0</v>
      </c>
      <c r="F57" s="600">
        <f>IF(C57=0,0,IF(E57=0,0,E57-C57+1))-N57</f>
        <v>0</v>
      </c>
      <c r="G57" s="601"/>
      <c r="H57" s="411"/>
      <c r="I57" s="411"/>
      <c r="J57" s="240" t="s">
        <v>704</v>
      </c>
      <c r="K57" s="238"/>
      <c r="L57" s="238"/>
      <c r="M57" s="602"/>
      <c r="N57" s="752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1265"/>
      <c r="C58" s="1066" t="str">
        <f>IF(C54&gt;0,C54,IF(C55&gt;0,C55,IF(C56&gt;0,C56,IF(C57&gt;0,C57,"REVER"))))</f>
        <v>REVER</v>
      </c>
      <c r="D58" s="387"/>
      <c r="E58" s="1210" t="str">
        <f>IF(E57&gt;0,E57,IF(E56&gt;0,E56,IF(E55&gt;0,E55,IF(E54&gt;0,E54,"REVER"))))</f>
        <v>REVER</v>
      </c>
      <c r="F58" s="389"/>
      <c r="G58" s="385"/>
      <c r="H58" s="385"/>
      <c r="I58" s="389"/>
      <c r="J58" s="391"/>
      <c r="K58" s="1266"/>
      <c r="L58" s="74"/>
      <c r="M58" s="1267"/>
      <c r="N58" s="7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IF(N8&gt;=37986,0,IF(C59&gt;=Q12,A52,0))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 t="b">
        <f>IF(E2=B97,"NÃO CABE",IF(E2=B99,"NÃO CABE",IF(E2=B100,"NÃO CABE",IF(E2=B101,"NÃO CABE",IF(C65&gt;0,C65,"NADA A CUMPRIR")))))</f>
        <v>0</v>
      </c>
      <c r="D64" s="198"/>
      <c r="E64" s="199"/>
      <c r="F64" s="200"/>
      <c r="G64" s="198"/>
      <c r="H64" s="201">
        <f>IF($C$64="NÃO CABE",0,IF($C$65&gt;0,ROUNDDOWN($C$65/365,0),0))</f>
        <v>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 t="b">
        <f>IF(K2=O2,IF(E2=B102,R128,R127),IF(K2=O3,Q126,IF(K2=O6,Q126,IF(K2=O4,Q125,IF(K2=O5,Q125,IF($K$2=O7,Q129,0))))))</f>
        <v>0</v>
      </c>
      <c r="D65" s="205"/>
      <c r="E65" s="206"/>
      <c r="F65" s="207"/>
      <c r="G65" s="205"/>
      <c r="H65" s="207">
        <f>IF($C$64="NÃO CABE",0,IF($C$65&gt;0,ROUNDDOWN($C$65/365,0),0))</f>
        <v>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IF($O$10&lt;$D$136,VLOOKUP($E$6,$B$137:$Q$234,3,FALSE),IF($O$10&lt;$E$136,VLOOKUP($E$6,$B$137:$Q$234,4,FALSE),VLOOKUP($E$6,$B$137:$Q$234,5,FALSE)))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$95&lt;=$BC$93,VLOOKUP($C$8,$BB$96:$BH$135,2,FALSE),IF($BC$95&lt;=$BD$93,VLOOKUP($C$8,$BB$96:$BH$135,3,FALSE),IF($BC$95&lt;=$BE$93,VLOOKUP($C$8,$BB$96:$BH$135,4,FALSE),IF($BC$95&lt;=$BF$93,VLOOKUP($C$8,$BB$96:$BH$135,5,FALSE),IF($BC$95&lt;=$BG$93,VLOOKUP($C$8,$BB$96:$BH$135,6,FALSE),VLOOKUP($C$8,$BB$96:$BH$135,7,FALSE))))))</f>
        <v>#N/A</v>
      </c>
      <c r="F68" s="150"/>
      <c r="G68" s="150"/>
      <c r="H68" s="150"/>
      <c r="I68" s="221"/>
      <c r="J68" s="222" t="e">
        <f>IF($BC$92&lt;=$BC$93,VLOOKUP($C$8,$BB$96:$BH$135,2,FALSE),IF($BC$92&lt;=$BD$93,VLOOKUP($C$8,$BB$96:$BH$135,3,FALSE),IF($BC$92&lt;=$BE$93,VLOOKUP($C$8,$BB$96:$BH$135,4,FALSE),IF($BC$92&lt;=$BF$93,VLOOKUP($C$8,$BB$96:$BH$135,5,FALSE),IF($BC$92&lt;=$BG$93,VLOOKUP($C$8,$BB$96:$BH$135,6,FALSE),VLOOKUP($C$8,$BB$96:$BH$135,7,FALSE))))))</f>
        <v>#N/A</v>
      </c>
      <c r="K68" s="150" t="s">
        <v>448</v>
      </c>
      <c r="L68" s="153"/>
      <c r="M68" s="150"/>
      <c r="N68" s="223" t="str">
        <f>IF($K$2=$O$2,J107,IF($K$2=$O$3,J108,IF($K$2=$O$4,J109,IF($K$2=$O$5,J110,"NÃO CABE"))))</f>
        <v>NÃO CABE</v>
      </c>
      <c r="O68" s="254" t="str">
        <f>VLOOKUP($E$6,$B$137:$C$234,2,FALSE)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TRANSIÇÃO_ART. 6º_EC41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ESPECIAL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IF(K2=O3,IF(M109&gt;=N109,N108,"NÃO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IF($E$2=$L$116,$O$116,IF($E$2=$L$117,$O$117,IF($E$2=$L$118,$O$118,IF($E$2=$L$119,$O$119,IF($E$2=$L$120,$O$120,$O$121)))))</f>
        <v>REANALISAR FUNDAMENTAÇÃO E/OU MODALIDADE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 t="b">
        <f>C64</f>
        <v>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ATENDE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ATENDE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IF(OR(E6=B205,E6=B217,E6=B228),IF(L217&gt;=25,"FAZ JUS A 1/6 DA REMUNERAÇÃO",IF(L228&gt;=25,"FAZ JUS A 1/6 DA REMUNERAÇÃO",IF(L205&gt;=25,"FAZ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ATENDE</v>
      </c>
      <c r="N75" s="242"/>
      <c r="O75" s="255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IF(ISERROR(HLOOKUP($J$182,$Q$73:$W$74,2)),0,HLOOKUP($J$182,$Q$73:$W$74,2))</f>
        <v>0</v>
      </c>
      <c r="T75" s="133" t="s">
        <v>451</v>
      </c>
      <c r="U75" s="132"/>
      <c r="V75" s="133"/>
      <c r="W75" s="132">
        <f>IF(ISERROR(HLOOKUP($K$182,$Q$73:$W$74,2)),0,HLOOKUP($K$182,$Q$73:$W$74,2))</f>
        <v>0</v>
      </c>
      <c r="X75" s="134" t="s">
        <v>507</v>
      </c>
      <c r="Y75" s="135"/>
      <c r="Z75" s="136"/>
      <c r="AA75" s="134"/>
      <c r="AB75" s="137">
        <f>IF(ISERROR(HLOOKUP($L$182,$Q$73:$W$74,2)),0,HLOOKUP($L$182,$Q$73:$W$74,2))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x14ac:dyDescent="0.15">
      <c r="A76" s="295"/>
      <c r="B76" s="394"/>
      <c r="C76" s="150"/>
      <c r="D76" s="395"/>
      <c r="E76" s="150"/>
      <c r="F76" s="150"/>
      <c r="G76" s="150"/>
      <c r="H76" s="150"/>
      <c r="I76" s="150"/>
      <c r="J76" s="153"/>
      <c r="K76" s="150"/>
      <c r="L76" s="150"/>
      <c r="M76" s="234"/>
      <c r="N76" s="260"/>
      <c r="O76" s="391" t="str">
        <f>IF($F$72="NADA A CUMPRIR","OK",IF($F$72="NÃO CABE","NÃO CABE","NÃO CUMPRE"))</f>
        <v>NÃO CUMPRE</v>
      </c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7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7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7" si="2">IF(OR($M$73="NÃO CABE",$M$73="ATENDE"),"SIM","NÃO")</f>
        <v>NÃO</v>
      </c>
      <c r="K78" s="414" t="str">
        <f t="shared" ref="K78:K87" si="3">IF(OR($M$74="NÃO CABE",$M$74="ATENDE"),"SIM","NÃO")</f>
        <v>NÃO</v>
      </c>
      <c r="L78" s="412"/>
      <c r="M78" s="414" t="str">
        <f t="shared" ref="M78:M87" si="4">IF(OR($M$75="ATENDE",$M$75="OK"),"SIM","NÃO")</f>
        <v>NÃO</v>
      </c>
      <c r="N78" s="414" t="str">
        <f t="shared" ref="N78:N87" si="5"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NÃO</v>
      </c>
      <c r="K79" s="414" t="str">
        <f t="shared" si="3"/>
        <v>NÃO</v>
      </c>
      <c r="L79" s="412"/>
      <c r="M79" s="414" t="str">
        <f t="shared" si="4"/>
        <v>NÃO</v>
      </c>
      <c r="N79" s="414" t="str">
        <f t="shared" si="5"/>
        <v>NÃO</v>
      </c>
      <c r="O79" s="255"/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NÃO</v>
      </c>
      <c r="K80" s="414" t="str">
        <f t="shared" si="3"/>
        <v>NÃO</v>
      </c>
      <c r="L80" s="412"/>
      <c r="M80" s="414" t="str">
        <f t="shared" si="4"/>
        <v>NÃO</v>
      </c>
      <c r="N80" s="588" t="str">
        <f>IF(OR($N$8&gt;=37986,$N$10&lt;37986),"NÃO",IF(AND(C80="SIM",H80="SIM",J80="SIM",K80="SIM",M80="SIM"),"SIM","NÃO"))</f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NÃO</v>
      </c>
      <c r="K81" s="414" t="str">
        <f t="shared" si="3"/>
        <v>NÃO</v>
      </c>
      <c r="L81" s="412"/>
      <c r="M81" s="414" t="str">
        <f t="shared" si="4"/>
        <v>NÃO</v>
      </c>
      <c r="N81" s="414" t="str">
        <f t="shared" si="5"/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7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NÃO</v>
      </c>
      <c r="K82" s="414" t="str">
        <f t="shared" si="3"/>
        <v>NÃO</v>
      </c>
      <c r="L82" s="412"/>
      <c r="M82" s="414" t="str">
        <f t="shared" si="4"/>
        <v>NÃO</v>
      </c>
      <c r="N82" s="414" t="str">
        <f t="shared" si="5"/>
        <v>NÃO</v>
      </c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NÃO</v>
      </c>
      <c r="I83" s="413" t="str">
        <f t="shared" si="6"/>
        <v>NÃO</v>
      </c>
      <c r="J83" s="414" t="str">
        <f t="shared" si="2"/>
        <v>NÃO</v>
      </c>
      <c r="K83" s="414" t="str">
        <f t="shared" si="3"/>
        <v>NÃO</v>
      </c>
      <c r="L83" s="412"/>
      <c r="M83" s="414" t="str">
        <f t="shared" si="4"/>
        <v>NÃO</v>
      </c>
      <c r="N83" s="414" t="str">
        <f t="shared" si="5"/>
        <v>NÃO</v>
      </c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6" t="s">
        <v>487</v>
      </c>
      <c r="C84" s="414" t="str">
        <f t="shared" si="0"/>
        <v>NÃO</v>
      </c>
      <c r="D84" s="415"/>
      <c r="E84" s="18" t="s">
        <v>754</v>
      </c>
      <c r="F84" s="631"/>
      <c r="G84" s="18"/>
      <c r="H84" s="414" t="str">
        <f t="shared" si="1"/>
        <v>NÃO</v>
      </c>
      <c r="I84" s="413" t="str">
        <f t="shared" si="6"/>
        <v>NÃO</v>
      </c>
      <c r="J84" s="414" t="str">
        <f t="shared" si="2"/>
        <v>NÃO</v>
      </c>
      <c r="K84" s="414" t="str">
        <f t="shared" si="3"/>
        <v>NÃO</v>
      </c>
      <c r="L84" s="412"/>
      <c r="M84" s="414" t="str">
        <f t="shared" si="4"/>
        <v>NÃO</v>
      </c>
      <c r="N84" s="414" t="str">
        <f t="shared" si="5"/>
        <v>NÃO</v>
      </c>
      <c r="AC84" s="69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412" t="s">
        <v>467</v>
      </c>
      <c r="C85" s="414" t="str">
        <f t="shared" si="0"/>
        <v>NÃO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NÃO</v>
      </c>
      <c r="K85" s="414" t="str">
        <f t="shared" si="3"/>
        <v>NÃO</v>
      </c>
      <c r="L85" s="412"/>
      <c r="M85" s="414" t="str">
        <f t="shared" si="4"/>
        <v>NÃO</v>
      </c>
      <c r="N85" s="414" t="str">
        <f t="shared" si="5"/>
        <v>NÃO</v>
      </c>
      <c r="AC85" s="69"/>
      <c r="AD85" s="70"/>
      <c r="AE85" s="70"/>
      <c r="AF85" s="70"/>
      <c r="AG85" s="69"/>
      <c r="AX85" s="11"/>
      <c r="AY85" s="11"/>
      <c r="AZ85" s="11"/>
      <c r="BA85" s="85"/>
    </row>
    <row r="86" spans="1:64" ht="13.5" hidden="1" x14ac:dyDescent="0.15">
      <c r="A86" s="295"/>
      <c r="B86" s="412" t="s">
        <v>467</v>
      </c>
      <c r="C86" s="414" t="str">
        <f t="shared" si="0"/>
        <v>NÃO</v>
      </c>
      <c r="D86" s="415"/>
      <c r="E86" s="18" t="s">
        <v>485</v>
      </c>
      <c r="F86" s="631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NÃO</v>
      </c>
      <c r="K86" s="414" t="str">
        <f t="shared" si="3"/>
        <v>NÃO</v>
      </c>
      <c r="L86" s="412"/>
      <c r="M86" s="414" t="str">
        <f t="shared" si="4"/>
        <v>NÃO</v>
      </c>
      <c r="N86" s="414" t="str">
        <f t="shared" si="5"/>
        <v>NÃO</v>
      </c>
      <c r="AC86" s="69"/>
      <c r="AD86" s="70"/>
      <c r="AE86" s="70"/>
      <c r="AF86" s="70"/>
      <c r="AG86" s="69"/>
      <c r="AX86" s="11"/>
      <c r="AY86" s="11"/>
      <c r="AZ86" s="11"/>
      <c r="BA86" s="85"/>
    </row>
    <row r="87" spans="1:64" hidden="1" x14ac:dyDescent="0.15">
      <c r="A87" s="295"/>
      <c r="B87" s="616" t="s">
        <v>484</v>
      </c>
      <c r="C87" s="414" t="str">
        <f t="shared" si="0"/>
        <v>NÃO</v>
      </c>
      <c r="D87" s="546"/>
      <c r="E87" s="33" t="s">
        <v>464</v>
      </c>
      <c r="F87" s="416"/>
      <c r="G87" s="185"/>
      <c r="H87" s="414" t="str">
        <f t="shared" si="1"/>
        <v>NÃO</v>
      </c>
      <c r="I87" s="413" t="str">
        <f>IF($D$14="X",IF($N$79="SIM","SIM","NÃO"),"NÃO")</f>
        <v>NÃO</v>
      </c>
      <c r="J87" s="414" t="str">
        <f t="shared" si="2"/>
        <v>NÃO</v>
      </c>
      <c r="K87" s="414" t="str">
        <f t="shared" si="3"/>
        <v>NÃO</v>
      </c>
      <c r="L87" s="185"/>
      <c r="M87" s="414" t="str">
        <f t="shared" si="4"/>
        <v>NÃO</v>
      </c>
      <c r="N87" s="414" t="str">
        <f t="shared" si="5"/>
        <v>NÃO</v>
      </c>
      <c r="AC87" s="69"/>
      <c r="AD87" s="70"/>
      <c r="AE87" s="70"/>
      <c r="AF87" s="70"/>
      <c r="AG87" s="69"/>
      <c r="AX87" s="11"/>
      <c r="AY87" s="11"/>
      <c r="AZ87" s="11"/>
      <c r="BA87" s="85"/>
    </row>
    <row r="88" spans="1:64" ht="13.5" hidden="1" x14ac:dyDescent="0.15">
      <c r="A88" s="295"/>
      <c r="B88" s="18" t="s">
        <v>455</v>
      </c>
      <c r="C88" s="414" t="str">
        <f>IF(OR($E$71="NADA A CRITICAR",$E$71="ATENDE LIMITE MÍNIMO DE IDADE"),"SIM","NÃO")</f>
        <v>NÃO</v>
      </c>
      <c r="D88" s="415"/>
      <c r="E88" s="18" t="s">
        <v>463</v>
      </c>
      <c r="F88" s="416"/>
      <c r="G88" s="18"/>
      <c r="H88" s="414" t="str">
        <f>IF(OR($F$72="NADA A CUMPRIR",$F$72="NÃO CABE"),"SIM","NÃO")</f>
        <v>NÃO</v>
      </c>
      <c r="I88" s="413" t="str">
        <f>IF(N88="SIM","SIM","NÃO")</f>
        <v>NÃO</v>
      </c>
      <c r="J88" s="414" t="str">
        <f>IF(OR($M$73="NÃO CABE",$M$73="ATENDE"),"SIM","NÃO")</f>
        <v>NÃO</v>
      </c>
      <c r="K88" s="414" t="str">
        <f>IF(OR($M$74="NÃO CABE",$M$74="ATENDE"),"SIM","NÃO")</f>
        <v>NÃO</v>
      </c>
      <c r="L88" s="412"/>
      <c r="M88" s="414" t="str">
        <f>IF(OR($M$75="ATENDE",$M$75="OK"),"SIM","NÃO")</f>
        <v>NÃO</v>
      </c>
      <c r="N88" s="414" t="str">
        <f>IF(AND(C88="SIM",H88="SIM",J88="SIM",K88="SIM",M88="SIM"),"SIM","NÃO")</f>
        <v>NÃO</v>
      </c>
      <c r="AC88" s="69"/>
      <c r="AD88" s="70"/>
      <c r="AE88" s="70"/>
      <c r="AF88" s="70"/>
      <c r="AG88" s="69"/>
      <c r="AX88" s="11"/>
      <c r="AY88" s="11"/>
      <c r="AZ88" s="11"/>
      <c r="BA88" s="85"/>
    </row>
    <row r="89" spans="1:64" hidden="1" x14ac:dyDescent="0.15">
      <c r="A89" s="295"/>
      <c r="B89" s="617" t="s">
        <v>455</v>
      </c>
      <c r="C89" s="641" t="str">
        <f>IF(OR($E$71="NADA A CRITICAR",$E$71="ATENDE LIMITE MÍNIMO DE IDADE"),"SIM","NÃO")</f>
        <v>NÃO</v>
      </c>
      <c r="D89" s="649"/>
      <c r="E89" s="617" t="s">
        <v>752</v>
      </c>
      <c r="F89" s="643">
        <f>I67</f>
        <v>0</v>
      </c>
      <c r="G89" s="617"/>
      <c r="H89" s="641" t="str">
        <f>IF(OR($F$72="NADA A CUMPRIR",$F$72="NÃO CABE"),"SIM","NÃO")</f>
        <v>NÃO</v>
      </c>
      <c r="I89" s="644" t="str">
        <f>IF(N89="SIM","SIM","NÃO")</f>
        <v>NÃO</v>
      </c>
      <c r="J89" s="641" t="str">
        <f>IF(OR($M$73="NÃO CABE",$M$73="ATENDE"),"SIM","NÃO")</f>
        <v>NÃO</v>
      </c>
      <c r="K89" s="641" t="str">
        <f>IF(OR($M$74="NÃO CABE",$M$74="ATENDE"),"SIM","NÃO")</f>
        <v>NÃO</v>
      </c>
      <c r="L89" s="645"/>
      <c r="M89" s="641" t="str">
        <f>IF(OR($M$75="ATENDE",$M$75="OK"),"SIM","NÃO")</f>
        <v>NÃO</v>
      </c>
      <c r="N89" s="588" t="str">
        <f>IF(OR($N$8&gt;=37986,$N$10&lt;37986),"NÃO",IF(AND(C89="SIM",H89="SIM",J89="SIM",K89="SIM",M89="SIM"),"SIM","NÃO"))</f>
        <v>NÃO</v>
      </c>
      <c r="AC89" s="69"/>
      <c r="AD89" s="70"/>
      <c r="AE89" s="70"/>
      <c r="AF89" s="70"/>
      <c r="AG89" s="69"/>
      <c r="AX89" s="11"/>
      <c r="AY89" s="11"/>
      <c r="AZ89" s="11"/>
      <c r="BA89" s="85"/>
    </row>
    <row r="90" spans="1:64" hidden="1" x14ac:dyDescent="0.15">
      <c r="A90" s="295"/>
      <c r="B90" s="18" t="s">
        <v>455</v>
      </c>
      <c r="C90" s="414" t="str">
        <f>IF(OR($E$71="NADA A CRITICAR",$E$71="ATENDE LIMITE MÍNIMO DE IDADE"),"SIM","NÃO")</f>
        <v>NÃO</v>
      </c>
      <c r="D90" s="546"/>
      <c r="E90" s="18" t="s">
        <v>754</v>
      </c>
      <c r="F90" s="416"/>
      <c r="G90" s="18"/>
      <c r="H90" s="414" t="str">
        <f>IF(OR($F$72="NADA A CUMPRIR",$F$72="NÃO CABE"),"SIM","NÃO")</f>
        <v>NÃO</v>
      </c>
      <c r="I90" s="413" t="str">
        <f>IF(N90="SIM","SIM","NÃO")</f>
        <v>NÃO</v>
      </c>
      <c r="J90" s="414" t="str">
        <f>IF(OR($M$73="NÃO CABE",$M$73="ATENDE"),"SIM","NÃO")</f>
        <v>NÃO</v>
      </c>
      <c r="K90" s="414" t="str">
        <f>IF(OR($M$74="NÃO CABE",$M$74="ATENDE"),"SIM","NÃO")</f>
        <v>NÃO</v>
      </c>
      <c r="L90" s="412"/>
      <c r="M90" s="414" t="str">
        <f>IF(OR($M$75="ATENDE",$M$75="OK"),"SIM","NÃO")</f>
        <v>NÃO</v>
      </c>
      <c r="N90" s="414" t="str">
        <f>IF(AND(C90="SIM",H90="SIM",J90="SIM",K90="SIM",M90="SIM"),"SIM","NÃO")</f>
        <v>NÃO</v>
      </c>
      <c r="AC90" s="69"/>
      <c r="AD90" s="70"/>
      <c r="AE90" s="70"/>
      <c r="AF90" s="70"/>
      <c r="AG90" s="69"/>
      <c r="AX90" s="11"/>
      <c r="AY90" s="11"/>
      <c r="AZ90" s="11"/>
      <c r="BA90" s="85"/>
    </row>
    <row r="91" spans="1:64" hidden="1" thickBot="1" x14ac:dyDescent="0.2">
      <c r="A91" s="295"/>
      <c r="B91" s="18" t="s">
        <v>455</v>
      </c>
      <c r="C91" s="414" t="str">
        <f>IF(OR($E$71="NADA A CRITICAR",$E$71="ATENDE LIMITE MÍNIMO DE IDADE"),"SIM","NÃO")</f>
        <v>NÃO</v>
      </c>
      <c r="D91" s="21"/>
      <c r="E91" s="18" t="s">
        <v>485</v>
      </c>
      <c r="F91" s="416"/>
      <c r="G91" s="18"/>
      <c r="H91" s="414" t="str">
        <f>IF(OR($F$72="NADA A CUMPRIR",$F$72="NÃO CABE"),"SIM","NÃO")</f>
        <v>NÃO</v>
      </c>
      <c r="I91" s="413" t="str">
        <f>IF($D$14="X",IF($N$79="SIM","SIM","NÃO"),"NÃO")</f>
        <v>NÃO</v>
      </c>
      <c r="J91" s="414" t="str">
        <f>IF(OR($M$73="NÃO CABE",$M$73="ATENDE"),"SIM","NÃO")</f>
        <v>NÃO</v>
      </c>
      <c r="K91" s="414" t="str">
        <f>IF(OR($M$74="NÃO CABE",$M$74="ATENDE"),"SIM","NÃO")</f>
        <v>NÃO</v>
      </c>
      <c r="L91" s="412"/>
      <c r="M91" s="414" t="str">
        <f>IF(OR($M$75="ATENDE",$M$75="OK"),"SIM","NÃO")</f>
        <v>NÃO</v>
      </c>
      <c r="N91" s="414" t="str">
        <f>IF(AND(C91="SIM",H91="SIM",J91="SIM",K91="SIM",M91="SIM"),"SIM","NÃO")</f>
        <v>NÃO</v>
      </c>
      <c r="AC91" s="69"/>
      <c r="AD91" s="70"/>
      <c r="AE91" s="70"/>
      <c r="AF91" s="70"/>
      <c r="AG91" s="69"/>
      <c r="AX91" s="11"/>
      <c r="AY91" s="11"/>
      <c r="AZ91" s="11"/>
      <c r="BA91" s="85"/>
    </row>
    <row r="92" spans="1:64" ht="15.95" hidden="1" customHeight="1" thickTop="1" x14ac:dyDescent="0.15">
      <c r="C92" s="21"/>
      <c r="D92" s="21"/>
      <c r="F92" s="5"/>
      <c r="G92" s="5"/>
      <c r="H92" s="5"/>
      <c r="I92" s="5"/>
      <c r="J92" s="5"/>
      <c r="K92" s="5"/>
      <c r="L92" s="5"/>
      <c r="M92" s="2"/>
      <c r="N92" s="5"/>
      <c r="AC92" s="69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Z92" s="11"/>
      <c r="BA92" s="85"/>
      <c r="BB92" s="686"/>
      <c r="BC92" s="687">
        <f>SUM(F30:F32)</f>
        <v>0</v>
      </c>
      <c r="BD92" s="687"/>
      <c r="BE92" s="687"/>
      <c r="BF92" s="688"/>
      <c r="BG92" s="688"/>
      <c r="BH92" s="688"/>
      <c r="BI92" s="688" t="s">
        <v>361</v>
      </c>
      <c r="BJ92" s="689" t="s">
        <v>362</v>
      </c>
      <c r="BK92" s="690" t="s">
        <v>362</v>
      </c>
      <c r="BL92" s="691" t="s">
        <v>363</v>
      </c>
    </row>
    <row r="93" spans="1:64" ht="15.95" hidden="1" customHeight="1" thickBot="1" x14ac:dyDescent="0.2">
      <c r="C93" s="21"/>
      <c r="D93" s="21"/>
      <c r="G93" s="5"/>
      <c r="H93" s="5"/>
      <c r="I93" s="5"/>
      <c r="J93" s="5"/>
      <c r="K93" s="5"/>
      <c r="L93" s="5"/>
      <c r="M93" s="2"/>
      <c r="N93" s="5"/>
      <c r="AC93" s="69"/>
      <c r="AD93" s="70"/>
      <c r="AE93" s="70"/>
      <c r="AF93" s="70"/>
      <c r="AG93" s="69"/>
      <c r="AZ93" s="11"/>
      <c r="BA93" s="85"/>
      <c r="BB93" s="692" t="s">
        <v>364</v>
      </c>
      <c r="BC93" s="693">
        <v>5</v>
      </c>
      <c r="BD93" s="693">
        <v>10</v>
      </c>
      <c r="BE93" s="693">
        <v>15</v>
      </c>
      <c r="BF93" s="693">
        <v>20</v>
      </c>
      <c r="BG93" s="694">
        <v>25</v>
      </c>
      <c r="BH93" s="694" t="s">
        <v>365</v>
      </c>
      <c r="BI93" s="695" t="s">
        <v>366</v>
      </c>
      <c r="BJ93" s="696" t="s">
        <v>367</v>
      </c>
      <c r="BK93" s="697">
        <v>34820</v>
      </c>
      <c r="BL93" s="698">
        <v>34851</v>
      </c>
    </row>
    <row r="94" spans="1:64" ht="15.95" hidden="1" customHeight="1" thickBot="1" x14ac:dyDescent="0.2">
      <c r="B94" s="88" t="s">
        <v>449</v>
      </c>
      <c r="C94" s="89"/>
      <c r="D94" s="97" t="s">
        <v>546</v>
      </c>
      <c r="E94" s="98"/>
      <c r="F94" s="99"/>
      <c r="G94" s="5"/>
      <c r="H94" s="5"/>
      <c r="I94" s="5"/>
      <c r="J94" s="5"/>
      <c r="K94" s="5"/>
      <c r="L94" s="5"/>
      <c r="M94" s="2"/>
      <c r="N94" s="5"/>
      <c r="AC94" s="69"/>
      <c r="AD94" s="70"/>
      <c r="AE94" s="70"/>
      <c r="AF94" s="70"/>
      <c r="AG94" s="69"/>
      <c r="AZ94" s="11"/>
      <c r="BA94" s="85"/>
      <c r="BB94" s="692"/>
      <c r="BC94" s="693"/>
      <c r="BD94" s="693"/>
      <c r="BE94" s="693"/>
      <c r="BF94" s="693"/>
      <c r="BG94" s="694"/>
      <c r="BH94" s="694"/>
      <c r="BI94" s="695"/>
      <c r="BJ94" s="696"/>
      <c r="BK94" s="697"/>
      <c r="BL94" s="698"/>
    </row>
    <row r="95" spans="1:64" ht="15.95" hidden="1" customHeight="1" thickBot="1" x14ac:dyDescent="0.2">
      <c r="B95" s="91" t="s">
        <v>450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AC95" s="69"/>
      <c r="AD95" s="21"/>
      <c r="AE95" s="21"/>
      <c r="AF95" s="21"/>
      <c r="AZ95" s="11"/>
      <c r="BA95" s="85"/>
      <c r="BB95" s="699"/>
      <c r="BC95" s="700">
        <f>(BC92+F45+F59)/365</f>
        <v>0</v>
      </c>
      <c r="BD95" s="701"/>
      <c r="BE95" s="701"/>
      <c r="BF95" s="701"/>
      <c r="BG95" s="701"/>
      <c r="BH95" s="701"/>
      <c r="BI95" s="702">
        <v>0.45</v>
      </c>
      <c r="BJ95" s="703"/>
      <c r="BK95" s="704"/>
      <c r="BL95" s="705" t="s">
        <v>368</v>
      </c>
    </row>
    <row r="96" spans="1:64" ht="15.95" hidden="1" customHeight="1" x14ac:dyDescent="0.15">
      <c r="B96" s="91" t="s">
        <v>455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06" t="s">
        <v>369</v>
      </c>
      <c r="BC96" s="707" t="s">
        <v>370</v>
      </c>
      <c r="BD96" s="708" t="s">
        <v>371</v>
      </c>
      <c r="BE96" s="708" t="s">
        <v>372</v>
      </c>
      <c r="BF96" s="708" t="s">
        <v>373</v>
      </c>
      <c r="BG96" s="708" t="s">
        <v>374</v>
      </c>
      <c r="BH96" s="709" t="s">
        <v>375</v>
      </c>
      <c r="BI96" s="710" t="e">
        <f>#REF!*1.45</f>
        <v>#REF!</v>
      </c>
      <c r="BJ96" s="711">
        <v>80.64</v>
      </c>
      <c r="BK96" s="712">
        <v>100</v>
      </c>
      <c r="BL96" s="713">
        <v>112</v>
      </c>
    </row>
    <row r="97" spans="2:64" ht="15.95" hidden="1" customHeight="1" x14ac:dyDescent="0.15">
      <c r="B97" s="91" t="s">
        <v>467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376</v>
      </c>
      <c r="BC97" s="715" t="s">
        <v>370</v>
      </c>
      <c r="BD97" s="716" t="s">
        <v>371</v>
      </c>
      <c r="BE97" s="716" t="s">
        <v>372</v>
      </c>
      <c r="BF97" s="716" t="s">
        <v>373</v>
      </c>
      <c r="BG97" s="716" t="s">
        <v>374</v>
      </c>
      <c r="BH97" s="717" t="s">
        <v>375</v>
      </c>
      <c r="BI97" s="718" t="e">
        <f>#REF!*1.45</f>
        <v>#REF!</v>
      </c>
      <c r="BJ97" s="719">
        <v>90.32</v>
      </c>
      <c r="BK97" s="720">
        <v>100</v>
      </c>
      <c r="BL97" s="721">
        <v>125.44</v>
      </c>
    </row>
    <row r="98" spans="2:64" ht="15.95" hidden="1" customHeight="1" x14ac:dyDescent="0.15">
      <c r="B98" s="91" t="s">
        <v>468</v>
      </c>
      <c r="C98" s="90"/>
      <c r="D98" s="90"/>
      <c r="E98" s="90"/>
      <c r="F98" s="92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377</v>
      </c>
      <c r="BC98" s="715" t="s">
        <v>371</v>
      </c>
      <c r="BD98" s="716" t="s">
        <v>372</v>
      </c>
      <c r="BE98" s="716" t="s">
        <v>373</v>
      </c>
      <c r="BF98" s="716" t="s">
        <v>374</v>
      </c>
      <c r="BG98" s="716" t="s">
        <v>375</v>
      </c>
      <c r="BH98" s="717" t="s">
        <v>378</v>
      </c>
      <c r="BI98" s="718" t="e">
        <f>#REF!*1.45</f>
        <v>#REF!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91" t="s">
        <v>470</v>
      </c>
      <c r="C99" s="90"/>
      <c r="D99" s="90"/>
      <c r="E99" s="90"/>
      <c r="F99" s="92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379</v>
      </c>
      <c r="BC99" s="715" t="s">
        <v>371</v>
      </c>
      <c r="BD99" s="716" t="s">
        <v>372</v>
      </c>
      <c r="BE99" s="716" t="s">
        <v>373</v>
      </c>
      <c r="BF99" s="716" t="s">
        <v>374</v>
      </c>
      <c r="BG99" s="716" t="s">
        <v>375</v>
      </c>
      <c r="BH99" s="717" t="s">
        <v>378</v>
      </c>
      <c r="BI99" s="718" t="e">
        <f>#REF!*1.45</f>
        <v>#REF!</v>
      </c>
      <c r="BJ99" s="719">
        <v>113.29</v>
      </c>
      <c r="BK99" s="720">
        <v>113.29</v>
      </c>
      <c r="BL99" s="721">
        <v>157.35</v>
      </c>
    </row>
    <row r="100" spans="2:64" ht="15.95" hidden="1" customHeight="1" x14ac:dyDescent="0.15">
      <c r="B100" s="91" t="s">
        <v>471</v>
      </c>
      <c r="C100" s="90"/>
      <c r="D100" s="90"/>
      <c r="E100" s="90"/>
      <c r="F100" s="92"/>
      <c r="G100" s="5"/>
      <c r="H100" s="5"/>
      <c r="I100" s="5"/>
      <c r="J100" s="5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380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 t="e">
        <f>#REF!*1.45</f>
        <v>#REF!</v>
      </c>
      <c r="BJ100" s="719">
        <v>126.89</v>
      </c>
      <c r="BK100" s="720">
        <v>129.88999999999999</v>
      </c>
      <c r="BL100" s="721">
        <v>176.23</v>
      </c>
    </row>
    <row r="101" spans="2:64" ht="15.95" hidden="1" customHeight="1" x14ac:dyDescent="0.15">
      <c r="B101" s="93" t="s">
        <v>472</v>
      </c>
      <c r="C101" s="90"/>
      <c r="D101" s="90"/>
      <c r="E101" s="90"/>
      <c r="F101" s="92"/>
      <c r="G101" s="5"/>
      <c r="H101" s="5"/>
      <c r="I101" s="5"/>
      <c r="J101" s="5"/>
      <c r="K101" s="5"/>
      <c r="L101" s="5"/>
      <c r="M101" s="2"/>
      <c r="N101" s="5"/>
      <c r="O101" s="255"/>
      <c r="AD101" s="70"/>
      <c r="AE101" s="70"/>
      <c r="AF101" s="70"/>
      <c r="AG101" s="69"/>
      <c r="AZ101" s="11"/>
      <c r="BA101" s="85"/>
      <c r="BB101" s="714" t="s">
        <v>328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A134*1.45</f>
        <v>0</v>
      </c>
      <c r="BJ101" s="719">
        <v>80.64</v>
      </c>
      <c r="BK101" s="720">
        <v>100</v>
      </c>
      <c r="BL101" s="721">
        <v>112</v>
      </c>
    </row>
    <row r="102" spans="2:64" ht="15.95" hidden="1" customHeight="1" x14ac:dyDescent="0.15">
      <c r="B102" s="93" t="s">
        <v>487</v>
      </c>
      <c r="C102" s="90"/>
      <c r="D102" s="90"/>
      <c r="E102" s="90"/>
      <c r="F102" s="92"/>
      <c r="G102" s="5"/>
      <c r="H102" s="5"/>
      <c r="I102" s="5"/>
      <c r="J102" s="5"/>
      <c r="K102" s="5"/>
      <c r="L102" s="5"/>
      <c r="M102" s="2"/>
      <c r="N102" s="5"/>
      <c r="O102" s="255"/>
      <c r="AD102" s="70"/>
      <c r="AE102" s="70"/>
      <c r="AF102" s="70"/>
      <c r="AG102" s="69"/>
      <c r="AZ102" s="11"/>
      <c r="BA102" s="85"/>
      <c r="BB102" s="714" t="s">
        <v>382</v>
      </c>
      <c r="BC102" s="715" t="s">
        <v>372</v>
      </c>
      <c r="BD102" s="716" t="s">
        <v>373</v>
      </c>
      <c r="BE102" s="716" t="s">
        <v>374</v>
      </c>
      <c r="BF102" s="716" t="s">
        <v>375</v>
      </c>
      <c r="BG102" s="716" t="s">
        <v>378</v>
      </c>
      <c r="BH102" s="717" t="s">
        <v>381</v>
      </c>
      <c r="BI102" s="718">
        <f>A135*1.45</f>
        <v>0</v>
      </c>
      <c r="BJ102" s="719">
        <v>90.32</v>
      </c>
      <c r="BK102" s="720">
        <v>100</v>
      </c>
      <c r="BL102" s="721">
        <v>125.44</v>
      </c>
    </row>
    <row r="103" spans="2:64" ht="15.95" hidden="1" customHeight="1" thickBot="1" x14ac:dyDescent="0.2">
      <c r="B103" s="94" t="s">
        <v>484</v>
      </c>
      <c r="C103" s="95"/>
      <c r="D103" s="95"/>
      <c r="E103" s="95"/>
      <c r="F103" s="96"/>
      <c r="G103" s="5"/>
      <c r="H103" s="5"/>
      <c r="I103" s="5"/>
      <c r="J103" s="5"/>
      <c r="K103" s="5"/>
      <c r="L103" s="5"/>
      <c r="M103" s="2"/>
      <c r="N103" s="5"/>
      <c r="O103" s="255"/>
      <c r="AD103" s="70"/>
      <c r="AE103" s="70"/>
      <c r="AF103" s="70"/>
      <c r="AG103" s="69"/>
      <c r="AZ103" s="11"/>
      <c r="BA103" s="85"/>
      <c r="BB103" s="714" t="s">
        <v>383</v>
      </c>
      <c r="BC103" s="715" t="s">
        <v>372</v>
      </c>
      <c r="BD103" s="716" t="s">
        <v>373</v>
      </c>
      <c r="BE103" s="716" t="s">
        <v>374</v>
      </c>
      <c r="BF103" s="716" t="s">
        <v>375</v>
      </c>
      <c r="BG103" s="716" t="s">
        <v>378</v>
      </c>
      <c r="BH103" s="717" t="s">
        <v>381</v>
      </c>
      <c r="BI103" s="718">
        <f>A136*1.45</f>
        <v>0</v>
      </c>
      <c r="BJ103" s="719">
        <v>101.15</v>
      </c>
      <c r="BK103" s="720">
        <v>101.15</v>
      </c>
      <c r="BL103" s="721">
        <v>140.4</v>
      </c>
    </row>
    <row r="104" spans="2:64" ht="15.95" hidden="1" customHeight="1" x14ac:dyDescent="0.15">
      <c r="B104" s="3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2"/>
      <c r="N104" s="5"/>
      <c r="O104" s="255"/>
      <c r="AD104" s="70"/>
      <c r="AE104" s="70"/>
      <c r="AF104" s="70"/>
      <c r="AG104" s="69"/>
      <c r="AZ104" s="11"/>
      <c r="BA104" s="85"/>
      <c r="BB104" s="714" t="s">
        <v>384</v>
      </c>
      <c r="BC104" s="715" t="s">
        <v>372</v>
      </c>
      <c r="BD104" s="716" t="s">
        <v>373</v>
      </c>
      <c r="BE104" s="716" t="s">
        <v>374</v>
      </c>
      <c r="BF104" s="716" t="s">
        <v>375</v>
      </c>
      <c r="BG104" s="716" t="s">
        <v>378</v>
      </c>
      <c r="BH104" s="717" t="s">
        <v>381</v>
      </c>
      <c r="BI104" s="718">
        <f>A137*1.45</f>
        <v>1.45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30"/>
      <c r="C105" s="5"/>
      <c r="D105" s="5"/>
      <c r="E105" s="5"/>
      <c r="F105" s="5"/>
      <c r="G105" s="5"/>
      <c r="H105" s="5"/>
      <c r="I105" s="5"/>
      <c r="J105" s="74"/>
      <c r="K105" s="5"/>
      <c r="L105" s="5"/>
      <c r="M105" s="2"/>
      <c r="N105" s="5"/>
      <c r="O105" s="255"/>
      <c r="AD105" s="70"/>
      <c r="AE105" s="70"/>
      <c r="AF105" s="70"/>
      <c r="AG105" s="69"/>
      <c r="AZ105" s="11"/>
      <c r="BA105" s="85"/>
      <c r="BB105" s="714" t="s">
        <v>385</v>
      </c>
      <c r="BC105" s="715" t="s">
        <v>372</v>
      </c>
      <c r="BD105" s="716" t="s">
        <v>373</v>
      </c>
      <c r="BE105" s="716" t="s">
        <v>374</v>
      </c>
      <c r="BF105" s="716" t="s">
        <v>375</v>
      </c>
      <c r="BG105" s="716" t="s">
        <v>378</v>
      </c>
      <c r="BH105" s="717" t="s">
        <v>381</v>
      </c>
      <c r="BI105" s="718">
        <f>A137*1.45</f>
        <v>1.45</v>
      </c>
      <c r="BJ105" s="719">
        <v>126.89</v>
      </c>
      <c r="BK105" s="720">
        <v>126.89</v>
      </c>
      <c r="BL105" s="721">
        <v>176.23</v>
      </c>
    </row>
    <row r="106" spans="2:64" ht="13.5" hidden="1" x14ac:dyDescent="0.15">
      <c r="B106" s="1849" t="s">
        <v>508</v>
      </c>
      <c r="C106" s="1849"/>
      <c r="D106" s="1849"/>
      <c r="E106" s="1849"/>
      <c r="H106" s="5"/>
      <c r="I106" s="37"/>
      <c r="J106" s="5"/>
      <c r="K106" s="27"/>
      <c r="L106" s="6"/>
      <c r="M106" s="27"/>
      <c r="N106" s="60"/>
      <c r="O106" s="255"/>
      <c r="AD106" s="70"/>
      <c r="AE106" s="70"/>
      <c r="AF106" s="70"/>
      <c r="AG106" s="69"/>
      <c r="AZ106" s="11"/>
      <c r="BA106" s="85"/>
      <c r="BB106" s="714" t="s">
        <v>386</v>
      </c>
      <c r="BC106" s="715" t="s">
        <v>372</v>
      </c>
      <c r="BD106" s="716" t="s">
        <v>373</v>
      </c>
      <c r="BE106" s="716" t="s">
        <v>374</v>
      </c>
      <c r="BF106" s="716" t="s">
        <v>375</v>
      </c>
      <c r="BG106" s="716" t="s">
        <v>378</v>
      </c>
      <c r="BH106" s="717" t="s">
        <v>381</v>
      </c>
      <c r="BI106" s="718">
        <f>A138*1.45</f>
        <v>2.9</v>
      </c>
      <c r="BJ106" s="719">
        <v>126.89</v>
      </c>
      <c r="BK106" s="720">
        <v>126.89</v>
      </c>
      <c r="BL106" s="721">
        <v>176.23</v>
      </c>
    </row>
    <row r="107" spans="2:64" hidden="1" thickBot="1" x14ac:dyDescent="0.2">
      <c r="B107" s="34" t="s">
        <v>463</v>
      </c>
      <c r="C107" s="17"/>
      <c r="D107" s="21"/>
      <c r="E107" s="36"/>
      <c r="F107" s="5"/>
      <c r="G107" s="28"/>
      <c r="H107" s="5"/>
      <c r="I107" s="17" t="s">
        <v>463</v>
      </c>
      <c r="J107" s="5" t="str">
        <f>IF(E2=B97,H108,IF(E2=B99,H108,IF(E2=B101,H108,IF(E2=B102,H108,"NÃO CABE"))))</f>
        <v>NÃO CABE</v>
      </c>
      <c r="K107" s="27"/>
      <c r="L107" s="6" t="s">
        <v>510</v>
      </c>
      <c r="M107" s="27"/>
      <c r="N107" s="60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Z107" s="11"/>
      <c r="BA107" s="85"/>
      <c r="BB107" s="714" t="s">
        <v>387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 t="e">
        <f>A139*1.45</f>
        <v>#VALUE!</v>
      </c>
      <c r="BJ107" s="719">
        <v>142.12</v>
      </c>
      <c r="BK107" s="720">
        <v>142.12</v>
      </c>
      <c r="BL107" s="721">
        <v>197.38</v>
      </c>
    </row>
    <row r="108" spans="2:64" hidden="1" thickBot="1" x14ac:dyDescent="0.2">
      <c r="B108" s="34" t="s">
        <v>485</v>
      </c>
      <c r="C108" s="17"/>
      <c r="D108" s="16"/>
      <c r="E108" s="57" t="str">
        <f>IF($F$108="NÃO CABE","NÃO CABE",IF($G$10="X",$F$108/30,$F$108/35))</f>
        <v>NÃO CABE</v>
      </c>
      <c r="F108" s="10" t="str">
        <f>IF(E2="VOLUNTÁRIA ESPECIAL","NÃO CABE",IF(E2="VOLUNTÁRIA INTEGRAL","NÃO CABE",IF(E2="COMPULSÓRIA INTEGRAL","NÃO CABE",IF(E2="INVALIDEZ INTEGRAL","NÃO CABE",ROUNDDOWN(F61/365,0)))))</f>
        <v>NÃO CABE</v>
      </c>
      <c r="G108" s="28"/>
      <c r="H108" s="14">
        <f>IF(E108&gt;1,1,E108)</f>
        <v>1</v>
      </c>
      <c r="I108" s="17" t="s">
        <v>485</v>
      </c>
      <c r="J108" s="5" t="str">
        <f>IF($E$2=$B$97,H108,IF($E$2=$B$99,H108,IF($E$2=$B$101,H108,"NÃO CABE")))</f>
        <v>NÃO CABE</v>
      </c>
      <c r="K108" s="27"/>
      <c r="L108" s="57" t="str">
        <f>IF($F$108="NÃO CABE","NÃO CABE",IF($G$10="X",$F$61/10950,$F$61/12775))</f>
        <v>NÃO CABE</v>
      </c>
      <c r="M108" s="14">
        <f>IF(L108&gt;1,1,L108)</f>
        <v>1</v>
      </c>
      <c r="N108" s="5" t="str">
        <f>IF($E$2=$B$97,M108,IF($E$2=$B$99,M108,IF($E$2=$B$101,M108,"NÃO CABE")))</f>
        <v>NÃO CABE</v>
      </c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Z108" s="11"/>
      <c r="BA108" s="85"/>
      <c r="BB108" s="714" t="s">
        <v>389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A141*1.45</f>
        <v>5.8</v>
      </c>
      <c r="BJ108" s="719">
        <v>90.32</v>
      </c>
      <c r="BK108" s="720">
        <v>100</v>
      </c>
      <c r="BL108" s="721">
        <v>125.44</v>
      </c>
    </row>
    <row r="109" spans="2:64" hidden="1" thickBot="1" x14ac:dyDescent="0.2">
      <c r="B109" s="34" t="s">
        <v>476</v>
      </c>
      <c r="C109" s="17"/>
      <c r="D109" s="16"/>
      <c r="E109" s="58" t="str">
        <f>IF(E2=B102,IF(C65&gt;0,"TEMPO A CUMPRIR",IF(F109=1,75%,IF(F109=2,80%,IF(F109=3,85%,IF(F109=4,90%,IF(F109=5,95%,IF(F109&gt;=6,100%,70%))))))),"NÃO CABE")</f>
        <v>NÃO CABE</v>
      </c>
      <c r="F109" s="10">
        <f>IF(G10="X",ROUNDDOWN((F61-(25*365+E43))/365,0),ROUNDDOWN((F61-(30*365+E43))/365,0))</f>
        <v>-30</v>
      </c>
      <c r="G109" s="28"/>
      <c r="I109" s="17" t="s">
        <v>476</v>
      </c>
      <c r="J109" s="5" t="str">
        <f>IF(E2=B102,E109,"NÃO CABE")</f>
        <v>NÃO CABE</v>
      </c>
      <c r="K109" s="27"/>
      <c r="L109" s="65"/>
      <c r="M109" s="66">
        <f>O10</f>
        <v>0</v>
      </c>
      <c r="N109" s="60">
        <v>38037</v>
      </c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Z109" s="11"/>
      <c r="BA109" s="85"/>
      <c r="BB109" s="714" t="s">
        <v>390</v>
      </c>
      <c r="BC109" s="715" t="s">
        <v>373</v>
      </c>
      <c r="BD109" s="716" t="s">
        <v>374</v>
      </c>
      <c r="BE109" s="716" t="s">
        <v>375</v>
      </c>
      <c r="BF109" s="716" t="s">
        <v>378</v>
      </c>
      <c r="BG109" s="716" t="s">
        <v>381</v>
      </c>
      <c r="BH109" s="717" t="s">
        <v>388</v>
      </c>
      <c r="BI109" s="718"/>
      <c r="BJ109" s="719"/>
      <c r="BK109" s="720"/>
      <c r="BL109" s="721"/>
    </row>
    <row r="110" spans="2:64" hidden="1" thickBot="1" x14ac:dyDescent="0.2">
      <c r="B110" s="35" t="s">
        <v>464</v>
      </c>
      <c r="C110" s="33"/>
      <c r="D110" s="16"/>
      <c r="E110" s="36" t="s">
        <v>457</v>
      </c>
      <c r="F110" s="5">
        <f>IF($D$12="X",50-$N$11,55-$N$11)</f>
        <v>55</v>
      </c>
      <c r="G110" s="28"/>
      <c r="H110" s="59" t="str">
        <f>IF($G$10="X",IF($O$9&gt;=17532,IF($O$10&gt;=38718,1-($F$110*0.05),1-($F$110*0.035)),"NÃO CABE"),IF($O$9&gt;=19359,IF($O$10&gt;=38718,1-($F$111*0.05),1-($F$111*0.035)),"NÃO CABE"))</f>
        <v>NÃO CABE</v>
      </c>
      <c r="I110" s="33" t="s">
        <v>464</v>
      </c>
      <c r="J110" s="61" t="str">
        <f>IF(E2=B103,H111,"NÃO CABE")</f>
        <v>NÃO CABE</v>
      </c>
      <c r="K110" s="27"/>
      <c r="L110" s="6"/>
      <c r="M110" s="27"/>
      <c r="N110" s="60"/>
      <c r="O110" s="255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391</v>
      </c>
      <c r="BC110" s="715" t="s">
        <v>373</v>
      </c>
      <c r="BD110" s="716" t="s">
        <v>374</v>
      </c>
      <c r="BE110" s="716" t="s">
        <v>375</v>
      </c>
      <c r="BF110" s="716" t="s">
        <v>378</v>
      </c>
      <c r="BG110" s="716" t="s">
        <v>381</v>
      </c>
      <c r="BH110" s="717" t="s">
        <v>388</v>
      </c>
      <c r="BI110" s="718" t="e">
        <f>A143*1.45</f>
        <v>#VALUE!</v>
      </c>
      <c r="BJ110" s="719">
        <v>101.15</v>
      </c>
      <c r="BK110" s="720">
        <v>101.15</v>
      </c>
      <c r="BL110" s="721">
        <v>140.4</v>
      </c>
    </row>
    <row r="111" spans="2:64" ht="13.5" hidden="1" x14ac:dyDescent="0.15">
      <c r="B111" s="39">
        <v>38717</v>
      </c>
      <c r="C111" s="11">
        <v>38717</v>
      </c>
      <c r="D111" s="16"/>
      <c r="E111" s="36" t="s">
        <v>456</v>
      </c>
      <c r="F111" s="5">
        <f>IF($D$12="X",55-$N$11,60-$N$11)</f>
        <v>60</v>
      </c>
      <c r="G111" s="28"/>
      <c r="H111" s="14">
        <f>IF(H110="NÃO CABE",0,IF(H110&gt;1,1,H110))</f>
        <v>0</v>
      </c>
      <c r="I111" s="18"/>
      <c r="J111" s="5"/>
      <c r="K111" s="27"/>
      <c r="L111" s="6"/>
      <c r="M111" s="27"/>
      <c r="N111" s="60"/>
      <c r="O111" s="255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S111" s="69"/>
      <c r="AX111" s="11"/>
      <c r="AY111" s="11"/>
      <c r="AZ111" s="11"/>
      <c r="BA111" s="85"/>
      <c r="BB111" s="714" t="s">
        <v>392</v>
      </c>
      <c r="BC111" s="715" t="s">
        <v>373</v>
      </c>
      <c r="BD111" s="716" t="s">
        <v>374</v>
      </c>
      <c r="BE111" s="716" t="s">
        <v>375</v>
      </c>
      <c r="BF111" s="716" t="s">
        <v>378</v>
      </c>
      <c r="BG111" s="716" t="s">
        <v>381</v>
      </c>
      <c r="BH111" s="717" t="s">
        <v>388</v>
      </c>
      <c r="BI111" s="718"/>
      <c r="BJ111" s="719"/>
      <c r="BK111" s="720"/>
      <c r="BL111" s="721"/>
    </row>
    <row r="112" spans="2:64" ht="13.5" hidden="1" x14ac:dyDescent="0.15">
      <c r="B112" s="39">
        <v>38718</v>
      </c>
      <c r="C112" s="11">
        <v>38718</v>
      </c>
      <c r="D112" s="8"/>
      <c r="E112" s="63"/>
      <c r="F112" s="6"/>
      <c r="G112" s="6"/>
      <c r="H112" s="6"/>
      <c r="I112" s="18"/>
      <c r="J112" s="9"/>
      <c r="K112" s="5"/>
      <c r="L112" s="6"/>
      <c r="M112" s="10"/>
      <c r="N112" s="11"/>
      <c r="O112" s="255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393</v>
      </c>
      <c r="BC112" s="715" t="s">
        <v>373</v>
      </c>
      <c r="BD112" s="716" t="s">
        <v>374</v>
      </c>
      <c r="BE112" s="716" t="s">
        <v>375</v>
      </c>
      <c r="BF112" s="716" t="s">
        <v>378</v>
      </c>
      <c r="BG112" s="716" t="s">
        <v>381</v>
      </c>
      <c r="BH112" s="717" t="s">
        <v>388</v>
      </c>
      <c r="BI112" s="718">
        <f>A144*1.45</f>
        <v>8.6999999999999993</v>
      </c>
      <c r="BJ112" s="719">
        <v>113.29</v>
      </c>
      <c r="BK112" s="720">
        <v>113.29</v>
      </c>
      <c r="BL112" s="721">
        <v>157.35</v>
      </c>
    </row>
    <row r="113" spans="2:64" ht="13.5" hidden="1" x14ac:dyDescent="0.15">
      <c r="B113" s="62"/>
      <c r="C113" s="38">
        <v>38097</v>
      </c>
      <c r="D113" s="8"/>
      <c r="E113" s="5"/>
      <c r="F113" s="6"/>
      <c r="G113" s="6"/>
      <c r="H113" s="6"/>
      <c r="I113" s="6"/>
      <c r="J113" s="9"/>
      <c r="K113" s="5"/>
      <c r="L113" s="6"/>
      <c r="M113" s="10"/>
      <c r="N113" s="11"/>
      <c r="O113" s="255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394</v>
      </c>
      <c r="BC113" s="715" t="s">
        <v>373</v>
      </c>
      <c r="BD113" s="716" t="s">
        <v>374</v>
      </c>
      <c r="BE113" s="716" t="s">
        <v>375</v>
      </c>
      <c r="BF113" s="716" t="s">
        <v>378</v>
      </c>
      <c r="BG113" s="716" t="s">
        <v>381</v>
      </c>
      <c r="BH113" s="717" t="s">
        <v>388</v>
      </c>
      <c r="BI113" s="718">
        <f>A145*1.45</f>
        <v>10.15</v>
      </c>
      <c r="BJ113" s="719">
        <v>113.29</v>
      </c>
      <c r="BK113" s="720">
        <v>113.29</v>
      </c>
      <c r="BL113" s="721">
        <v>157.35</v>
      </c>
    </row>
    <row r="114" spans="2:64" ht="13.5" hidden="1" x14ac:dyDescent="0.15">
      <c r="B114" s="6"/>
      <c r="C114" s="38"/>
      <c r="D114" s="8"/>
      <c r="E114" s="5"/>
      <c r="F114" s="6"/>
      <c r="G114" s="6"/>
      <c r="H114" s="6"/>
      <c r="I114" s="6"/>
      <c r="J114" s="9"/>
      <c r="K114" s="5"/>
      <c r="L114" s="6"/>
      <c r="M114" s="10"/>
      <c r="N114" s="11"/>
      <c r="O114" s="255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395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1849" t="s">
        <v>477</v>
      </c>
      <c r="C115" s="1849"/>
      <c r="D115" s="1849"/>
      <c r="E115" s="1849"/>
      <c r="F115" s="1849"/>
      <c r="G115" s="1849"/>
      <c r="H115" s="1849"/>
      <c r="I115" s="1849"/>
      <c r="J115" s="1849"/>
      <c r="K115" s="1849" t="s">
        <v>477</v>
      </c>
      <c r="L115" s="1849"/>
      <c r="M115" s="1849"/>
      <c r="N115" s="1849"/>
      <c r="O115" s="1849"/>
      <c r="P115" s="1849"/>
      <c r="Q115" s="1849"/>
      <c r="R115" s="1849"/>
      <c r="S115" s="1849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399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13.049999999999999</v>
      </c>
      <c r="BJ115" s="719">
        <v>126.89</v>
      </c>
      <c r="BK115" s="720">
        <v>126.89</v>
      </c>
      <c r="BL115" s="721">
        <v>176.23</v>
      </c>
    </row>
    <row r="116" spans="2:64" ht="13.5" hidden="1" x14ac:dyDescent="0.15">
      <c r="B116" s="19" t="s">
        <v>480</v>
      </c>
      <c r="C116" s="8"/>
      <c r="D116" s="8"/>
      <c r="E116" s="5"/>
      <c r="F116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6" s="6"/>
      <c r="H116" s="6"/>
      <c r="I116" s="6"/>
      <c r="J116" s="9"/>
      <c r="K116" s="5"/>
      <c r="L116" s="41" t="s">
        <v>450</v>
      </c>
      <c r="M116" s="10"/>
      <c r="N116" s="11"/>
      <c r="O116" s="255" t="b">
        <f>IF(E2=L116,IF(K2=O3,F116,IF(K2=O4,F118,IF(K2=O6,F116,IF(K2=O7,F117,IF(K2=O2,"NADA A CRITICAR","REANALISAR FUNDAMENTAÇÃO E/OU MODALIDADE"))))))</f>
        <v>0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400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6" t="s">
        <v>481</v>
      </c>
      <c r="D117" s="10"/>
      <c r="E117" s="11"/>
      <c r="F117" s="6" t="str">
        <f>IF(G10="X",IF(O9&gt;=I130,"ATENDE LIMITE MÍNIMO DE IDADE","NÃO ATENDE LIMITE MÍNIMO DE IDADE"),IF(O9&gt;=J130,"ATENDE LIMITE MÍNIMO DE IDADE","NÃO ATENDE LIMITE MÍNIMO DE IDADE"))</f>
        <v>NÃO ATENDE LIMITE MÍNIMO DE IDADE</v>
      </c>
      <c r="G117" s="6"/>
      <c r="H117" s="6"/>
      <c r="I117" s="6"/>
      <c r="J117" s="9"/>
      <c r="L117" s="41" t="s">
        <v>455</v>
      </c>
      <c r="O117" s="255" t="str">
        <f>IF(E2=L117,IF(K2=O3,F119,IF(K2=O4,F122,IF(K2=O6,F119,IF(K2=O2,"NADA A CRITICAR","REANALISAR FUNDAMENTAÇÃO E/OU MODALIDADE")))),"REANALISAR FUNDAMENTAÇÃO E/OU MODALIDADE")</f>
        <v>REANALISAR FUNDAMENTAÇÃO E/OU MODALIDADE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14" t="s">
        <v>401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>
        <f>A150*1.45</f>
        <v>15.95</v>
      </c>
      <c r="BJ117" s="719">
        <v>142.12</v>
      </c>
      <c r="BK117" s="720">
        <v>142.12</v>
      </c>
      <c r="BL117" s="721">
        <v>197.38</v>
      </c>
    </row>
    <row r="118" spans="2:64" ht="13.5" hidden="1" x14ac:dyDescent="0.15">
      <c r="B118" s="20" t="s">
        <v>482</v>
      </c>
      <c r="F118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8" s="5"/>
      <c r="L118" s="41" t="s">
        <v>467</v>
      </c>
      <c r="O118" s="254" t="str">
        <f>IF(E2=L118,IF(K2=O3,F120,IF(K2=O2,F120,"REANALISAR FUNDAMENTAÇÃO E/OU MODALIDADE")),"REANALISAR FUNDAMENTAÇÃO E/OU MODALIDADE")</f>
        <v>REANALISAR FUNDAMENTAÇÃO E/OU MODALIDADE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2" t="s">
        <v>402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6" t="s">
        <v>478</v>
      </c>
      <c r="C119" s="8"/>
      <c r="D119" s="8"/>
      <c r="E119" s="5"/>
      <c r="F119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9" s="6"/>
      <c r="H119" s="6"/>
      <c r="I119" s="6"/>
      <c r="J119" s="9"/>
      <c r="K119" s="5"/>
      <c r="L119" s="11" t="s">
        <v>487</v>
      </c>
      <c r="M119" s="10"/>
      <c r="N119" s="11"/>
      <c r="O119" s="255" t="str">
        <f>IF(E2=L119,IF(K2=O4,F121,IF(K2=O2,"NADA A CRITICAR","REANALISAR FUNDAMENTAÇÃO E/OU MODALIDADE")),"REANALISAR FUNDAMENTAÇÃO E/OU MODALIDADE")</f>
        <v>REANALISAR FUNDAMENTAÇÃO E/OU MODALIDADE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14" t="s">
        <v>403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>
        <f>A152*1.45</f>
        <v>18.849999999999998</v>
      </c>
      <c r="BJ119" s="719">
        <v>159.16999999999999</v>
      </c>
      <c r="BK119" s="720">
        <v>159.16999999999999</v>
      </c>
      <c r="BL119" s="721">
        <v>221.06</v>
      </c>
    </row>
    <row r="120" spans="2:64" ht="13.5" hidden="1" x14ac:dyDescent="0.15">
      <c r="B120" s="6" t="s">
        <v>479</v>
      </c>
      <c r="C120" s="8"/>
      <c r="D120" s="8"/>
      <c r="E120" s="5"/>
      <c r="F120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20" s="6"/>
      <c r="H120" s="6"/>
      <c r="I120" s="6"/>
      <c r="J120" s="9"/>
      <c r="K120" s="5"/>
      <c r="L120" s="42" t="s">
        <v>484</v>
      </c>
      <c r="M120" s="10"/>
      <c r="N120" s="11"/>
      <c r="O120" s="255" t="str">
        <f>IF(E2=L120,IF(K2=O5,F118,"REANALISAR FUNDAMENTAÇÃO E/OU MODALIDADE"),"REANALISAR FUNDAMENTAÇÃO E/OU MODALIDADE")</f>
        <v>REANALISAR FUNDAMENTAÇÃO E/OU MODALIDADE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14" t="s">
        <v>404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>
        <f>A153*1.45</f>
        <v>20.3</v>
      </c>
      <c r="BJ120" s="719">
        <v>101.15</v>
      </c>
      <c r="BK120" s="720">
        <v>101.15</v>
      </c>
      <c r="BL120" s="721">
        <v>140.4</v>
      </c>
    </row>
    <row r="121" spans="2:64" hidden="1" x14ac:dyDescent="0.15">
      <c r="B121" s="20" t="s">
        <v>483</v>
      </c>
      <c r="C121" s="43"/>
      <c r="D121" s="43"/>
      <c r="E121" s="44"/>
      <c r="F121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21" s="44"/>
      <c r="H121" s="44"/>
      <c r="I121" s="44"/>
      <c r="J121" s="44"/>
      <c r="K121" s="45"/>
      <c r="L121" s="46" t="s">
        <v>488</v>
      </c>
      <c r="M121" s="46"/>
      <c r="N121" s="47"/>
      <c r="O121" s="255" t="b">
        <f>IF($K$2=$O$2,IF($E$2=$B$98,$F$123,IF(E2=$B$99,$F$123,IF($E$2=$B$100,"EX OFFICIO",IF($E$2=$B$101,"EX OFFICIO","REANALISAR FUNDAMENTAÇÃO E/OU MODALIDADE")))),IF($K$2=$O$3,IF($E$2=$B$98,$F$123,IF($E$2=$B$99,$F$123,IF($E$2=$B$100,"EX OFFICIO",IF($E$2=$B$101,"EX OFFICIO","REANALISAR FUNDAMENTAÇÃO E/OU MODADALIDADE"))))))</f>
        <v>0</v>
      </c>
      <c r="P121" s="3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14" t="s">
        <v>405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20" t="s">
        <v>486</v>
      </c>
      <c r="C122" s="43"/>
      <c r="D122" s="43"/>
      <c r="E122" s="44"/>
      <c r="F122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22" s="44"/>
      <c r="H122" s="44"/>
      <c r="I122" s="44"/>
      <c r="J122" s="44"/>
      <c r="K122" s="46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69"/>
      <c r="AD122" s="70"/>
      <c r="AE122" s="70"/>
      <c r="AF122" s="70"/>
      <c r="AG122" s="69"/>
      <c r="AX122" s="11"/>
      <c r="AY122" s="11"/>
      <c r="AZ122" s="11"/>
      <c r="BA122" s="85"/>
      <c r="BB122" s="723" t="s">
        <v>406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x14ac:dyDescent="0.15">
      <c r="B123" s="44" t="s">
        <v>503</v>
      </c>
      <c r="C123" s="43"/>
      <c r="D123" s="43"/>
      <c r="E123" s="44"/>
      <c r="F123" s="44" t="str">
        <f>IF($N$11&gt;=70,"ATENDE LIMITE MÍNIMO DE IDADE","NÃO ATENDE LIMITE MÍNIMO DE IDADE")</f>
        <v>NÃO ATENDE LIMITE MÍNIMO DE IDADE</v>
      </c>
      <c r="G123" s="44"/>
      <c r="H123" s="44"/>
      <c r="I123" s="44"/>
      <c r="J123" s="44"/>
      <c r="K123" s="46"/>
      <c r="L123" s="48"/>
      <c r="M123" s="48"/>
      <c r="N123" s="47"/>
      <c r="O123" s="255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69"/>
      <c r="AD123" s="70"/>
      <c r="AE123" s="70"/>
      <c r="AF123" s="70"/>
      <c r="AG123" s="69"/>
      <c r="AX123" s="11"/>
      <c r="AY123" s="11"/>
      <c r="AZ123" s="11"/>
      <c r="BA123" s="85"/>
      <c r="BB123" s="723" t="s">
        <v>407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3.5" hidden="1" x14ac:dyDescent="0.15">
      <c r="B124" s="44"/>
      <c r="C124" s="43"/>
      <c r="D124" s="43"/>
      <c r="E124" s="44"/>
      <c r="F124" s="44"/>
      <c r="G124" s="44"/>
      <c r="H124" s="44"/>
      <c r="I124" s="44"/>
      <c r="J124" s="44"/>
      <c r="K124" s="46"/>
      <c r="L124" s="49" t="s">
        <v>498</v>
      </c>
      <c r="M124" s="11"/>
      <c r="N124" s="11"/>
      <c r="O124" s="255"/>
      <c r="P124" s="79"/>
      <c r="Q124" s="79"/>
      <c r="R124" s="79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69"/>
      <c r="AD124" s="70"/>
      <c r="AE124" s="70"/>
      <c r="AF124" s="70"/>
      <c r="AG124" s="69"/>
      <c r="AX124" s="11"/>
      <c r="AY124" s="11"/>
      <c r="AZ124" s="11"/>
      <c r="BA124" s="85"/>
      <c r="BB124" s="723" t="s">
        <v>408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x14ac:dyDescent="0.15">
      <c r="B125" s="50"/>
      <c r="C125" s="50"/>
      <c r="D125" s="50"/>
      <c r="E125" s="50"/>
      <c r="F125" s="50"/>
      <c r="G125" s="50"/>
      <c r="H125" s="50"/>
      <c r="I125" s="50"/>
      <c r="J125" s="50"/>
      <c r="K125" s="51"/>
      <c r="L125" s="11" t="s">
        <v>499</v>
      </c>
      <c r="M125" s="11"/>
      <c r="N125" s="11"/>
      <c r="O125" s="255"/>
      <c r="P125" s="79"/>
      <c r="Q125" s="86" t="b">
        <f>IF(K2=O4,IF(E2=B95,R125,IF(E2=B96,R125,IF(E2=B102,R125,IF(G10="X",(30*365)-F61,(35*365)-F61)))),IF(K2=O5,IF(E2=B103,R125,IF(G10="X",(30*365)-F61,(35*365)-F61))))</f>
        <v>0</v>
      </c>
      <c r="R125" s="86" t="b">
        <f>IF($K$2=$O$4,IF($F$61&gt;=($F$37+$E$44),0,($F$37+$E$44)-$F$61),IF($K$2=$O$5,IF($F$61&gt;=($F$37+$E$44),0,($F$37+$E$44)-$F$61)))</f>
        <v>0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69"/>
      <c r="AD125" s="70"/>
      <c r="AE125" s="70"/>
      <c r="AF125" s="70"/>
      <c r="AG125" s="69"/>
      <c r="AX125" s="11"/>
      <c r="AY125" s="11"/>
      <c r="AZ125" s="11"/>
      <c r="BA125" s="85"/>
      <c r="BB125" s="723" t="s">
        <v>409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3.5" hidden="1" x14ac:dyDescent="0.15">
      <c r="B126" s="52"/>
      <c r="C126" s="52"/>
      <c r="D126" s="52"/>
      <c r="E126" s="52"/>
      <c r="F126" s="52"/>
      <c r="G126" s="52"/>
      <c r="H126" s="52"/>
      <c r="I126" s="52"/>
      <c r="J126" s="52"/>
      <c r="K126" s="53"/>
      <c r="L126" s="42" t="s">
        <v>500</v>
      </c>
      <c r="M126" s="11"/>
      <c r="N126" s="11"/>
      <c r="O126" s="255"/>
      <c r="P126" s="79"/>
      <c r="Q126" s="86" t="b">
        <f>IF(E2="VOLUNTÁRIA ESPECIAL",IF(D12="X",IF(G10="X",(25*365)-F61,(30*365)-F61)),IF(G10="X",(30*365)-F61,(35*365)-F61))</f>
        <v>0</v>
      </c>
      <c r="R126" s="79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69"/>
      <c r="AD126" s="70"/>
      <c r="AE126" s="70"/>
      <c r="AF126" s="70"/>
      <c r="AG126" s="69"/>
      <c r="AX126" s="11"/>
      <c r="AY126" s="11"/>
      <c r="AZ126" s="11"/>
      <c r="BA126" s="85"/>
      <c r="BB126" s="723" t="s">
        <v>410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3.5" hidden="1" x14ac:dyDescent="0.15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17" t="s">
        <v>463</v>
      </c>
      <c r="M127" s="11"/>
      <c r="N127" s="11"/>
      <c r="O127" s="255" t="s">
        <v>504</v>
      </c>
      <c r="P127" s="79"/>
      <c r="Q127" s="87"/>
      <c r="R127" s="86" t="b">
        <f>IF(E2="VOLUNTÁRIA ESPECIAL",IF(D12="X",IF(G10="X",(25*365)-$F$37,(30*365)-$F$37)),IF(G10="X",(30*365)-$F$37,(35*365)-$F$37))</f>
        <v>0</v>
      </c>
      <c r="S127" s="11"/>
      <c r="T127" s="5"/>
      <c r="U127" s="5"/>
      <c r="V127" s="5"/>
      <c r="W127" s="5"/>
      <c r="X127" s="5"/>
      <c r="Y127" s="5"/>
      <c r="Z127" s="5"/>
      <c r="AA127" s="5"/>
      <c r="AB127" s="5"/>
      <c r="AC127" s="69"/>
      <c r="AD127" s="70"/>
      <c r="AE127" s="70"/>
      <c r="AF127" s="70"/>
      <c r="AG127" s="69"/>
      <c r="AX127" s="11"/>
      <c r="AY127" s="11"/>
      <c r="AZ127" s="5"/>
      <c r="BA127" s="724"/>
      <c r="BB127" s="723" t="s">
        <v>411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3.5" hidden="1" customHeight="1" x14ac:dyDescent="0.15">
      <c r="B128" s="6"/>
      <c r="C128" s="1943" t="s">
        <v>459</v>
      </c>
      <c r="D128" s="1943"/>
      <c r="E128" s="1943"/>
      <c r="F128" s="1943" t="s">
        <v>460</v>
      </c>
      <c r="G128" s="1943"/>
      <c r="H128" s="1943"/>
      <c r="I128" s="1943" t="s">
        <v>461</v>
      </c>
      <c r="J128" s="1943"/>
      <c r="K128" s="51"/>
      <c r="L128" s="51"/>
      <c r="M128" s="54"/>
      <c r="N128" s="54"/>
      <c r="O128" s="255" t="s">
        <v>487</v>
      </c>
      <c r="P128" s="78"/>
      <c r="Q128" s="78"/>
      <c r="R128" s="86">
        <f>IF(E2=B102,IF(G10="X",(25*365)-$F$37,(30*365)-$F$37),IF(G10="X",(30*365)-$F$37,(35*365)-$F$37))</f>
        <v>12775</v>
      </c>
      <c r="AX128" s="11"/>
      <c r="AY128" s="11"/>
      <c r="BB128" s="723" t="s">
        <v>412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40" t="s">
        <v>454</v>
      </c>
      <c r="C129" s="40" t="s">
        <v>457</v>
      </c>
      <c r="D129" s="8"/>
      <c r="E129" s="5" t="s">
        <v>456</v>
      </c>
      <c r="F129" s="6" t="s">
        <v>457</v>
      </c>
      <c r="G129" s="6"/>
      <c r="H129" s="6" t="s">
        <v>456</v>
      </c>
      <c r="I129" s="8" t="s">
        <v>457</v>
      </c>
      <c r="J129" s="8" t="s">
        <v>456</v>
      </c>
      <c r="K129" s="51"/>
      <c r="L129" s="18" t="s">
        <v>466</v>
      </c>
      <c r="M129" s="54"/>
      <c r="N129" s="54"/>
      <c r="O129" s="255" t="s">
        <v>509</v>
      </c>
      <c r="P129" s="78"/>
      <c r="Q129" s="86">
        <f>IF(K2=O7,IF($E$2=B95,IF($G$10="X",(30*365)-$F$61,(35*365)-$F$61)),IF($G$10="X",(30*365)-$F$61,(35*365)-$F$61))</f>
        <v>12775</v>
      </c>
      <c r="R129" s="78"/>
      <c r="AX129" s="11"/>
      <c r="AY129" s="11"/>
      <c r="BB129" s="723" t="s">
        <v>413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3.5" hidden="1" customHeight="1" x14ac:dyDescent="0.15">
      <c r="B130" s="16" t="s">
        <v>450</v>
      </c>
      <c r="C130" s="55">
        <f>30*365</f>
        <v>10950</v>
      </c>
      <c r="D130" s="55"/>
      <c r="E130" s="55">
        <f>35*365</f>
        <v>12775</v>
      </c>
      <c r="F130" s="55">
        <v>20089</v>
      </c>
      <c r="G130" s="55"/>
      <c r="H130" s="55">
        <v>21914</v>
      </c>
      <c r="I130" s="55">
        <f>F130-C133</f>
        <v>31039</v>
      </c>
      <c r="J130" s="55">
        <f>H130-E133</f>
        <v>34689</v>
      </c>
      <c r="K130" s="51"/>
      <c r="L130" s="51"/>
      <c r="M130" s="54"/>
      <c r="N130" s="54"/>
      <c r="P130" s="78"/>
      <c r="Q130" s="78"/>
      <c r="R130" s="78"/>
      <c r="AX130" s="11"/>
      <c r="AY130" s="11"/>
      <c r="BB130" s="723" t="s">
        <v>414</v>
      </c>
      <c r="BC130" s="715" t="s">
        <v>396</v>
      </c>
      <c r="BD130" s="716" t="s">
        <v>397</v>
      </c>
      <c r="BE130" s="716" t="s">
        <v>397</v>
      </c>
      <c r="BF130" s="716" t="s">
        <v>398</v>
      </c>
      <c r="BG130" s="716" t="s">
        <v>398</v>
      </c>
      <c r="BH130" s="716" t="s">
        <v>398</v>
      </c>
      <c r="BI130" s="718"/>
      <c r="BJ130" s="719"/>
      <c r="BK130" s="720"/>
      <c r="BL130" s="721"/>
    </row>
    <row r="131" spans="1:64" ht="12.75" hidden="1" customHeight="1" x14ac:dyDescent="0.15">
      <c r="B131" s="16" t="s">
        <v>455</v>
      </c>
      <c r="C131" s="47">
        <f>25*365</f>
        <v>9125</v>
      </c>
      <c r="D131" s="47"/>
      <c r="E131" s="47">
        <f>30*365</f>
        <v>10950</v>
      </c>
      <c r="F131" s="55">
        <v>18264</v>
      </c>
      <c r="G131" s="55"/>
      <c r="H131" s="55">
        <v>20089</v>
      </c>
      <c r="I131" s="47">
        <f>ROUNDDOWN(I130/365,0)</f>
        <v>85</v>
      </c>
      <c r="J131" s="47">
        <f>ROUNDDOWN(J130/365,0)</f>
        <v>95</v>
      </c>
      <c r="K131" s="51"/>
      <c r="L131" s="51"/>
      <c r="M131" s="54"/>
      <c r="N131" s="54"/>
      <c r="P131" s="78"/>
      <c r="Q131" s="78"/>
      <c r="R131" s="78"/>
      <c r="AX131" s="11"/>
      <c r="AY131" s="11"/>
      <c r="BB131" s="723" t="s">
        <v>415</v>
      </c>
      <c r="BC131" s="715" t="s">
        <v>396</v>
      </c>
      <c r="BD131" s="716" t="s">
        <v>397</v>
      </c>
      <c r="BE131" s="716" t="s">
        <v>397</v>
      </c>
      <c r="BF131" s="716" t="s">
        <v>398</v>
      </c>
      <c r="BG131" s="716" t="s">
        <v>398</v>
      </c>
      <c r="BH131" s="716" t="s">
        <v>398</v>
      </c>
      <c r="BI131" s="718"/>
      <c r="BJ131" s="719"/>
      <c r="BK131" s="720"/>
      <c r="BL131" s="721"/>
    </row>
    <row r="132" spans="1:64" ht="12.75" hidden="1" customHeight="1" x14ac:dyDescent="0.15">
      <c r="B132" s="48"/>
      <c r="C132" s="48"/>
      <c r="D132" s="48"/>
      <c r="E132" s="46"/>
      <c r="F132" s="48"/>
      <c r="G132" s="48"/>
      <c r="H132" s="48"/>
      <c r="I132" s="48"/>
      <c r="J132" s="46"/>
      <c r="K132" s="51"/>
      <c r="L132" s="51"/>
      <c r="M132" s="54"/>
      <c r="N132" s="54"/>
      <c r="AX132" s="5"/>
      <c r="AY132" s="5"/>
      <c r="BB132" s="723" t="s">
        <v>416</v>
      </c>
      <c r="BC132" s="715" t="s">
        <v>396</v>
      </c>
      <c r="BD132" s="716" t="s">
        <v>397</v>
      </c>
      <c r="BE132" s="716" t="s">
        <v>397</v>
      </c>
      <c r="BF132" s="716" t="s">
        <v>398</v>
      </c>
      <c r="BG132" s="716" t="s">
        <v>398</v>
      </c>
      <c r="BH132" s="716" t="s">
        <v>398</v>
      </c>
      <c r="BI132" s="718"/>
      <c r="BJ132" s="719"/>
      <c r="BK132" s="720"/>
      <c r="BL132" s="721"/>
    </row>
    <row r="133" spans="1:64" ht="12.75" hidden="1" customHeight="1" x14ac:dyDescent="0.15">
      <c r="B133" s="48" t="s">
        <v>458</v>
      </c>
      <c r="C133" s="56">
        <f>ROUNDDOWN((F61-C130),0)</f>
        <v>-10950</v>
      </c>
      <c r="D133" s="48"/>
      <c r="E133" s="56">
        <f>ROUNDDOWN((F61-E130),0)</f>
        <v>-12775</v>
      </c>
      <c r="F133" s="48"/>
      <c r="G133" s="48"/>
      <c r="H133" s="48"/>
      <c r="I133" s="48"/>
      <c r="J133" s="46"/>
      <c r="K133" s="51"/>
      <c r="L133" s="51"/>
      <c r="M133" s="54"/>
      <c r="N133" s="54"/>
      <c r="BB133" s="723" t="s">
        <v>417</v>
      </c>
      <c r="BC133" s="715" t="s">
        <v>396</v>
      </c>
      <c r="BD133" s="716" t="s">
        <v>397</v>
      </c>
      <c r="BE133" s="716" t="s">
        <v>397</v>
      </c>
      <c r="BF133" s="716" t="s">
        <v>398</v>
      </c>
      <c r="BG133" s="716" t="s">
        <v>398</v>
      </c>
      <c r="BH133" s="716" t="s">
        <v>398</v>
      </c>
      <c r="BI133" s="718"/>
      <c r="BJ133" s="719"/>
      <c r="BK133" s="720"/>
      <c r="BL133" s="721"/>
    </row>
    <row r="134" spans="1:64" ht="12.75" hidden="1" customHeight="1" x14ac:dyDescent="0.15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4"/>
      <c r="N134" s="54"/>
      <c r="BB134" s="723" t="s">
        <v>418</v>
      </c>
      <c r="BC134" s="715" t="s">
        <v>396</v>
      </c>
      <c r="BD134" s="716" t="s">
        <v>397</v>
      </c>
      <c r="BE134" s="716" t="s">
        <v>397</v>
      </c>
      <c r="BF134" s="716" t="s">
        <v>398</v>
      </c>
      <c r="BG134" s="716" t="s">
        <v>398</v>
      </c>
      <c r="BH134" s="716" t="s">
        <v>398</v>
      </c>
      <c r="BI134" s="718"/>
      <c r="BJ134" s="719"/>
      <c r="BK134" s="720"/>
      <c r="BL134" s="721"/>
    </row>
    <row r="135" spans="1:64" ht="12.75" hidden="1" customHeight="1" thickBot="1" x14ac:dyDescent="0.2">
      <c r="B135" s="1848" t="s">
        <v>548</v>
      </c>
      <c r="C135" s="1848"/>
      <c r="D135" s="1848"/>
      <c r="E135" s="1848"/>
      <c r="F135" s="1848"/>
      <c r="G135" s="1848"/>
      <c r="H135" s="1848"/>
      <c r="I135" s="1848"/>
      <c r="J135" s="1848"/>
      <c r="K135" s="1848"/>
      <c r="L135" s="1848"/>
      <c r="M135" s="1848"/>
      <c r="N135" s="1848"/>
      <c r="BB135" s="312"/>
      <c r="BC135" s="313"/>
      <c r="BD135" s="314"/>
      <c r="BE135" s="314"/>
      <c r="BF135" s="315"/>
      <c r="BG135" s="315"/>
      <c r="BH135" s="316"/>
      <c r="BI135" s="317">
        <f>A155*1.45</f>
        <v>23.2</v>
      </c>
      <c r="BJ135" s="318">
        <v>113.29</v>
      </c>
      <c r="BK135" s="319">
        <v>113.29</v>
      </c>
      <c r="BL135" s="320">
        <v>157.35</v>
      </c>
    </row>
    <row r="136" spans="1:64" ht="12.75" hidden="1" customHeight="1" x14ac:dyDescent="0.15">
      <c r="B136" s="51" t="s">
        <v>656</v>
      </c>
      <c r="C136" s="21" t="s">
        <v>657</v>
      </c>
      <c r="D136" s="101">
        <v>36145</v>
      </c>
      <c r="E136" s="101">
        <v>37986</v>
      </c>
      <c r="F136" s="102">
        <v>37986</v>
      </c>
      <c r="G136" s="246" t="s">
        <v>608</v>
      </c>
      <c r="H136" s="51" t="s">
        <v>609</v>
      </c>
      <c r="I136" s="51" t="s">
        <v>610</v>
      </c>
      <c r="J136" s="21" t="s">
        <v>612</v>
      </c>
      <c r="M136" s="40" t="s">
        <v>658</v>
      </c>
      <c r="P136" s="109"/>
      <c r="Q136" s="110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BB136" s="321"/>
      <c r="BC136" s="322"/>
      <c r="BD136" s="322"/>
      <c r="BE136" s="322"/>
      <c r="BF136" s="323"/>
      <c r="BG136" s="323"/>
      <c r="BH136" s="323"/>
      <c r="BI136" s="324"/>
      <c r="BJ136" s="325"/>
      <c r="BK136" s="326"/>
      <c r="BL136" s="327"/>
    </row>
    <row r="137" spans="1:64" ht="12.75" hidden="1" customHeight="1" x14ac:dyDescent="0.15">
      <c r="A137" s="259">
        <v>1</v>
      </c>
      <c r="B137" s="107" t="s">
        <v>549</v>
      </c>
      <c r="C137" s="21" t="s">
        <v>613</v>
      </c>
      <c r="D137" s="104">
        <f>IF(ISERROR(HLOOKUP($N$34,$Q$39:$AA$40,2)),0,HLOOKUP($N$34,$Q$39:$AA$40,2))</f>
        <v>0</v>
      </c>
      <c r="E137" s="105">
        <f>IF(ISERROR(HLOOKUP($O$34,$Q$39:$AA$40,2)),0,HLOOKUP($O$34,$Q$39:$AA$40,2))</f>
        <v>0</v>
      </c>
      <c r="F137" s="106">
        <f>IF(ISERROR(HLOOKUP($O$60,$Q$39:$AA$40,2)),0,HLOOKUP($O$60,$Q$39:$AA$40,2))</f>
        <v>0</v>
      </c>
      <c r="G137" s="21" t="s">
        <v>611</v>
      </c>
      <c r="J137" s="21" t="s">
        <v>611</v>
      </c>
      <c r="M137" s="21" t="s">
        <v>659</v>
      </c>
      <c r="P137" s="328"/>
      <c r="Q137" s="328"/>
      <c r="R137" s="5"/>
      <c r="S137" s="8"/>
      <c r="T137" s="5"/>
      <c r="U137" s="5"/>
      <c r="V137" s="5"/>
      <c r="W137" s="27"/>
      <c r="X137" s="5"/>
      <c r="Y137" s="5"/>
      <c r="Z137" s="100"/>
      <c r="AA137" s="5"/>
      <c r="AB137" s="5"/>
      <c r="BB137" s="321"/>
      <c r="BC137" s="322"/>
      <c r="BD137" s="322"/>
      <c r="BE137" s="322"/>
      <c r="BF137" s="323"/>
      <c r="BG137" s="323"/>
      <c r="BH137" s="323"/>
      <c r="BI137" s="324"/>
      <c r="BJ137" s="325"/>
      <c r="BK137" s="326"/>
      <c r="BL137" s="327"/>
    </row>
    <row r="138" spans="1:64" ht="12.75" hidden="1" customHeight="1" x14ac:dyDescent="0.15">
      <c r="A138" s="259">
        <v>2</v>
      </c>
      <c r="B138" s="51" t="s">
        <v>550</v>
      </c>
      <c r="C138" s="21" t="s">
        <v>527</v>
      </c>
      <c r="D138" s="104">
        <f>IF(ISERROR(HLOOKUP($J$138,$Q$26:$AT$27,2)),0,HLOOKUP($J$138,$Q$26:$AT$27,2))</f>
        <v>0</v>
      </c>
      <c r="E138" s="105">
        <f>IF(ISERROR(HLOOKUP($K$138,$Q$26:$AT$27,2)),0,HLOOKUP($K$138,$Q$26:$AT$27,2))</f>
        <v>0</v>
      </c>
      <c r="F138" s="106">
        <f>IF(ISERROR(HLOOKUP($L$138,$Q$26:$AT$27,2)),0,HLOOKUP($L$138,$Q$26:$AT$27,2))</f>
        <v>0</v>
      </c>
      <c r="G138" s="67">
        <f>SUM($F$27:$F$32)</f>
        <v>0</v>
      </c>
      <c r="H138" s="67">
        <f>SUM($F$27:$F$32)+$J$51</f>
        <v>0</v>
      </c>
      <c r="I138" s="67">
        <f>SUM($F$27:$F$32)+$J$51+$J$60</f>
        <v>0</v>
      </c>
      <c r="J138" s="21">
        <f t="shared" ref="J138:J160" si="7">ROUNDDOWN(G138/365,0)</f>
        <v>0</v>
      </c>
      <c r="K138" s="21">
        <f t="shared" ref="K138:K160" si="8">ROUNDDOWN(H138/365,0)</f>
        <v>0</v>
      </c>
      <c r="L138" s="21">
        <f t="shared" ref="L138:L160" si="9">ROUNDDOWN(I138/365,0)</f>
        <v>0</v>
      </c>
      <c r="M138" s="21" t="s">
        <v>660</v>
      </c>
      <c r="P138" s="328"/>
      <c r="Q138" s="328"/>
      <c r="BB138" s="321"/>
      <c r="BC138" s="322"/>
      <c r="BD138" s="322"/>
      <c r="BE138" s="322"/>
      <c r="BF138" s="323"/>
      <c r="BG138" s="323"/>
      <c r="BH138" s="323"/>
      <c r="BI138" s="324"/>
      <c r="BJ138" s="325"/>
      <c r="BK138" s="326"/>
      <c r="BL138" s="327"/>
    </row>
    <row r="139" spans="1:64" ht="12.75" hidden="1" customHeight="1" x14ac:dyDescent="0.15">
      <c r="A139" s="259" t="s">
        <v>554</v>
      </c>
      <c r="B139" s="51" t="s">
        <v>615</v>
      </c>
      <c r="C139" s="21" t="s">
        <v>613</v>
      </c>
      <c r="D139" s="104">
        <f>IF(ISERROR(HLOOKUP($J$139,$Q$45:$AB$46,2)),0,HLOOKUP($J$139,$Q$45:$AB$46,2))</f>
        <v>0</v>
      </c>
      <c r="E139" s="105">
        <f>IF(ISERROR(HLOOKUP($K$139,$Q$45:$AB$46,2)),0,HLOOKUP($K$139,$Q$45:$AB$46,2))</f>
        <v>0</v>
      </c>
      <c r="F139" s="106">
        <f>IF(ISERROR(HLOOKUP($L$139,$Q$45:$AB$46,2)),0,HLOOKUP($L$139,$Q$45:$AB$46,2))</f>
        <v>0</v>
      </c>
      <c r="G139" s="67">
        <f>SUM($F$27:$F$32)</f>
        <v>0</v>
      </c>
      <c r="H139" s="67">
        <f>SUM($F$27:$F$32)+$J$51</f>
        <v>0</v>
      </c>
      <c r="I139" s="67">
        <f>SUM($F$27:$F$32)+$J$51+$J$60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321"/>
      <c r="BC139" s="322"/>
      <c r="BD139" s="322"/>
      <c r="BE139" s="322"/>
      <c r="BF139" s="323"/>
      <c r="BG139" s="323"/>
      <c r="BH139" s="323"/>
      <c r="BI139" s="324"/>
      <c r="BJ139" s="325"/>
      <c r="BK139" s="326"/>
      <c r="BL139" s="327"/>
    </row>
    <row r="140" spans="1:64" ht="12.75" hidden="1" customHeight="1" x14ac:dyDescent="0.15">
      <c r="A140" s="259">
        <v>3</v>
      </c>
      <c r="B140" s="51" t="s">
        <v>551</v>
      </c>
      <c r="C140" s="21" t="s">
        <v>613</v>
      </c>
      <c r="D140" s="104">
        <f>IF(ISERROR(HLOOKUP($J$140,$Q$48:$AB$49,2)),0,HLOOKUP($J$140,$Q$48:$AB$49,2))</f>
        <v>0</v>
      </c>
      <c r="E140" s="105">
        <f>IF(ISERROR(HLOOKUP($K$140,$Q$48:$AB$49,2)),0,HLOOKUP($K$140,$Q$48:$AB$49,2))</f>
        <v>0</v>
      </c>
      <c r="F140" s="106">
        <f>IF(ISERROR(HLOOKUP($L$140,$Q$48:$AB$49,2)),0,HLOOKUP($L$140,$Q$48:$AB$49,2))</f>
        <v>0</v>
      </c>
      <c r="G140" s="67">
        <f>SUM($F$30:$F$32)</f>
        <v>0</v>
      </c>
      <c r="H140" s="67">
        <f>SUM($F$30:$F$32)+$J$51</f>
        <v>0</v>
      </c>
      <c r="I140" s="67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326"/>
      <c r="BL140" s="327"/>
    </row>
    <row r="141" spans="1:64" ht="12.75" hidden="1" customHeight="1" x14ac:dyDescent="0.15">
      <c r="A141" s="259">
        <v>4</v>
      </c>
      <c r="B141" s="51" t="s">
        <v>552</v>
      </c>
      <c r="C141" s="21" t="s">
        <v>613</v>
      </c>
      <c r="D141" s="104">
        <f>IF(ISERROR(HLOOKUP($J$141,$Q$48:$Z$49,2)),0,HLOOKUP($J$141,$Q$48:$Z$49,2))</f>
        <v>0</v>
      </c>
      <c r="E141" s="105">
        <f>IF(ISERROR(HLOOKUP($K$141,$Q$48:$Z$49,2)),0,HLOOKUP($K$141,$Q$48:$Z$49,2))</f>
        <v>0</v>
      </c>
      <c r="F141" s="106">
        <f>IF(ISERROR(HLOOKUP($L$141,$Q$48:$Z$49,2)),0,HLOOKUP($L$141,$Q$48:$Z$49,2))</f>
        <v>0</v>
      </c>
      <c r="G141" s="67">
        <f>SUM($F$27:$F$32)</f>
        <v>0</v>
      </c>
      <c r="H141" s="67">
        <f>SUM($F$27:$F$32)+$J$51</f>
        <v>0</v>
      </c>
      <c r="I141" s="67">
        <f>SUM($F$27:$F$32)+$J$51+$J$60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/>
      <c r="BD141" s="69" t="s">
        <v>349</v>
      </c>
      <c r="BE141" s="70">
        <v>5</v>
      </c>
      <c r="BF141" s="70">
        <v>10</v>
      </c>
      <c r="BG141" s="70">
        <v>15</v>
      </c>
      <c r="BH141" s="70">
        <v>20</v>
      </c>
      <c r="BI141" s="70">
        <v>25</v>
      </c>
      <c r="BJ141" s="329" t="s">
        <v>365</v>
      </c>
      <c r="BK141" s="326"/>
      <c r="BL141" s="327"/>
    </row>
    <row r="142" spans="1:64" ht="12.75" hidden="1" customHeight="1" x14ac:dyDescent="0.15">
      <c r="A142" s="259">
        <v>5</v>
      </c>
      <c r="B142" s="51" t="s">
        <v>553</v>
      </c>
      <c r="C142" s="21" t="s">
        <v>613</v>
      </c>
      <c r="D142" s="104">
        <f>IF(ISERROR(HLOOKUP($J$142,$Q$48:$AB$49,2)),0,HLOOKUP($J$142,$Q$48:$AB$49,2))</f>
        <v>0</v>
      </c>
      <c r="E142" s="105">
        <f>IF(ISERROR(HLOOKUP($K$142,$Q$48:$AB$49,2)),0,HLOOKUP($K$142,$Q$48:$AB$49,2))</f>
        <v>0</v>
      </c>
      <c r="F142" s="106">
        <f>IF(ISERROR(HLOOKUP($L$142,$Q$48:$AB$49,2)),0,HLOOKUP($L$142,$Q$48:$AB$49,2))</f>
        <v>0</v>
      </c>
      <c r="G142" s="67">
        <f>SUM($F$30:$F$32)</f>
        <v>0</v>
      </c>
      <c r="H142" s="67">
        <f>SUM($F$30:$F$32)+$J$51</f>
        <v>0</v>
      </c>
      <c r="I142" s="67">
        <f>SUM($F$30:$F$32)+$J$51+$J$60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/>
      <c r="BC142" s="330" t="s">
        <v>419</v>
      </c>
      <c r="BD142" s="330" t="s">
        <v>420</v>
      </c>
      <c r="BE142" s="69" t="s">
        <v>421</v>
      </c>
      <c r="BF142" s="69" t="s">
        <v>422</v>
      </c>
      <c r="BG142" s="69" t="s">
        <v>423</v>
      </c>
      <c r="BH142" s="69" t="s">
        <v>424</v>
      </c>
      <c r="BI142" s="69" t="s">
        <v>425</v>
      </c>
      <c r="BJ142" s="69" t="s">
        <v>426</v>
      </c>
      <c r="BK142" s="326"/>
      <c r="BL142" s="327"/>
    </row>
    <row r="143" spans="1:64" ht="12.75" hidden="1" customHeight="1" x14ac:dyDescent="0.15">
      <c r="A143" s="259" t="s">
        <v>555</v>
      </c>
      <c r="B143" s="51" t="s">
        <v>616</v>
      </c>
      <c r="C143" s="21" t="s">
        <v>613</v>
      </c>
      <c r="D143" s="104">
        <f>IF(ISERROR(HLOOKUP($J$143,$Q$48:$V$49,2)),0,HLOOKUP($J$143,$Q$48:$V$49,2))</f>
        <v>0</v>
      </c>
      <c r="E143" s="105">
        <f>IF(ISERROR(HLOOKUP($K$143,$Q$48:$V$49,2)),0,HLOOKUP($K$143,$Q$48:$V$49,2))</f>
        <v>0</v>
      </c>
      <c r="F143" s="106">
        <f>IF(ISERROR(HLOOKUP($L$143,$Q$48:$V$49,2)),0,HLOOKUP($L$143,$Q$48:$V$49,2))</f>
        <v>0</v>
      </c>
      <c r="G143" s="67">
        <f>SUM($F$30:$F$32)</f>
        <v>0</v>
      </c>
      <c r="H143" s="67">
        <f>SUM($F$30:$F$32)+$J$51</f>
        <v>0</v>
      </c>
      <c r="I143" s="67">
        <f>SUM($F$30:$F$32)+$J$51+$J$60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0" t="s">
        <v>427</v>
      </c>
      <c r="BD143" s="330" t="s">
        <v>428</v>
      </c>
      <c r="BE143" s="69" t="s">
        <v>421</v>
      </c>
      <c r="BF143" s="69" t="s">
        <v>422</v>
      </c>
      <c r="BG143" s="69" t="s">
        <v>423</v>
      </c>
      <c r="BH143" s="69" t="s">
        <v>424</v>
      </c>
      <c r="BI143" s="69" t="s">
        <v>425</v>
      </c>
      <c r="BJ143" s="69" t="s">
        <v>426</v>
      </c>
      <c r="BK143" s="326"/>
      <c r="BL143" s="327"/>
    </row>
    <row r="144" spans="1:64" ht="12.75" hidden="1" customHeight="1" x14ac:dyDescent="0.15">
      <c r="A144" s="259">
        <v>6</v>
      </c>
      <c r="B144" s="51" t="s">
        <v>556</v>
      </c>
      <c r="C144" s="21" t="s">
        <v>613</v>
      </c>
      <c r="D144" s="104">
        <f>IF(ISERROR(HLOOKUP($J$144,$Q$48:$AA$49,2)),0,HLOOKUP($J$144,$Q$48:$AA$49,2))</f>
        <v>0</v>
      </c>
      <c r="E144" s="105">
        <f>IF(ISERROR(HLOOKUP(K144,$Q$48:$AA$49,2)),0,HLOOKUP(K144,$Q$48:$AA$49,2))</f>
        <v>0</v>
      </c>
      <c r="F144" s="106">
        <f>IF(ISERROR(HLOOKUP(L144,$Q$48:$AA$49,2)),0,HLOOKUP(L144,$Q$48:$AA$49,2))</f>
        <v>0</v>
      </c>
      <c r="G144" s="396">
        <f>SUM($F$27:$F$33)</f>
        <v>0</v>
      </c>
      <c r="H144" s="103">
        <f>SUM($F$27:$F$33)+$J$51</f>
        <v>0</v>
      </c>
      <c r="I144" s="103">
        <f>SUM($F$27:$F$33)+$J$51+$J$60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330" t="s">
        <v>429</v>
      </c>
      <c r="BD144" s="330" t="s">
        <v>430</v>
      </c>
      <c r="BE144" s="69" t="s">
        <v>421</v>
      </c>
      <c r="BF144" s="69" t="s">
        <v>422</v>
      </c>
      <c r="BG144" s="69" t="s">
        <v>423</v>
      </c>
      <c r="BH144" s="69" t="s">
        <v>424</v>
      </c>
      <c r="BI144" s="69" t="s">
        <v>425</v>
      </c>
      <c r="BJ144" s="69" t="s">
        <v>426</v>
      </c>
      <c r="BK144" s="7"/>
      <c r="BL144" s="7"/>
    </row>
    <row r="145" spans="1:64" ht="12.75" hidden="1" customHeight="1" x14ac:dyDescent="0.15">
      <c r="A145" s="259">
        <v>7</v>
      </c>
      <c r="B145" s="51" t="s">
        <v>557</v>
      </c>
      <c r="C145" s="21" t="s">
        <v>547</v>
      </c>
      <c r="D145" s="104">
        <f>IF(ISERROR(HLOOKUP($J$145,$Q$77:$W$78,2)),0,HLOOKUP($J$145,$Q$77:$W$78,2))</f>
        <v>0</v>
      </c>
      <c r="E145" s="105">
        <f>IF(ISERROR(HLOOKUP(K145,$Q$77:$W$78,2)),0,HLOOKUP(K145,$Q$77:$W$78,2))</f>
        <v>0</v>
      </c>
      <c r="F145" s="106">
        <f>IF(ISERROR(HLOOKUP(L145,$Q$77:$W$78,2)),0,HLOOKUP(L145,$Q$77:$W$78,2))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330" t="s">
        <v>431</v>
      </c>
      <c r="BD145" s="330" t="s">
        <v>430</v>
      </c>
      <c r="BE145" s="69" t="s">
        <v>421</v>
      </c>
      <c r="BF145" s="69" t="s">
        <v>422</v>
      </c>
      <c r="BG145" s="69" t="s">
        <v>423</v>
      </c>
      <c r="BH145" s="69" t="s">
        <v>424</v>
      </c>
      <c r="BI145" s="69" t="s">
        <v>425</v>
      </c>
      <c r="BJ145" s="69" t="s">
        <v>426</v>
      </c>
      <c r="BK145" s="5"/>
      <c r="BL145" s="5"/>
    </row>
    <row r="146" spans="1:64" ht="12.75" hidden="1" customHeight="1" x14ac:dyDescent="0.15">
      <c r="A146" s="259" t="s">
        <v>558</v>
      </c>
      <c r="B146" s="51" t="s">
        <v>614</v>
      </c>
      <c r="C146" s="21" t="s">
        <v>547</v>
      </c>
      <c r="D146" s="104">
        <f>IF(ISERROR(HLOOKUP($J$146,$Q$77:$W$78,2)),0,HLOOKUP($J$146,$Q$77:$W$78,2))</f>
        <v>0</v>
      </c>
      <c r="E146" s="105">
        <f>IF(ISERROR(HLOOKUP(K146,$Q$77:$W$78,2)),0,HLOOKUP(K146,$Q$77:$W$78,2))</f>
        <v>0</v>
      </c>
      <c r="F146" s="106">
        <f>IF(ISERROR(HLOOKUP(L146,$Q$77:$W$78,2)),0,HLOOKUP(L146,$Q$77:$W$78,2))</f>
        <v>0</v>
      </c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 t="s">
        <v>400</v>
      </c>
      <c r="BD146" s="69"/>
      <c r="BE146" s="69" t="s">
        <v>329</v>
      </c>
      <c r="BF146" s="69" t="s">
        <v>356</v>
      </c>
      <c r="BG146" s="69" t="s">
        <v>432</v>
      </c>
      <c r="BH146" s="69" t="s">
        <v>432</v>
      </c>
      <c r="BI146" s="69" t="s">
        <v>432</v>
      </c>
      <c r="BJ146" s="69" t="s">
        <v>432</v>
      </c>
      <c r="BK146" s="5"/>
      <c r="BL146" s="5"/>
    </row>
    <row r="147" spans="1:64" ht="12.75" hidden="1" customHeight="1" x14ac:dyDescent="0.15">
      <c r="A147" s="259">
        <v>8</v>
      </c>
      <c r="B147" s="51" t="s">
        <v>559</v>
      </c>
      <c r="C147" s="21" t="s">
        <v>547</v>
      </c>
      <c r="D147" s="104">
        <f>IF(ISERROR(HLOOKUP($J$147,$Q$73:$W$74,2)),0,HLOOKUP($J$147,$Q$73:$W$74,2))</f>
        <v>0</v>
      </c>
      <c r="E147" s="105">
        <f>IF(ISERROR(HLOOKUP(K147,$Q$73:$W$74,2)),0,HLOOKUP(K147,$Q$73:$W$74,2))</f>
        <v>0</v>
      </c>
      <c r="F147" s="106">
        <f>IF(ISERROR(HLOOKUP(L147,$Q$73:$W$74,2)),0,HLOOKUP(L147,$Q$73:$W$74,2))</f>
        <v>0</v>
      </c>
      <c r="G147" s="396">
        <f>SUM($F$27:$F$32)</f>
        <v>0</v>
      </c>
      <c r="H147" s="103">
        <f>SUM($F$27:$F$32)+$J$51</f>
        <v>0</v>
      </c>
      <c r="I147" s="103">
        <f>SUM($F$27:$F$32)+$J$51+$J$60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>
        <v>26</v>
      </c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9</v>
      </c>
      <c r="B148" s="51" t="s">
        <v>560</v>
      </c>
      <c r="C148" s="21" t="s">
        <v>547</v>
      </c>
      <c r="D148" s="104">
        <f>IF(ISERROR(HLOOKUP($J$148,$Q$77:$W$78,2)),0,HLOOKUP($J$148,$Q$77:$W$78,2))</f>
        <v>0</v>
      </c>
      <c r="E148" s="105">
        <f>IF(ISERROR(HLOOKUP(K148,$Q$77:$W$78,2)),0,HLOOKUP(K148,$Q$77:$W$78,2))</f>
        <v>0</v>
      </c>
      <c r="F148" s="106">
        <f>IF(ISERROR(HLOOKUP(L148,$Q$77:$W$78,2)),0,HLOOKUP(L148,$Q$77:$W$78,2))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BB148" s="69"/>
      <c r="BC148" s="331"/>
      <c r="BD148" s="116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10</v>
      </c>
      <c r="B149" s="51" t="s">
        <v>561</v>
      </c>
      <c r="C149" s="21" t="s">
        <v>613</v>
      </c>
      <c r="D149" s="104">
        <f>IF(ISERROR(HLOOKUP($J$149,$Q$39:$Y$40,2)),0,HLOOKUP($J$149,$Q$39:$Y$40,2))</f>
        <v>0</v>
      </c>
      <c r="E149" s="105">
        <f>IF(ISERROR(HLOOKUP(K149,$Q$39:$Y$40,2)),0,HLOOKUP(K149,$Q$39:$Y$40,2))</f>
        <v>0</v>
      </c>
      <c r="F149" s="106">
        <f>IF(ISERROR(HLOOKUP(L149,$Q$39:$Y$40,2)),0,HLOOKUP(L149,$Q$39:$Y$40,2))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BB149" s="69"/>
      <c r="BC149" s="69"/>
      <c r="BD149" s="69"/>
      <c r="BE149" s="69"/>
      <c r="BF149" s="69"/>
      <c r="BG149" s="69"/>
      <c r="BH149" s="69"/>
      <c r="BI149" s="69"/>
      <c r="BJ149" s="69"/>
      <c r="BK149" s="5"/>
      <c r="BL149" s="5"/>
    </row>
    <row r="150" spans="1:64" ht="12.75" hidden="1" customHeight="1" x14ac:dyDescent="0.15">
      <c r="A150" s="259">
        <v>11</v>
      </c>
      <c r="B150" s="51" t="s">
        <v>562</v>
      </c>
      <c r="C150" s="21" t="s">
        <v>547</v>
      </c>
      <c r="D150" s="104">
        <f>IF(ISERROR(HLOOKUP($J$150,$Q$73:$AB$74,2)),0,HLOOKUP($J$150,$Q$73:$AB$74,2))</f>
        <v>0</v>
      </c>
      <c r="E150" s="105">
        <f>IF(ISERROR(HLOOKUP(K150,$Q$73:$AB$74,2)),0,HLOOKUP(K150,$Q$73:$AB$74,2))</f>
        <v>0</v>
      </c>
      <c r="F150" s="106">
        <f>IF(ISERROR(HLOOKUP(L150,$Q$73:$AB$74,2)),0,HLOOKUP(L150,$Q$73:$AB$74,2))</f>
        <v>0</v>
      </c>
      <c r="G150" s="396">
        <f>SUM($F$30:$F$32)</f>
        <v>0</v>
      </c>
      <c r="H150" s="103">
        <f>SUM($F$30:$F$32)+$J$51</f>
        <v>0</v>
      </c>
      <c r="I150" s="103">
        <f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BB150" s="69"/>
      <c r="BC150" s="69"/>
      <c r="BD150" s="69"/>
      <c r="BE150" s="69"/>
      <c r="BF150" s="69"/>
      <c r="BG150" s="69"/>
      <c r="BH150" s="69"/>
      <c r="BI150" s="69"/>
      <c r="BJ150" s="69"/>
      <c r="BK150" s="5"/>
      <c r="BL150" s="5"/>
    </row>
    <row r="151" spans="1:64" ht="12.75" hidden="1" customHeight="1" x14ac:dyDescent="0.15">
      <c r="A151" s="259">
        <v>12</v>
      </c>
      <c r="B151" s="51" t="s">
        <v>563</v>
      </c>
      <c r="C151" s="21"/>
      <c r="D151" s="104"/>
      <c r="E151" s="105"/>
      <c r="F151" s="106"/>
      <c r="G151" s="396">
        <f>SUM($F$30:$F$32)</f>
        <v>0</v>
      </c>
      <c r="H151" s="103">
        <f>SUM($F$30:$F$32)+$J$51</f>
        <v>0</v>
      </c>
      <c r="I151" s="103">
        <f>SUM($F$30:$F$32)+$J$51+$J$60</f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BB151" s="69"/>
      <c r="BC151" s="69"/>
      <c r="BD151" s="69"/>
      <c r="BE151" s="69"/>
      <c r="BF151" s="69"/>
      <c r="BG151" s="69"/>
      <c r="BH151" s="69"/>
      <c r="BI151" s="69"/>
      <c r="BJ151" s="69"/>
      <c r="BK151" s="5"/>
      <c r="BL151" s="5"/>
    </row>
    <row r="152" spans="1:64" ht="12.75" hidden="1" customHeight="1" x14ac:dyDescent="0.15">
      <c r="A152" s="259">
        <v>13</v>
      </c>
      <c r="B152" s="51" t="s">
        <v>686</v>
      </c>
      <c r="C152" s="21" t="s">
        <v>527</v>
      </c>
      <c r="D152" s="104">
        <f>IF(ISERROR(HLOOKUP($J$152,$Q$26:$AT$27,2)),0,HLOOKUP($J$152,$Q$26:$AT$27,2))</f>
        <v>0</v>
      </c>
      <c r="E152" s="104">
        <f>IF(ISERROR(HLOOKUP(K152,$Q$26:$AT$27,2)),0,HLOOKUP(K152,$Q$26:$AT$27,2))</f>
        <v>0</v>
      </c>
      <c r="F152" s="104">
        <f>IF(ISERROR(HLOOKUP(L152,$Q$26:$AT$27,2)),0,HLOOKUP(L152,$Q$26:$AT$27,2))</f>
        <v>0</v>
      </c>
      <c r="G152" s="396">
        <f>SUM($F$30:$F$32)</f>
        <v>0</v>
      </c>
      <c r="H152" s="103">
        <f>SUM($F$30:$F$32)+$J$51</f>
        <v>0</v>
      </c>
      <c r="I152" s="103">
        <f>SUM($F$30:$F$32)+$J$51+$J$60</f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BB152" s="69"/>
      <c r="BC152" s="69"/>
      <c r="BD152" s="69"/>
      <c r="BE152" s="69"/>
      <c r="BF152" s="69"/>
      <c r="BG152" s="69"/>
      <c r="BH152" s="69"/>
      <c r="BI152" s="69"/>
      <c r="BJ152" s="69"/>
      <c r="BK152" s="5"/>
      <c r="BL152" s="5"/>
    </row>
    <row r="153" spans="1:64" ht="12.75" hidden="1" customHeight="1" x14ac:dyDescent="0.15">
      <c r="A153" s="259">
        <v>14</v>
      </c>
      <c r="B153" s="51" t="s">
        <v>564</v>
      </c>
      <c r="C153" s="21" t="s">
        <v>613</v>
      </c>
      <c r="D153" s="104">
        <f>IF(ISERROR(HLOOKUP(J153,$Q$48:$AB$49,2)),0,HLOOKUP(J153,$Q$48:$AB$49,2))</f>
        <v>0</v>
      </c>
      <c r="E153" s="104">
        <f>IF(ISERROR(HLOOKUP(K153,$Q$48:$AB$49,2)),0,HLOOKUP(K153,$Q$48:$AB$49,2))</f>
        <v>0</v>
      </c>
      <c r="F153" s="104">
        <f>IF(ISERROR(HLOOKUP(L153,$Q$48:$AB$49,2)),0,HLOOKUP(L153,$Q$48:$AB$49,2))</f>
        <v>0</v>
      </c>
      <c r="G153" s="396">
        <f>SUM($F$27:$F$32)</f>
        <v>0</v>
      </c>
      <c r="H153" s="103">
        <f>SUM($F$27:$F$32)+$J$51</f>
        <v>0</v>
      </c>
      <c r="I153" s="103">
        <f>SUM($F$27:$F$32)+$J$51+$J$60</f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69"/>
      <c r="BC153" s="69"/>
      <c r="BD153" s="69"/>
      <c r="BE153" s="69"/>
      <c r="BF153" s="69"/>
      <c r="BG153" s="69"/>
      <c r="BH153" s="69"/>
      <c r="BI153" s="69"/>
      <c r="BJ153" s="69"/>
      <c r="BK153" s="5"/>
      <c r="BL153" s="5"/>
    </row>
    <row r="154" spans="1:64" ht="12.75" hidden="1" customHeight="1" x14ac:dyDescent="0.15">
      <c r="A154" s="259">
        <v>15</v>
      </c>
      <c r="B154" s="51" t="s">
        <v>565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69" t="s">
        <v>427</v>
      </c>
      <c r="BC154" s="69"/>
      <c r="BD154" s="69"/>
      <c r="BE154" s="69"/>
      <c r="BF154" s="69"/>
      <c r="BG154" s="69"/>
      <c r="BH154" s="69"/>
      <c r="BI154" s="69"/>
      <c r="BJ154" s="69"/>
      <c r="BK154" s="116"/>
      <c r="BL154" s="332"/>
    </row>
    <row r="155" spans="1:64" ht="12.75" hidden="1" customHeight="1" x14ac:dyDescent="0.15">
      <c r="A155" s="259">
        <v>16</v>
      </c>
      <c r="B155" s="51" t="s">
        <v>566</v>
      </c>
      <c r="C155" s="21" t="s">
        <v>527</v>
      </c>
      <c r="D155" s="104">
        <f>IF(ISERROR(HLOOKUP(J155,$Q$26:$AT$27,2)),0,HLOOKUP(J155,$Q$26:$AT$27,2))</f>
        <v>0</v>
      </c>
      <c r="E155" s="104">
        <f>IF(ISERROR(HLOOKUP(K155,$Q$26:$AT$27,2)),0,HLOOKUP(K155,$Q$26:$AT$27,2))</f>
        <v>0</v>
      </c>
      <c r="F155" s="104">
        <f>IF(ISERROR(HLOOKUP(L155,$Q$26:$AT$27,2)),0,HLOOKUP(L155,$Q$26:$AT$27,2))</f>
        <v>0</v>
      </c>
      <c r="G155" s="396">
        <f t="shared" ref="G155:G160" si="10">SUM($F$30:$F$32)</f>
        <v>0</v>
      </c>
      <c r="H155" s="103">
        <f t="shared" ref="H155:H160" si="11">SUM($F$30:$F$32)+$J$51</f>
        <v>0</v>
      </c>
      <c r="I155" s="103">
        <f t="shared" ref="I155:I160" si="12"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69"/>
      <c r="BC155" s="69"/>
      <c r="BD155" s="69"/>
      <c r="BE155" s="333"/>
      <c r="BF155" s="69"/>
      <c r="BG155" s="69"/>
      <c r="BH155" s="69"/>
      <c r="BI155" s="69"/>
      <c r="BJ155" s="69"/>
      <c r="BK155" s="69"/>
      <c r="BL155" s="69"/>
    </row>
    <row r="156" spans="1:64" ht="12.75" hidden="1" customHeight="1" x14ac:dyDescent="0.15">
      <c r="A156" s="259">
        <v>17</v>
      </c>
      <c r="B156" s="51" t="s">
        <v>567</v>
      </c>
      <c r="C156" s="21" t="s">
        <v>547</v>
      </c>
      <c r="D156" s="104">
        <f>IF(ISERROR(HLOOKUP(J156,$Q$73:$V$74,2)),0,HLOOKUP(J156,$Q$73:$V$74,2))</f>
        <v>0</v>
      </c>
      <c r="E156" s="104">
        <f>IF(ISERROR(HLOOKUP(K156,$Q$73:$V$74,2)),0,HLOOKUP(K156,$Q$73:$V$74,2))</f>
        <v>0</v>
      </c>
      <c r="F156" s="104">
        <f>IF(ISERROR(HLOOKUP(L156,$Q$73:$V$74,2)),0,HLOOKUP(L156,$Q$73:$V$74,2))</f>
        <v>0</v>
      </c>
      <c r="G156" s="396">
        <f t="shared" si="10"/>
        <v>0</v>
      </c>
      <c r="H156" s="103">
        <f t="shared" si="11"/>
        <v>0</v>
      </c>
      <c r="I156" s="103">
        <f t="shared" si="12"/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2.75" hidden="1" customHeight="1" x14ac:dyDescent="0.15">
      <c r="A157" s="259">
        <v>18</v>
      </c>
      <c r="B157" s="51" t="s">
        <v>568</v>
      </c>
      <c r="C157" s="21" t="s">
        <v>527</v>
      </c>
      <c r="D157" s="104">
        <f>IF(ISERROR(HLOOKUP(J157,$Q$32:$AF$33,2)),0,HLOOKUP(J157,$Q$32:$AF$33,2))</f>
        <v>0</v>
      </c>
      <c r="E157" s="104">
        <f>IF(ISERROR(HLOOKUP(K157,$Q$32:$AF$33,2)),0,HLOOKUP(K157,$Q$32:$AF$33,2))</f>
        <v>0</v>
      </c>
      <c r="F157" s="104">
        <f>IF(ISERROR(HLOOKUP(L157,$Q$32:$AF$33,2)),0,HLOOKUP(L157,$Q$32:$AF$33,2))</f>
        <v>0</v>
      </c>
      <c r="G157" s="396">
        <f t="shared" si="10"/>
        <v>0</v>
      </c>
      <c r="H157" s="103">
        <f t="shared" si="11"/>
        <v>0</v>
      </c>
      <c r="I157" s="103">
        <f t="shared" si="12"/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  <c r="BB157" s="69"/>
      <c r="BC157" s="69"/>
      <c r="BD157" s="69"/>
      <c r="BE157" s="333"/>
      <c r="BF157" s="69"/>
      <c r="BG157" s="69"/>
      <c r="BH157" s="69"/>
      <c r="BI157" s="69"/>
      <c r="BJ157" s="69"/>
      <c r="BK157" s="69"/>
      <c r="BL157" s="69"/>
    </row>
    <row r="158" spans="1:64" ht="12.75" hidden="1" customHeight="1" x14ac:dyDescent="0.15">
      <c r="A158" s="259">
        <v>19</v>
      </c>
      <c r="B158" s="51" t="s">
        <v>569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 t="shared" si="10"/>
        <v>0</v>
      </c>
      <c r="H158" s="103">
        <f t="shared" si="11"/>
        <v>0</v>
      </c>
      <c r="I158" s="103">
        <f t="shared" si="12"/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  <c r="BB158" s="11"/>
      <c r="BC158" s="5"/>
    </row>
    <row r="159" spans="1:64" ht="12.75" hidden="1" customHeight="1" x14ac:dyDescent="0.15">
      <c r="A159" s="259">
        <v>20</v>
      </c>
      <c r="B159" s="51" t="s">
        <v>570</v>
      </c>
      <c r="C159" s="21" t="s">
        <v>613</v>
      </c>
      <c r="D159" s="104">
        <f t="shared" ref="D159:F160" si="13">IF(ISERROR(HLOOKUP(J159,$Q$39:$Y$40,2)),0,HLOOKUP(J159,$Q$39:$Y$40,2))</f>
        <v>0</v>
      </c>
      <c r="E159" s="104">
        <f t="shared" si="13"/>
        <v>0</v>
      </c>
      <c r="F159" s="104">
        <f t="shared" si="13"/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  <c r="BB159" s="11"/>
      <c r="BC159" s="5"/>
    </row>
    <row r="160" spans="1:64" ht="12.75" hidden="1" customHeight="1" x14ac:dyDescent="0.15">
      <c r="A160" s="259">
        <v>21</v>
      </c>
      <c r="B160" s="51" t="s">
        <v>571</v>
      </c>
      <c r="C160" s="21" t="s">
        <v>613</v>
      </c>
      <c r="D160" s="104">
        <f t="shared" si="13"/>
        <v>0</v>
      </c>
      <c r="E160" s="104">
        <f t="shared" si="13"/>
        <v>0</v>
      </c>
      <c r="F160" s="104">
        <f t="shared" si="13"/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  <c r="BB160" s="11"/>
      <c r="BC160" s="5"/>
    </row>
    <row r="161" spans="1:55" ht="12.75" hidden="1" customHeight="1" x14ac:dyDescent="0.15">
      <c r="A161" s="259">
        <v>22</v>
      </c>
      <c r="B161" s="51" t="s">
        <v>572</v>
      </c>
      <c r="C161" s="21"/>
      <c r="D161" s="334"/>
      <c r="E161" s="335"/>
      <c r="F161" s="336"/>
      <c r="G161" s="397"/>
      <c r="H161" s="51"/>
      <c r="M161" s="21" t="s">
        <v>660</v>
      </c>
      <c r="P161" s="328"/>
      <c r="Q161" s="328"/>
      <c r="AS161" s="5"/>
      <c r="BB161" s="11"/>
      <c r="BC161" s="5"/>
    </row>
    <row r="162" spans="1:55" ht="12.75" hidden="1" customHeight="1" x14ac:dyDescent="0.15">
      <c r="A162" s="259">
        <v>23</v>
      </c>
      <c r="B162" s="51" t="s">
        <v>573</v>
      </c>
      <c r="C162" s="21"/>
      <c r="D162" s="334"/>
      <c r="E162" s="335"/>
      <c r="F162" s="336"/>
      <c r="G162" s="397"/>
      <c r="H162" s="51"/>
      <c r="M162" s="21" t="s">
        <v>660</v>
      </c>
      <c r="P162" s="328"/>
      <c r="Q162" s="328"/>
      <c r="AS162" s="5"/>
    </row>
    <row r="163" spans="1:55" ht="12.75" hidden="1" customHeight="1" x14ac:dyDescent="0.15">
      <c r="A163" s="259">
        <v>24</v>
      </c>
      <c r="B163" s="51" t="s">
        <v>574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>SUM($F$27:$F$32)</f>
        <v>0</v>
      </c>
      <c r="H163" s="103">
        <f>SUM($F$27:$F$32)+$J$51</f>
        <v>0</v>
      </c>
      <c r="I163" s="103">
        <f>SUM($F$27:$F$32)+$J$51+$J$60</f>
        <v>0</v>
      </c>
      <c r="J163" s="21">
        <f t="shared" ref="J163:J194" si="14">ROUNDDOWN(G163/365,0)</f>
        <v>0</v>
      </c>
      <c r="K163" s="21">
        <f t="shared" ref="K163:K194" si="15">ROUNDDOWN(H163/365,0)</f>
        <v>0</v>
      </c>
      <c r="L163" s="21">
        <f t="shared" ref="L163:L194" si="16">ROUNDDOWN(I163/365,0)</f>
        <v>0</v>
      </c>
      <c r="M163" s="21" t="s">
        <v>660</v>
      </c>
      <c r="P163" s="328"/>
      <c r="Q163" s="328"/>
      <c r="AS163" s="5"/>
    </row>
    <row r="164" spans="1:55" ht="12.75" hidden="1" customHeight="1" x14ac:dyDescent="0.15">
      <c r="A164" s="259">
        <v>25</v>
      </c>
      <c r="B164" s="51" t="s">
        <v>580</v>
      </c>
      <c r="C164" s="21" t="s">
        <v>527</v>
      </c>
      <c r="D164" s="104">
        <f>IF(ISERROR(HLOOKUP(J164,$Q$29:$AT$30,2)),0,HLOOKUP(J164,$Q$29:$AT$30,2))</f>
        <v>0</v>
      </c>
      <c r="E164" s="104">
        <f>IF(ISERROR(HLOOKUP(K164,$Q$29:$AT$30,2)),0,HLOOKUP(K164,$Q$29:$AT$30,2))</f>
        <v>0</v>
      </c>
      <c r="F164" s="104">
        <f>IF(ISERROR(HLOOKUP(L164,$Q$29:$AT$30,2)),0,HLOOKUP(L164,$Q$29:$AT$30,2))</f>
        <v>0</v>
      </c>
      <c r="G164" s="396">
        <f>SUM($F$30:$F$32)</f>
        <v>0</v>
      </c>
      <c r="H164" s="103">
        <f>SUM($F$30:$F$32)+$J$51</f>
        <v>0</v>
      </c>
      <c r="I164" s="103">
        <f>SUM($F$30:$F$32)+$J$51+$J$60</f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55" ht="12.75" hidden="1" customHeight="1" x14ac:dyDescent="0.15">
      <c r="A165" s="259">
        <v>26</v>
      </c>
      <c r="B165" s="51" t="s">
        <v>581</v>
      </c>
      <c r="C165" s="21" t="s">
        <v>547</v>
      </c>
      <c r="D165" s="104">
        <f>IF(ISERROR(HLOOKUP(J165,$Q$73:$W$74,2)),0,HLOOKUP(J165,$Q$73:$W$74,2))</f>
        <v>0</v>
      </c>
      <c r="E165" s="104">
        <f>IF(ISERROR(HLOOKUP(K165,$Q$73:$W$74,2)),0,HLOOKUP(K165,$Q$73:$W$74,2))</f>
        <v>0</v>
      </c>
      <c r="F165" s="104">
        <f>IF(ISERROR(HLOOKUP(L165,$Q$73:$W$74,2)),0,HLOOKUP(L165,$Q$73:$W$74,2))</f>
        <v>0</v>
      </c>
      <c r="G165" s="396">
        <f>SUM($F$27:$F$32)</f>
        <v>0</v>
      </c>
      <c r="H165" s="103">
        <f>SUM($F$27:$F$32)+$J$51</f>
        <v>0</v>
      </c>
      <c r="I165" s="103">
        <f>SUM($F$27:$F$32)+$J$51+$J$60</f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55" ht="12.75" hidden="1" customHeight="1" x14ac:dyDescent="0.15">
      <c r="A166" s="259" t="s">
        <v>582</v>
      </c>
      <c r="B166" s="51" t="s">
        <v>684</v>
      </c>
      <c r="C166" s="21" t="s">
        <v>547</v>
      </c>
      <c r="D166" s="104">
        <f>IF(ISERROR(HLOOKUP(J166,$Q$73:$V$74,2)),0,HLOOKUP(J166,$Q$73:$V$74,2))</f>
        <v>0</v>
      </c>
      <c r="E166" s="104">
        <f>IF(ISERROR(HLOOKUP(K166,$Q$73:$V$74,2)),0,HLOOKUP(K166,$Q$73:$V$74,2))</f>
        <v>0</v>
      </c>
      <c r="F166" s="104">
        <f>IF(ISERROR(HLOOKUP(L166,$Q$73:$V$74,2)),0,HLOOKUP(L166,$Q$73:$V$74,2))</f>
        <v>0</v>
      </c>
      <c r="G166" s="396">
        <f>SUM($F$27:$F$32)</f>
        <v>0</v>
      </c>
      <c r="H166" s="103">
        <f>SUM($F$27:$F$32)+$J$51</f>
        <v>0</v>
      </c>
      <c r="I166" s="103">
        <f>SUM($F$27:$F$32)+$J$51+$J$60</f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5"/>
    </row>
    <row r="167" spans="1:55" ht="12.75" hidden="1" customHeight="1" x14ac:dyDescent="0.15">
      <c r="A167" s="259">
        <v>27</v>
      </c>
      <c r="B167" s="51" t="s">
        <v>583</v>
      </c>
      <c r="C167" s="21" t="s">
        <v>613</v>
      </c>
      <c r="D167" s="104">
        <f>IF(ISERROR(HLOOKUP(J167,$Q$48:$Z$49,2)),0,HLOOKUP(J167,$Q$48:$Z$49,2))</f>
        <v>0</v>
      </c>
      <c r="E167" s="104">
        <f>IF(ISERROR(HLOOKUP(K167,$Q$48:$Z$49,2)),0,HLOOKUP(K167,$Q$48:$Z$49,2))</f>
        <v>0</v>
      </c>
      <c r="F167" s="104">
        <f>IF(ISERROR(HLOOKUP(L167,$Q$48:$Z$49,2)),0,HLOOKUP(L167,$Q$48:$Z$49,2))</f>
        <v>0</v>
      </c>
      <c r="G167" s="396">
        <f t="shared" ref="G167:G174" si="17">SUM($F$30:$F$32)</f>
        <v>0</v>
      </c>
      <c r="H167" s="103">
        <f t="shared" ref="H167:H174" si="18">SUM($F$30:$F$32)+$J$51</f>
        <v>0</v>
      </c>
      <c r="I167" s="103">
        <f t="shared" ref="I167:I174" si="19">SUM($F$30:$F$32)+$J$51+$J$60</f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5"/>
    </row>
    <row r="168" spans="1:55" ht="12.75" hidden="1" customHeight="1" x14ac:dyDescent="0.15">
      <c r="A168" s="259">
        <v>28</v>
      </c>
      <c r="B168" s="51" t="s">
        <v>584</v>
      </c>
      <c r="C168" s="21" t="s">
        <v>547</v>
      </c>
      <c r="D168" s="104">
        <f>IF(ISERROR(HLOOKUP(J168,$Q$73:$W$74,2)),0,HLOOKUP(J168,$Q$73:$W$74,2))</f>
        <v>0</v>
      </c>
      <c r="E168" s="104">
        <f>IF(ISERROR(HLOOKUP(K168,$Q$73:$W$74,2)),0,HLOOKUP(K168,$Q$73:$W$74,2))</f>
        <v>0</v>
      </c>
      <c r="F168" s="104">
        <f>IF(ISERROR(HLOOKUP(L168,$Q$73:$W$74,2)),0,HLOOKUP(L168,$Q$73:$W$74,2))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21" t="s">
        <v>660</v>
      </c>
      <c r="P168" s="328"/>
      <c r="Q168" s="328"/>
      <c r="AS168" s="5"/>
    </row>
    <row r="169" spans="1:55" ht="12.75" hidden="1" customHeight="1" x14ac:dyDescent="0.15">
      <c r="A169" s="259">
        <v>29</v>
      </c>
      <c r="B169" s="51" t="s">
        <v>585</v>
      </c>
      <c r="C169" s="21" t="s">
        <v>613</v>
      </c>
      <c r="D169" s="104">
        <f>IF(ISERROR(HLOOKUP(J169,$Q$48:$V$49,2)),0,HLOOKUP(J169,$Q$48:$V$49,2))</f>
        <v>0</v>
      </c>
      <c r="E169" s="104">
        <f>IF(ISERROR(HLOOKUP(K169,$Q$48:$V$49,2)),0,HLOOKUP(K169,$Q$48:$V$49,2))</f>
        <v>0</v>
      </c>
      <c r="F169" s="104">
        <f>IF(ISERROR(HLOOKUP(L169,$Q$48:$V$49,2)),0,HLOOKUP(L169,$Q$48:$V$49,2))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21" t="s">
        <v>660</v>
      </c>
      <c r="P169" s="328"/>
      <c r="Q169" s="328"/>
      <c r="AS169" s="5"/>
    </row>
    <row r="170" spans="1:55" ht="13.5" hidden="1" customHeight="1" x14ac:dyDescent="0.15">
      <c r="A170" s="259">
        <v>30</v>
      </c>
      <c r="B170" s="51" t="s">
        <v>586</v>
      </c>
      <c r="C170" s="21" t="s">
        <v>613</v>
      </c>
      <c r="D170" s="104">
        <f>IF(ISERROR(HLOOKUP(J170,$Q$48:$AA$49,2)),0,HLOOKUP(J170,$Q$48:$AA$49,2))</f>
        <v>0</v>
      </c>
      <c r="E170" s="104">
        <f>IF(ISERROR(HLOOKUP(K170,$Q$48:$AA$49,2)),0,HLOOKUP(K170,$Q$48:$AA$49,2))</f>
        <v>0</v>
      </c>
      <c r="F170" s="104">
        <f>IF(ISERROR(HLOOKUP(L170,$Q$48:$AA$49,2)),0,HLOOKUP(L170,$Q$48:$AA$49,2))</f>
        <v>0</v>
      </c>
      <c r="G170" s="396">
        <f t="shared" si="17"/>
        <v>0</v>
      </c>
      <c r="H170" s="103">
        <f t="shared" si="18"/>
        <v>0</v>
      </c>
      <c r="I170" s="103">
        <f t="shared" si="19"/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21" t="s">
        <v>660</v>
      </c>
      <c r="P170" s="328"/>
      <c r="Q170" s="328"/>
      <c r="AS170" s="5"/>
    </row>
    <row r="171" spans="1:55" ht="12.75" hidden="1" customHeight="1" x14ac:dyDescent="0.15">
      <c r="A171" s="259" t="s">
        <v>587</v>
      </c>
      <c r="B171" s="51" t="s">
        <v>685</v>
      </c>
      <c r="C171" s="21" t="s">
        <v>547</v>
      </c>
      <c r="D171" s="104">
        <f>IF(ISERROR(HLOOKUP(J171,$Q$73:$X$74,2)),0,HLOOKUP(J171,$Q$73:$X$74,2))</f>
        <v>0</v>
      </c>
      <c r="E171" s="104">
        <f>IF(ISERROR(HLOOKUP(K171,$Q$73:$X$74,2)),0,HLOOKUP(K171,$Q$73:$X$74,2))</f>
        <v>0</v>
      </c>
      <c r="F171" s="104">
        <f>IF(ISERROR(HLOOKUP(L171,$Q$73:$X$74,2)),0,HLOOKUP(L171,$Q$73:$X$74,2))</f>
        <v>0</v>
      </c>
      <c r="G171" s="396">
        <f t="shared" si="17"/>
        <v>0</v>
      </c>
      <c r="H171" s="103">
        <f t="shared" si="18"/>
        <v>0</v>
      </c>
      <c r="I171" s="103">
        <f t="shared" si="19"/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21" t="s">
        <v>660</v>
      </c>
      <c r="P171" s="328"/>
      <c r="Q171" s="328"/>
      <c r="AS171" s="116"/>
    </row>
    <row r="172" spans="1:55" ht="12.75" hidden="1" customHeight="1" x14ac:dyDescent="0.15">
      <c r="A172" s="259">
        <v>31</v>
      </c>
      <c r="B172" s="51" t="s">
        <v>588</v>
      </c>
      <c r="C172" s="21" t="s">
        <v>613</v>
      </c>
      <c r="D172" s="104">
        <f>IF(ISERROR(HLOOKUP(J172,$Q$42:$AG$43,2)),0,HLOOKUP(J172,$Q$42:$AG$43,2))</f>
        <v>0</v>
      </c>
      <c r="E172" s="104">
        <f>IF(ISERROR(HLOOKUP(K172,$Q$42:$AG$43,2)),0,HLOOKUP(K172,$Q$42:$AG$43,2))</f>
        <v>0</v>
      </c>
      <c r="F172" s="104">
        <f>IF(ISERROR(HLOOKUP(L172,$Q$42:$AG$43,2)),0,HLOOKUP(L172,$Q$42:$AG$43,2))</f>
        <v>0</v>
      </c>
      <c r="G172" s="396">
        <f t="shared" si="17"/>
        <v>0</v>
      </c>
      <c r="H172" s="103">
        <f t="shared" si="18"/>
        <v>0</v>
      </c>
      <c r="I172" s="103">
        <f t="shared" si="19"/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21" t="s">
        <v>660</v>
      </c>
      <c r="P172" s="328"/>
      <c r="Q172" s="328"/>
      <c r="AS172" s="69"/>
    </row>
    <row r="173" spans="1:55" ht="12.75" hidden="1" customHeight="1" x14ac:dyDescent="0.15">
      <c r="A173" s="259">
        <v>32</v>
      </c>
      <c r="B173" s="338" t="s">
        <v>617</v>
      </c>
      <c r="C173" s="21" t="s">
        <v>613</v>
      </c>
      <c r="D173" s="104">
        <f>IF(ISERROR(HLOOKUP(J173,$Q$42:$AA$43,2)),0,HLOOKUP(J173,$Q$42:$AA$43,2))</f>
        <v>0</v>
      </c>
      <c r="E173" s="104">
        <f>IF(ISERROR(HLOOKUP(K173,$Q$42:$AA$43,2)),0,HLOOKUP(K173,$Q$42:$AA$43,2))</f>
        <v>0</v>
      </c>
      <c r="F173" s="104">
        <f>IF(ISERROR(HLOOKUP(L173,$Q$42:$AA$43,2)),0,HLOOKUP(L173,$Q$42:$AA$43,2))</f>
        <v>0</v>
      </c>
      <c r="G173" s="396">
        <f t="shared" si="17"/>
        <v>0</v>
      </c>
      <c r="H173" s="103">
        <f t="shared" si="18"/>
        <v>0</v>
      </c>
      <c r="I173" s="103">
        <f t="shared" si="19"/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S173" s="69"/>
    </row>
    <row r="174" spans="1:55" ht="12.75" hidden="1" customHeight="1" x14ac:dyDescent="0.15">
      <c r="A174" s="259">
        <v>33</v>
      </c>
      <c r="B174" s="338" t="s">
        <v>618</v>
      </c>
      <c r="C174" s="21" t="s">
        <v>613</v>
      </c>
      <c r="D174" s="104">
        <f>IF(ISERROR(HLOOKUP(J174,$Q$39:$AA$40,2)),0,HLOOKUP(J174,$Q$39:$AA$40,2))</f>
        <v>0</v>
      </c>
      <c r="E174" s="104">
        <f>IF(ISERROR(HLOOKUP(K174,$Q$39:$AA$40,2)),0,HLOOKUP(K174,$Q$39:$AA$40,2))</f>
        <v>0</v>
      </c>
      <c r="F174" s="104">
        <f>IF(ISERROR(HLOOKUP(L174,$Q$39:$AA$40,2)),0,HLOOKUP(L174,$Q$39:$AA$40,2))</f>
        <v>0</v>
      </c>
      <c r="G174" s="396">
        <f t="shared" si="17"/>
        <v>0</v>
      </c>
      <c r="H174" s="103">
        <f t="shared" si="18"/>
        <v>0</v>
      </c>
      <c r="I174" s="103">
        <f t="shared" si="19"/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S174" s="69"/>
    </row>
    <row r="175" spans="1:55" ht="12.75" hidden="1" customHeight="1" x14ac:dyDescent="0.15">
      <c r="A175" s="259">
        <v>34</v>
      </c>
      <c r="B175" s="338" t="s">
        <v>619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</row>
    <row r="176" spans="1:55" ht="12.75" hidden="1" customHeight="1" x14ac:dyDescent="0.15">
      <c r="A176" s="259">
        <v>35</v>
      </c>
      <c r="B176" s="338" t="s">
        <v>620</v>
      </c>
      <c r="C176" s="21" t="s">
        <v>613</v>
      </c>
      <c r="D176" s="104">
        <f>IF(ISERROR(HLOOKUP(J176,$Q$39:$AB$40,2)),0,HLOOKUP(J176,$Q$39:$AB$40,2))</f>
        <v>0</v>
      </c>
      <c r="E176" s="104">
        <f>IF(ISERROR(HLOOKUP(K176,$Q$39:$AB$40,2)),0,HLOOKUP(K176,$Q$39:$AB$40,2))</f>
        <v>0</v>
      </c>
      <c r="F176" s="104">
        <f>IF(ISERROR(HLOOKUP(L176,$Q$39:$AB$40,2)),0,HLOOKUP(L176,$Q$39:$AB$40,2))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P176" s="44"/>
      <c r="Q176" s="44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</row>
    <row r="177" spans="1:45" ht="12.75" hidden="1" customHeight="1" x14ac:dyDescent="0.15">
      <c r="A177" s="259">
        <v>36</v>
      </c>
      <c r="B177" s="339" t="s">
        <v>621</v>
      </c>
      <c r="C177" s="21" t="s">
        <v>613</v>
      </c>
      <c r="D177" s="104">
        <f>IF(ISERROR(HLOOKUP(J177,$Q$39:$AA$40,2)),0,HLOOKUP(J177,$Q$39:$AA$40,2))</f>
        <v>0</v>
      </c>
      <c r="E177" s="104">
        <f>IF(ISERROR(HLOOKUP(K177,$Q$39:$AA$40,2)),0,HLOOKUP(K177,$Q$39:$AA$40,2))</f>
        <v>0</v>
      </c>
      <c r="F177" s="104">
        <f>IF(ISERROR(HLOOKUP(L177,$Q$39:$AA$40,2)),0,HLOOKUP(L177,$Q$39:$AA$40,2))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P177" s="44"/>
      <c r="Q177" s="44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</row>
    <row r="178" spans="1:45" ht="12.75" hidden="1" customHeight="1" x14ac:dyDescent="0.15">
      <c r="A178" s="259">
        <v>37</v>
      </c>
      <c r="B178" s="340" t="s">
        <v>622</v>
      </c>
      <c r="C178" s="21" t="s">
        <v>547</v>
      </c>
      <c r="D178" s="104">
        <f t="shared" ref="D178:F179" si="20">IF(ISERROR(HLOOKUP(J178,$Q$73:$AB$74,2)),0,HLOOKUP(J178,$Q$73:$AB$74,2))</f>
        <v>0</v>
      </c>
      <c r="E178" s="104">
        <f t="shared" si="20"/>
        <v>0</v>
      </c>
      <c r="F178" s="104">
        <f t="shared" si="20"/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  <c r="AH178" s="69"/>
      <c r="AI178" s="116"/>
      <c r="AJ178" s="116"/>
      <c r="AK178" s="116"/>
      <c r="AL178" s="69"/>
      <c r="AM178" s="69"/>
      <c r="AN178" s="69"/>
      <c r="AO178" s="69"/>
      <c r="AP178" s="69"/>
      <c r="AQ178" s="69"/>
      <c r="AR178" s="69"/>
      <c r="AS178" s="69"/>
    </row>
    <row r="179" spans="1:45" ht="12.75" hidden="1" customHeight="1" x14ac:dyDescent="0.15">
      <c r="A179" s="259">
        <v>38</v>
      </c>
      <c r="B179" s="340" t="s">
        <v>623</v>
      </c>
      <c r="C179" s="21" t="s">
        <v>547</v>
      </c>
      <c r="D179" s="104">
        <f t="shared" si="20"/>
        <v>0</v>
      </c>
      <c r="E179" s="104">
        <f t="shared" si="20"/>
        <v>0</v>
      </c>
      <c r="F179" s="104">
        <f t="shared" si="20"/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</row>
    <row r="180" spans="1:45" ht="12.75" hidden="1" customHeight="1" thickBot="1" x14ac:dyDescent="0.2">
      <c r="A180" s="259">
        <v>39</v>
      </c>
      <c r="B180" s="340" t="s">
        <v>624</v>
      </c>
      <c r="C180" s="21" t="s">
        <v>613</v>
      </c>
      <c r="D180" s="104">
        <f>IF(ISERROR(HLOOKUP(J180,$Q$48:$Y$49,2)),0,HLOOKUP(J180,$Q$48:$Y$49,2))</f>
        <v>0</v>
      </c>
      <c r="E180" s="104">
        <f>IF(ISERROR(HLOOKUP(K180,$Q$48:$Y$49,2)),0,HLOOKUP(K180,$Q$48:$Y$49,2))</f>
        <v>0</v>
      </c>
      <c r="F180" s="104">
        <f>IF(ISERROR(HLOOKUP(L180,$Q$48:$Y$49,2)),0,HLOOKUP(L180,$Q$48:$Y$49,2))</f>
        <v>0</v>
      </c>
      <c r="G180" s="396">
        <f>SUM($F$30:$F$32)</f>
        <v>0</v>
      </c>
      <c r="H180" s="103">
        <f>SUM($F$30:$F$32)+$J$51</f>
        <v>0</v>
      </c>
      <c r="I180" s="103">
        <f>SUM($F$30:$F$32)+$J$51+$J$60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45" ht="12.75" hidden="1" customHeight="1" x14ac:dyDescent="0.15">
      <c r="A181" s="259">
        <v>40</v>
      </c>
      <c r="B181" s="340" t="s">
        <v>625</v>
      </c>
      <c r="C181" s="21" t="s">
        <v>613</v>
      </c>
      <c r="D181" s="104">
        <f>IF(ISERROR(HLOOKUP(J181,$Q$48:$AA$49,2)),0,HLOOKUP(J181,$Q$48:$AA$49,2))</f>
        <v>0</v>
      </c>
      <c r="E181" s="104">
        <f>IF(ISERROR(HLOOKUP(K181,$Q$48:$AA$49,2)),0,HLOOKUP(K181,$Q$48:$AA$49,2))</f>
        <v>0</v>
      </c>
      <c r="F181" s="104">
        <f>IF(ISERROR(HLOOKUP(L181,$Q$48:$AA$49,2)),0,HLOOKUP(L181,$Q$48:$AA$49,2))</f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N181" s="341" t="s">
        <v>613</v>
      </c>
      <c r="O181" s="256">
        <f>IF(ISERROR(HLOOKUP(J182,$Q$63:$AA$64,2)),0,HLOOKUP(J182,$Q$63:$AA$64,2))</f>
        <v>0</v>
      </c>
      <c r="P181" s="144">
        <f>IF(ISERROR(HLOOKUP(K182,$Q$63:$AA$64,2)),0,HLOOKUP(K182,$Q$63:$AA$64,2))</f>
        <v>0</v>
      </c>
      <c r="Q181" s="144">
        <f>IF(ISERROR(HLOOKUP(L182,$Q$63:$AA$64,2)),0,HLOOKUP(L182,$Q$63:$AA$64,2))</f>
        <v>0</v>
      </c>
      <c r="R181" s="342" t="s">
        <v>695</v>
      </c>
    </row>
    <row r="182" spans="1:45" ht="12.75" hidden="1" customHeight="1" thickBot="1" x14ac:dyDescent="0.2">
      <c r="A182" s="259">
        <v>41</v>
      </c>
      <c r="B182" s="340" t="s">
        <v>626</v>
      </c>
      <c r="C182" s="21" t="str">
        <f>IF($N$8&gt;=$R$182,$P$20,$P$19)</f>
        <v>TRIÊNIO</v>
      </c>
      <c r="D182" s="343">
        <f>IF($C$182=$N$181,$O$181,$O$182)</f>
        <v>0</v>
      </c>
      <c r="E182" s="343">
        <f>IF($C$182=$N$181,$P$181,$P$182)</f>
        <v>0</v>
      </c>
      <c r="F182" s="343">
        <f>IF($C$182=$N$181,$Q$181,$Q$182)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N182" s="344" t="s">
        <v>547</v>
      </c>
      <c r="O182" s="257">
        <f>IF(ISERROR(HLOOKUP(J182,$Q$73:$W$74,2)),0,HLOOKUP(J182,$Q$73:$W$74,2))</f>
        <v>0</v>
      </c>
      <c r="P182" s="145">
        <f>IF(ISERROR(HLOOKUP(K182,$Q$73:$W$74,2)),0,HLOOKUP(K182,$Q$73:$W$74,2))</f>
        <v>0</v>
      </c>
      <c r="Q182" s="145">
        <f>IF(ISERROR(HLOOKUP(L182,$Q$73:$W$74,2)),0,HLOOKUP(L182,$Q$73:$W$74,2))</f>
        <v>0</v>
      </c>
      <c r="R182" s="398">
        <v>36539</v>
      </c>
      <c r="S182" s="103"/>
      <c r="T182" s="103"/>
    </row>
    <row r="183" spans="1:45" ht="12.75" hidden="1" customHeight="1" x14ac:dyDescent="0.15">
      <c r="A183" s="259">
        <v>42</v>
      </c>
      <c r="B183" s="340" t="s">
        <v>627</v>
      </c>
      <c r="C183" s="21"/>
      <c r="D183" s="54"/>
      <c r="E183" s="54"/>
      <c r="F183" s="54"/>
      <c r="G183" s="396">
        <f>SUM($F$27:$F$32)</f>
        <v>0</v>
      </c>
      <c r="H183" s="103">
        <f>SUM($F$27:$F$32)+$J$51</f>
        <v>0</v>
      </c>
      <c r="I183" s="103">
        <f>SUM($F$27:$F$32)+$J$51+$J$60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45" ht="12.75" hidden="1" customHeight="1" x14ac:dyDescent="0.15">
      <c r="A184" s="259">
        <v>43</v>
      </c>
      <c r="B184" s="340" t="s">
        <v>628</v>
      </c>
      <c r="C184" s="21" t="s">
        <v>527</v>
      </c>
      <c r="D184" s="104">
        <f>IF(ISERROR(HLOOKUP(J184,$Q$26:$AY$27,2)),0,HLOOKUP(J184,$Q$26:$AY$27,2))</f>
        <v>0</v>
      </c>
      <c r="E184" s="104">
        <f>IF(ISERROR(HLOOKUP(K184,$Q$26:$AY$27,2)),0,HLOOKUP(K184,$Q$26:$AY$27,2))</f>
        <v>0</v>
      </c>
      <c r="F184" s="104">
        <f>IF(ISERROR(HLOOKUP(L184,$Q$26:$AY$27,2)),0,HLOOKUP(L184,$Q$26:$AY$27,2))</f>
        <v>0</v>
      </c>
      <c r="G184" s="396">
        <f>SUM($F$27:$F$33)</f>
        <v>0</v>
      </c>
      <c r="H184" s="103">
        <f>SUM($F$27:$F$33)+$J$51</f>
        <v>0</v>
      </c>
      <c r="I184" s="103">
        <f>SUM($F$27:$F$33)+$J$51+$J$60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45" ht="12.75" hidden="1" customHeight="1" x14ac:dyDescent="0.15">
      <c r="A185" s="259">
        <v>44</v>
      </c>
      <c r="B185" s="340" t="s">
        <v>629</v>
      </c>
      <c r="C185" s="21" t="s">
        <v>547</v>
      </c>
      <c r="D185" s="104">
        <f t="shared" ref="D185:F186" si="21">IF(ISERROR(HLOOKUP(J185,$Q$73:$W$74,2)),0,HLOOKUP(J185,$Q$73:$W$74,2))</f>
        <v>0</v>
      </c>
      <c r="E185" s="104">
        <f t="shared" si="21"/>
        <v>0</v>
      </c>
      <c r="F185" s="104">
        <f t="shared" si="21"/>
        <v>0</v>
      </c>
      <c r="G185" s="396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45" ht="12.75" hidden="1" customHeight="1" x14ac:dyDescent="0.15">
      <c r="A186" s="259">
        <v>45</v>
      </c>
      <c r="B186" s="340" t="s">
        <v>630</v>
      </c>
      <c r="C186" s="21" t="s">
        <v>547</v>
      </c>
      <c r="D186" s="104">
        <f t="shared" si="21"/>
        <v>0</v>
      </c>
      <c r="E186" s="104">
        <f t="shared" si="21"/>
        <v>0</v>
      </c>
      <c r="F186" s="104">
        <f t="shared" si="21"/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45" ht="12.75" hidden="1" customHeight="1" x14ac:dyDescent="0.15">
      <c r="A187" s="259">
        <v>46</v>
      </c>
      <c r="B187" s="340" t="s">
        <v>631</v>
      </c>
      <c r="C187" s="21" t="s">
        <v>527</v>
      </c>
      <c r="D187" s="104">
        <f>IF(ISERROR(HLOOKUP(J187,$Q$26:$AY$27,2)),0,HLOOKUP(J187,$Q$26:$AY$27,2))</f>
        <v>0</v>
      </c>
      <c r="E187" s="104">
        <f>IF(ISERROR(HLOOKUP(K187,$Q$26:$AY$27,2)),0,HLOOKUP(K187,$Q$26:$AY$27,2))</f>
        <v>0</v>
      </c>
      <c r="F187" s="104">
        <f>IF(ISERROR(HLOOKUP(L187,$Q$26:$AY$27,2)),0,HLOOKUP(L187,$Q$26:$AY$27,2))</f>
        <v>0</v>
      </c>
      <c r="G187" s="396">
        <f>SUM($F$27:$F$32)</f>
        <v>0</v>
      </c>
      <c r="H187" s="103">
        <f>SUM($F$27:$F$32)+$J$51</f>
        <v>0</v>
      </c>
      <c r="I187" s="103">
        <f>SUM($F$27:$F$32)+$J$51+$J$60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45" ht="12.75" hidden="1" customHeight="1" x14ac:dyDescent="0.15">
      <c r="A188" s="259">
        <v>47</v>
      </c>
      <c r="B188" s="340" t="s">
        <v>632</v>
      </c>
      <c r="C188" s="21" t="s">
        <v>613</v>
      </c>
      <c r="D188" s="104">
        <f>IF(ISERROR(HLOOKUP(J188,$Q$48:$Z$49,2)),0,HLOOKUP(J188,$Q$48:$Z$49,2))</f>
        <v>0</v>
      </c>
      <c r="E188" s="104">
        <f>IF(ISERROR(HLOOKUP(K188,$Q$48:$Z$49,2)),0,HLOOKUP(K188,$Q$48:$Z$49,2))</f>
        <v>0</v>
      </c>
      <c r="F188" s="104">
        <f>IF(ISERROR(HLOOKUP(L188,$Q$48:$Z$49,2)),0,HLOOKUP(L188,$Q$48:$Z$49,2))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45" ht="12.75" hidden="1" customHeight="1" x14ac:dyDescent="0.15">
      <c r="A189" s="259">
        <v>48</v>
      </c>
      <c r="B189" s="340" t="s">
        <v>633</v>
      </c>
      <c r="C189" s="21" t="s">
        <v>613</v>
      </c>
      <c r="D189" s="104">
        <f>IF(ISERROR(HLOOKUP(J189,$Q$48:$AJ$49,2)),0,HLOOKUP(J189,$Q$48:$AJ$49,2))</f>
        <v>0</v>
      </c>
      <c r="E189" s="104">
        <f>IF(ISERROR(HLOOKUP(K189,$Q$48:$AJ$49,2)),0,HLOOKUP(K189,$Q$48:$AJ$49,2))</f>
        <v>0</v>
      </c>
      <c r="F189" s="104">
        <f>IF(ISERROR(HLOOKUP(L189,$Q$48:$AJ$49,2)),0,HLOOKUP(L189,$Q$48:$AJ$49,2))</f>
        <v>0</v>
      </c>
      <c r="G189" s="396">
        <f>SUM($F$30:$F$33)</f>
        <v>0</v>
      </c>
      <c r="H189" s="103">
        <f>SUM($F$30:$F$33)+$J$51</f>
        <v>0</v>
      </c>
      <c r="I189" s="103">
        <f>SUM($F$30:$F$33)+$J$51+$J$60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45" ht="12.75" hidden="1" customHeight="1" x14ac:dyDescent="0.15">
      <c r="A190" s="259">
        <v>49</v>
      </c>
      <c r="B190" s="340" t="s">
        <v>634</v>
      </c>
      <c r="C190" s="21" t="s">
        <v>613</v>
      </c>
      <c r="D190" s="104">
        <f>IF(ISERROR(HLOOKUP(J190,$Q$48:$Z$49,2)),0,HLOOKUP(J190,$Q$48:$Z$49,2))</f>
        <v>0</v>
      </c>
      <c r="E190" s="104">
        <f>IF(ISERROR(HLOOKUP(K190,$Q$48:$Z$49,2)),0,HLOOKUP(K190,$Q$48:$Z$49,2))</f>
        <v>0</v>
      </c>
      <c r="F190" s="104">
        <f>IF(ISERROR(HLOOKUP(L190,$Q$48:$Z$49,2)),0,HLOOKUP(L190,$Q$48:$Z$49,2))</f>
        <v>0</v>
      </c>
      <c r="G190" s="396">
        <f>SUM($F$30:$F$33)</f>
        <v>0</v>
      </c>
      <c r="H190" s="103">
        <f>SUM($F$30:$F$33)+$J$51</f>
        <v>0</v>
      </c>
      <c r="I190" s="103">
        <f>SUM($F$30:$F$33)+$J$51+$J$60</f>
        <v>0</v>
      </c>
      <c r="J190" s="21">
        <f t="shared" si="14"/>
        <v>0</v>
      </c>
      <c r="K190" s="21">
        <f t="shared" si="15"/>
        <v>0</v>
      </c>
      <c r="L190" s="21">
        <f t="shared" si="16"/>
        <v>0</v>
      </c>
      <c r="M190" s="78" t="s">
        <v>661</v>
      </c>
      <c r="P190" s="44"/>
      <c r="Q190" s="44"/>
    </row>
    <row r="191" spans="1:45" ht="12.75" hidden="1" customHeight="1" x14ac:dyDescent="0.15">
      <c r="A191" s="259">
        <v>50</v>
      </c>
      <c r="B191" s="340" t="s">
        <v>635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14"/>
        <v>0</v>
      </c>
      <c r="K191" s="21">
        <f t="shared" si="15"/>
        <v>0</v>
      </c>
      <c r="L191" s="21">
        <f t="shared" si="16"/>
        <v>0</v>
      </c>
      <c r="M191" s="78" t="s">
        <v>661</v>
      </c>
      <c r="P191" s="44"/>
      <c r="Q191" s="44"/>
    </row>
    <row r="192" spans="1:45" ht="12.75" hidden="1" customHeight="1" x14ac:dyDescent="0.15">
      <c r="A192" s="259">
        <v>51</v>
      </c>
      <c r="B192" s="340" t="s">
        <v>636</v>
      </c>
      <c r="C192" s="21" t="s">
        <v>613</v>
      </c>
      <c r="D192" s="104">
        <f>IF(ISERROR(HLOOKUP(J192,$Q$39:$AA$40,2)),0,HLOOKUP(J192,$Q$39:$AA$40,2))</f>
        <v>0</v>
      </c>
      <c r="E192" s="104">
        <f>IF(ISERROR(HLOOKUP(K192,$Q$39:$AA$40,2)),0,HLOOKUP(K192,$Q$39:$AA$40,2))</f>
        <v>0</v>
      </c>
      <c r="F192" s="104">
        <f>IF(ISERROR(HLOOKUP(L192,$Q$39:$AA$40,2)),0,HLOOKUP(L192,$Q$39:$AA$40,2))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14"/>
        <v>0</v>
      </c>
      <c r="K192" s="21">
        <f t="shared" si="15"/>
        <v>0</v>
      </c>
      <c r="L192" s="21">
        <f t="shared" si="16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52</v>
      </c>
      <c r="B193" s="340" t="s">
        <v>637</v>
      </c>
      <c r="C193" s="21" t="s">
        <v>613</v>
      </c>
      <c r="D193" s="104">
        <f>IF(ISERROR(HLOOKUP(J193,$Q$66:$X$67,2)),0,HLOOKUP(J193,$Q$66:$X$67,2))</f>
        <v>0</v>
      </c>
      <c r="E193" s="104">
        <f>IF(ISERROR(HLOOKUP(K193,$Q$66:$X$67,2)),0,HLOOKUP(K193,$Q$66:$X$67,2))</f>
        <v>0</v>
      </c>
      <c r="F193" s="104">
        <f>IF(ISERROR(HLOOKUP(L193,$Q$66:$X$67,2)),0,HLOOKUP(L193,$Q$66:$X$67,2))</f>
        <v>0</v>
      </c>
      <c r="G193" s="396">
        <f>SUM($F$27:$F$32)</f>
        <v>0</v>
      </c>
      <c r="H193" s="103">
        <f>SUM($F$27:$F$32)+$J$51</f>
        <v>0</v>
      </c>
      <c r="I193" s="103">
        <f>SUM($F$27:$F$32)+$J$51+$J$60</f>
        <v>0</v>
      </c>
      <c r="J193" s="21">
        <f t="shared" si="14"/>
        <v>0</v>
      </c>
      <c r="K193" s="21">
        <f t="shared" si="15"/>
        <v>0</v>
      </c>
      <c r="L193" s="21">
        <f t="shared" si="16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53</v>
      </c>
      <c r="B194" s="340" t="s">
        <v>638</v>
      </c>
      <c r="C194" s="21" t="s">
        <v>613</v>
      </c>
      <c r="D194" s="104">
        <f>IF(ISERROR(HLOOKUP(J194,$Q$48:$AA$49,2)),0,HLOOKUP(J194,$Q$48:$AA$49,2))</f>
        <v>0</v>
      </c>
      <c r="E194" s="104">
        <f>IF(ISERROR(HLOOKUP(K194,$Q$48:$AA$49,2)),0,HLOOKUP(K194,$Q$48:$AA$49,2))</f>
        <v>0</v>
      </c>
      <c r="F194" s="104">
        <f>IF(ISERROR(HLOOKUP(L194,$Q$48:$AA$49,2)),0,HLOOKUP(L194,$Q$48:$AA$49,2))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14"/>
        <v>0</v>
      </c>
      <c r="K194" s="21">
        <f t="shared" si="15"/>
        <v>0</v>
      </c>
      <c r="L194" s="21">
        <f t="shared" si="16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54</v>
      </c>
      <c r="B195" s="340" t="s">
        <v>639</v>
      </c>
      <c r="C195" s="21" t="s">
        <v>613</v>
      </c>
      <c r="D195" s="104">
        <f>IF(ISERROR(HLOOKUP(J195,$Q$39:$AA$40,2)),0,HLOOKUP(J195,$Q$39:$AA$40,2))</f>
        <v>0</v>
      </c>
      <c r="E195" s="104">
        <f>IF(ISERROR(HLOOKUP(K195,$Q$39:$AA$40,2)),0,HLOOKUP(K195,$Q$39:$AA$40,2))</f>
        <v>0</v>
      </c>
      <c r="F195" s="104">
        <f>IF(ISERROR(HLOOKUP(L195,$Q$39:$AA$40,2)),0,HLOOKUP(L195,$Q$39:$AA$40,2))</f>
        <v>0</v>
      </c>
      <c r="G195" s="396">
        <f>SUM($F$27:$F$32)</f>
        <v>0</v>
      </c>
      <c r="H195" s="103">
        <f>SUM($F$27:$F$32)+$J$51</f>
        <v>0</v>
      </c>
      <c r="I195" s="103">
        <f>SUM($F$27:$F$32)+$J$51+$J$60</f>
        <v>0</v>
      </c>
      <c r="J195" s="21">
        <f t="shared" ref="J195:J226" si="22">ROUNDDOWN(G195/365,0)</f>
        <v>0</v>
      </c>
      <c r="K195" s="21">
        <f t="shared" ref="K195:K226" si="23">ROUNDDOWN(H195/365,0)</f>
        <v>0</v>
      </c>
      <c r="L195" s="21">
        <f t="shared" ref="L195:L226" si="24">ROUNDDOWN(I195/365,0)</f>
        <v>0</v>
      </c>
      <c r="M195" s="78" t="s">
        <v>661</v>
      </c>
      <c r="P195" s="44"/>
      <c r="Q195" s="44"/>
    </row>
    <row r="196" spans="1:33" ht="12.75" hidden="1" customHeight="1" x14ac:dyDescent="0.15">
      <c r="A196" s="259">
        <v>55</v>
      </c>
      <c r="B196" s="340" t="s">
        <v>640</v>
      </c>
      <c r="C196" s="21" t="s">
        <v>613</v>
      </c>
      <c r="D196" s="104">
        <f>IF(ISERROR(HLOOKUP(J196,$Q$60:$AA$61,2)),0,HLOOKUP(J196,$Q$60:$AA$61,2))</f>
        <v>0</v>
      </c>
      <c r="E196" s="104">
        <f>IF(ISERROR(HLOOKUP(K196,$Q$60:$AA$61,2)),0,HLOOKUP(K196,$Q$60:$AA$61,2))</f>
        <v>0</v>
      </c>
      <c r="F196" s="104">
        <f>IF(ISERROR(HLOOKUP(L196,$Q$60:$AA$61,2)),0,HLOOKUP(L196,$Q$60:$AA$61,2))</f>
        <v>0</v>
      </c>
      <c r="G196" s="396">
        <f>SUM($F$30:$F$32)</f>
        <v>0</v>
      </c>
      <c r="H196" s="103">
        <f>SUM($F$30:$F$32)+$J$51</f>
        <v>0</v>
      </c>
      <c r="I196" s="103">
        <f>SUM($F$30:$F$32)+$J$51+$J$60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</row>
    <row r="197" spans="1:33" ht="12.75" hidden="1" customHeight="1" x14ac:dyDescent="0.15">
      <c r="A197" s="259">
        <v>56</v>
      </c>
      <c r="B197" s="340" t="s">
        <v>683</v>
      </c>
      <c r="C197" s="21" t="s">
        <v>547</v>
      </c>
      <c r="D197" s="104">
        <f>IF(ISERROR(HLOOKUP(J197,$Q$80:$W$81,2)),0,HLOOKUP(J197,$Q$80:$W$81,2))</f>
        <v>0</v>
      </c>
      <c r="E197" s="104">
        <f>IF(ISERROR(HLOOKUP(K197,$Q$80:$W$81,2)),0,HLOOKUP(K197,$Q$80:$W$81,2))</f>
        <v>0</v>
      </c>
      <c r="F197" s="104">
        <f>IF(ISERROR(HLOOKUP(L197,$Q$80:$W$81,2)),0,HLOOKUP(L197,$Q$80:$W$81,2))</f>
        <v>0</v>
      </c>
      <c r="G197" s="396">
        <f>SUM($F$30:$F$32)</f>
        <v>0</v>
      </c>
      <c r="H197" s="103">
        <f>SUM($F$30:$F$32)+$J$51</f>
        <v>0</v>
      </c>
      <c r="I197" s="103">
        <f>SUM($F$30:$F$32)+$J$51+$J$60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</row>
    <row r="198" spans="1:33" ht="12.75" hidden="1" customHeight="1" x14ac:dyDescent="0.15">
      <c r="A198" s="259">
        <v>57</v>
      </c>
      <c r="B198" s="340" t="s">
        <v>699</v>
      </c>
      <c r="C198" s="21" t="s">
        <v>613</v>
      </c>
      <c r="D198" s="104">
        <f>IF(ISERROR(HLOOKUP(J198,$Q$48:$AA$49,2)),0,HLOOKUP(J198,$Q$48:$AA$49,2))</f>
        <v>0</v>
      </c>
      <c r="E198" s="104">
        <f>IF(ISERROR(HLOOKUP(K198,$Q$48:$AA$49,2)),0,HLOOKUP(K198,$Q$48:$AA$49,2))</f>
        <v>0</v>
      </c>
      <c r="F198" s="104">
        <f>IF(ISERROR(HLOOKUP(L198,$Q$48:$AA$49,2)),0,HLOOKUP(L198,$Q$48:$AA$49,2))</f>
        <v>0</v>
      </c>
      <c r="G198" s="396">
        <f>SUM($F$30:$F$32)</f>
        <v>0</v>
      </c>
      <c r="H198" s="103">
        <f>SUM($F$30:$F$32)+$J$51</f>
        <v>0</v>
      </c>
      <c r="I198" s="103">
        <f>SUM($F$30:$F$32)+$J$51+$J$60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78" t="s">
        <v>661</v>
      </c>
      <c r="P198" s="44"/>
      <c r="Q198" s="44"/>
    </row>
    <row r="199" spans="1:33" ht="12.75" hidden="1" customHeight="1" x14ac:dyDescent="0.15">
      <c r="A199" s="259">
        <v>58</v>
      </c>
      <c r="B199" s="340" t="s">
        <v>641</v>
      </c>
      <c r="C199" s="21" t="s">
        <v>613</v>
      </c>
      <c r="D199" s="104">
        <f>IF(ISERROR(HLOOKUP(J199,$Q$69:$AC$70,2)),0,HLOOKUP(J199,$Q$69:$AC$70,2))</f>
        <v>0</v>
      </c>
      <c r="E199" s="104">
        <f>IF(ISERROR(HLOOKUP(K199,$Q$69:$AC$70,2)),0,HLOOKUP(K199,$Q$69:$AC$70,2))</f>
        <v>0</v>
      </c>
      <c r="F199" s="104">
        <f>IF(ISERROR(HLOOKUP(L199,$Q$69:$AC$70,2)),0,HLOOKUP(L199,$Q$69:$AC$70,2))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78" t="s">
        <v>661</v>
      </c>
      <c r="P199" s="44"/>
      <c r="Q199" s="44"/>
    </row>
    <row r="200" spans="1:33" ht="12.75" hidden="1" customHeight="1" x14ac:dyDescent="0.15">
      <c r="A200" s="259">
        <v>59</v>
      </c>
      <c r="B200" s="340" t="s">
        <v>642</v>
      </c>
      <c r="C200" s="21" t="s">
        <v>613</v>
      </c>
      <c r="D200" s="104">
        <f>IF(ISERROR(HLOOKUP(J200,$Q$39:$AB$40,2)),0,HLOOKUP(J200,$Q$39:$AB$40,2))</f>
        <v>0</v>
      </c>
      <c r="E200" s="104">
        <f>IF(ISERROR(HLOOKUP(K200,$Q$39:$AB$40,2)),0,HLOOKUP(K200,$Q$39:$AB$40,2))</f>
        <v>0</v>
      </c>
      <c r="F200" s="104">
        <f>IF(ISERROR(HLOOKUP(L200,$Q$39:$AB$40,2)),0,HLOOKUP(L200,$Q$39:$AB$40,2))</f>
        <v>0</v>
      </c>
      <c r="G200" s="396">
        <f>SUM($F$27:$F$33)</f>
        <v>0</v>
      </c>
      <c r="H200" s="103">
        <f>SUM($F$27:$F$33)+$J$51</f>
        <v>0</v>
      </c>
      <c r="I200" s="103">
        <f>SUM($F$27:$F$33)+$J$51+$J$60</f>
        <v>0</v>
      </c>
      <c r="J200" s="21">
        <f t="shared" si="22"/>
        <v>0</v>
      </c>
      <c r="K200" s="21">
        <f t="shared" si="23"/>
        <v>0</v>
      </c>
      <c r="L200" s="21">
        <f t="shared" si="24"/>
        <v>0</v>
      </c>
      <c r="M200" s="78" t="s">
        <v>661</v>
      </c>
      <c r="P200" s="44"/>
      <c r="Q200" s="44"/>
      <c r="AC200" s="69"/>
      <c r="AD200" s="69"/>
      <c r="AE200" s="69"/>
      <c r="AF200" s="69"/>
      <c r="AG200" s="69"/>
    </row>
    <row r="201" spans="1:33" ht="12.75" hidden="1" customHeight="1" x14ac:dyDescent="0.15">
      <c r="A201" s="259">
        <v>60</v>
      </c>
      <c r="B201" s="340" t="s">
        <v>643</v>
      </c>
      <c r="C201" s="21" t="s">
        <v>547</v>
      </c>
      <c r="D201" s="104">
        <f>IF(ISERROR(HLOOKUP(J201,$Q$80:$W$81,2)),0,HLOOKUP(J201,$Q$80:$W$81,2))</f>
        <v>0</v>
      </c>
      <c r="E201" s="104">
        <f>IF(ISERROR(HLOOKUP(K201,$Q$80:$W$81,2)),0,HLOOKUP(K201,$Q$80:$W$81,2))</f>
        <v>0</v>
      </c>
      <c r="F201" s="104">
        <f>IF(ISERROR(HLOOKUP(L201,$Q$80:$W$81,2)),0,HLOOKUP(L201,$Q$80:$W$81,2))</f>
        <v>0</v>
      </c>
      <c r="G201" s="396">
        <f>SUM($F$30:$F$33)</f>
        <v>0</v>
      </c>
      <c r="H201" s="103">
        <f>SUM($F$30:$F$33)+$J$51</f>
        <v>0</v>
      </c>
      <c r="I201" s="103">
        <f>SUM($F$30:$F$33)+$J$51+$J$60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78" t="s">
        <v>661</v>
      </c>
      <c r="P201" s="44"/>
      <c r="Q201" s="44"/>
      <c r="AC201" s="69"/>
      <c r="AD201" s="69"/>
      <c r="AE201" s="69"/>
      <c r="AF201" s="69"/>
      <c r="AG201" s="69"/>
    </row>
    <row r="202" spans="1:33" ht="12.75" hidden="1" customHeight="1" x14ac:dyDescent="0.15">
      <c r="A202" s="259">
        <v>61</v>
      </c>
      <c r="B202" s="340" t="s">
        <v>644</v>
      </c>
      <c r="C202" s="21" t="s">
        <v>613</v>
      </c>
      <c r="D202" s="104">
        <f>IF(ISERROR(HLOOKUP(J202,$Q$39:$AA$40,2)),0,HLOOKUP(J202,$Q$39:$AA$40,2))</f>
        <v>0</v>
      </c>
      <c r="E202" s="104">
        <f>IF(ISERROR(HLOOKUP(K202,$Q$39:$AA$40,2)),0,HLOOKUP(K202,$Q$39:$AA$40,2))</f>
        <v>0</v>
      </c>
      <c r="F202" s="104">
        <f>IF(ISERROR(HLOOKUP(L202,$Q$39:$AA$40,2)),0,HLOOKUP(L202,$Q$39:$AA$40,2))</f>
        <v>0</v>
      </c>
      <c r="G202" s="396">
        <f>SUM($F$27:$F$33)</f>
        <v>0</v>
      </c>
      <c r="H202" s="103">
        <f>SUM($F$27:$F$33)+$J$51</f>
        <v>0</v>
      </c>
      <c r="I202" s="103">
        <f>SUM($F$27:$F$33)+$J$51+$J$60</f>
        <v>0</v>
      </c>
      <c r="J202" s="21">
        <f t="shared" si="22"/>
        <v>0</v>
      </c>
      <c r="K202" s="21">
        <f t="shared" si="23"/>
        <v>0</v>
      </c>
      <c r="L202" s="21">
        <f t="shared" si="24"/>
        <v>0</v>
      </c>
      <c r="M202" s="78" t="s">
        <v>661</v>
      </c>
      <c r="P202" s="44"/>
      <c r="Q202" s="44"/>
      <c r="AC202" s="69"/>
      <c r="AD202" s="69"/>
      <c r="AE202" s="69"/>
      <c r="AF202" s="69"/>
      <c r="AG202" s="69"/>
    </row>
    <row r="203" spans="1:33" ht="12.75" hidden="1" customHeight="1" x14ac:dyDescent="0.15">
      <c r="A203" s="259">
        <v>62</v>
      </c>
      <c r="B203" s="345" t="s">
        <v>645</v>
      </c>
      <c r="C203" s="21" t="s">
        <v>527</v>
      </c>
      <c r="D203" s="104">
        <f>IF(ISERROR(HLOOKUP(J203,$Q$26:$AY$27,2)),0,HLOOKUP(J203,$Q$26:$AY$27,2))</f>
        <v>0</v>
      </c>
      <c r="E203" s="104">
        <f>IF(ISERROR(HLOOKUP(K203,$Q$26:$AY$27,2)),0,HLOOKUP(K203,$Q$26:$AY$27,2))</f>
        <v>0</v>
      </c>
      <c r="F203" s="104">
        <f>IF(ISERROR(HLOOKUP(L203,$Q$26:$AY$27,2)),0,HLOOKUP(L203,$Q$26:$AY$27,2))</f>
        <v>0</v>
      </c>
      <c r="G203" s="396">
        <f>SUM($F$30:$F$32)</f>
        <v>0</v>
      </c>
      <c r="H203" s="103">
        <f>SUM($F$27:$F$32)+$J$51</f>
        <v>0</v>
      </c>
      <c r="I203" s="103">
        <f>SUM($F$27:$F$32)+$J$51+$J$60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69"/>
    </row>
    <row r="204" spans="1:33" ht="12.75" hidden="1" customHeight="1" x14ac:dyDescent="0.15">
      <c r="A204" s="259">
        <v>63</v>
      </c>
      <c r="B204" s="345" t="s">
        <v>646</v>
      </c>
      <c r="C204" s="21"/>
      <c r="D204" s="54"/>
      <c r="E204" s="54"/>
      <c r="F204" s="54"/>
      <c r="G204" s="54"/>
      <c r="H204" s="54"/>
      <c r="I204" s="347"/>
      <c r="J204" s="21">
        <f t="shared" si="22"/>
        <v>0</v>
      </c>
      <c r="K204" s="21">
        <f t="shared" si="23"/>
        <v>0</v>
      </c>
      <c r="L204" s="21">
        <f t="shared" si="24"/>
        <v>0</v>
      </c>
      <c r="M204" s="346" t="s">
        <v>662</v>
      </c>
      <c r="P204" s="44"/>
      <c r="Q204" s="44"/>
      <c r="AC204" s="69"/>
      <c r="AD204" s="69"/>
      <c r="AE204" s="69"/>
      <c r="AF204" s="69"/>
      <c r="AG204" s="348"/>
    </row>
    <row r="205" spans="1:33" s="308" customFormat="1" ht="12.75" hidden="1" customHeight="1" x14ac:dyDescent="0.15">
      <c r="A205" s="304">
        <v>64</v>
      </c>
      <c r="B205" s="349" t="s">
        <v>647</v>
      </c>
      <c r="C205" s="308" t="s">
        <v>613</v>
      </c>
      <c r="D205" s="305">
        <f>IF(ISERROR(HLOOKUP(J205,$Q$48:$AB$49,2)),0,HLOOKUP(J205,$Q$48:$AB$49,2))</f>
        <v>0</v>
      </c>
      <c r="E205" s="305">
        <f>IF(ISERROR(HLOOKUP(K205,$Q$48:$AB$49,2)),0,HLOOKUP(K205,$Q$48:$AB$49,2))</f>
        <v>0</v>
      </c>
      <c r="F205" s="305">
        <f>IF(ISERROR(HLOOKUP(L205,$Q$48:$AB$49,2)),0,HLOOKUP(L205,$Q$48:$AB$49,2))</f>
        <v>0</v>
      </c>
      <c r="G205" s="350">
        <f>SUM($F$30:$F$33)+$O$205</f>
        <v>0</v>
      </c>
      <c r="H205" s="350">
        <f>$G$205+$J$51</f>
        <v>0</v>
      </c>
      <c r="I205" s="350">
        <f>$G$205+$J$51+$J$60</f>
        <v>0</v>
      </c>
      <c r="J205" s="351">
        <f t="shared" si="22"/>
        <v>0</v>
      </c>
      <c r="K205" s="351">
        <f t="shared" si="23"/>
        <v>0</v>
      </c>
      <c r="L205" s="351">
        <f t="shared" si="24"/>
        <v>0</v>
      </c>
      <c r="M205" s="352" t="s">
        <v>662</v>
      </c>
      <c r="N205" s="310">
        <f>SUM($F$27:$F$29)</f>
        <v>0</v>
      </c>
      <c r="O205" s="309">
        <f>IF($N$205&gt;365,365,$N$205)</f>
        <v>0</v>
      </c>
      <c r="P205" s="353"/>
      <c r="Q205" s="353"/>
      <c r="AC205" s="354"/>
      <c r="AD205" s="354"/>
      <c r="AE205" s="354"/>
      <c r="AF205" s="354"/>
      <c r="AG205" s="354"/>
    </row>
    <row r="206" spans="1:33" ht="12.75" hidden="1" customHeight="1" x14ac:dyDescent="0.15">
      <c r="A206" s="259">
        <v>65</v>
      </c>
      <c r="B206" s="345" t="s">
        <v>648</v>
      </c>
      <c r="C206" s="21" t="s">
        <v>547</v>
      </c>
      <c r="D206" s="104">
        <f>IF(ISERROR(HLOOKUP(J206,$Q$73:$AB$74,2)),0,HLOOKUP(J206,$Q$73:$AB$74,2))</f>
        <v>0</v>
      </c>
      <c r="E206" s="105">
        <f>IF(ISERROR(HLOOKUP(K206,$Q$73:$AB$74,2)),0,HLOOKUP(K206,$Q$73:$AB$74,2))</f>
        <v>0</v>
      </c>
      <c r="F206" s="106">
        <f>IF(ISERROR(HLOOKUP(L206,$Q$73:$AB$74,2)),0,HLOOKUP(L206,$Q$73:$AB$74,2))</f>
        <v>0</v>
      </c>
      <c r="G206" s="355">
        <f>SUM($F$27:$F$32)</f>
        <v>0</v>
      </c>
      <c r="H206" s="355">
        <f>SUM($F$27:$F$32)+$J$51</f>
        <v>0</v>
      </c>
      <c r="I206" s="355">
        <f>SUM($F$27:$F$32)+$J$51+$J$60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  <c r="AC206" s="69"/>
      <c r="AD206" s="69"/>
      <c r="AE206" s="69"/>
      <c r="AF206" s="69"/>
      <c r="AG206" s="348"/>
    </row>
    <row r="207" spans="1:33" ht="12.75" hidden="1" customHeight="1" x14ac:dyDescent="0.15">
      <c r="A207" s="259">
        <v>66</v>
      </c>
      <c r="B207" s="345" t="s">
        <v>649</v>
      </c>
      <c r="C207" s="21" t="s">
        <v>613</v>
      </c>
      <c r="D207" s="104">
        <f>IF(ISERROR(HLOOKUP(J207,$Q$39:$Z$40,2)),0,HLOOKUP(J207,$Q$39:$Z$40,2))</f>
        <v>0</v>
      </c>
      <c r="E207" s="104">
        <f>IF(ISERROR(HLOOKUP(K207,$Q$39:$Z$40,2)),0,HLOOKUP(K207,$Q$39:$Z$40,2))</f>
        <v>0</v>
      </c>
      <c r="F207" s="104">
        <f>IF(ISERROR(HLOOKUP(L207,$Q$39:$Z$40,2)),0,HLOOKUP(L207,$Q$39:$Z$40,2))</f>
        <v>0</v>
      </c>
      <c r="G207" s="355">
        <f>SUM($F$30:$F$32)</f>
        <v>0</v>
      </c>
      <c r="H207" s="355">
        <f>SUM($F$30:$F$32)+$J$51</f>
        <v>0</v>
      </c>
      <c r="I207" s="355">
        <f>SUM($F$30:$F$32)+$J$51+$J$60</f>
        <v>0</v>
      </c>
      <c r="J207" s="356">
        <f t="shared" si="22"/>
        <v>0</v>
      </c>
      <c r="K207" s="356">
        <f t="shared" si="23"/>
        <v>0</v>
      </c>
      <c r="L207" s="356">
        <f t="shared" si="24"/>
        <v>0</v>
      </c>
      <c r="M207" s="346" t="s">
        <v>662</v>
      </c>
      <c r="P207" s="44"/>
      <c r="Q207" s="44"/>
      <c r="AC207" s="69"/>
      <c r="AD207" s="69"/>
      <c r="AE207" s="69"/>
      <c r="AF207" s="69"/>
      <c r="AG207" s="348"/>
    </row>
    <row r="208" spans="1:33" ht="12.75" hidden="1" customHeight="1" x14ac:dyDescent="0.15">
      <c r="A208" s="259">
        <v>67</v>
      </c>
      <c r="B208" s="345" t="s">
        <v>650</v>
      </c>
      <c r="C208" s="21" t="s">
        <v>613</v>
      </c>
      <c r="D208" s="104">
        <f>IF(ISERROR(HLOOKUP(J208,$Q$51:$Y$52,2)),0,HLOOKUP(J208,$Q$51:$Y$52,2))</f>
        <v>0</v>
      </c>
      <c r="E208" s="104">
        <f>IF(ISERROR(HLOOKUP(K208,$Q$51:$Y$52,2)),0,HLOOKUP(K208,$Q$51:$Y$52,2))</f>
        <v>0</v>
      </c>
      <c r="F208" s="104">
        <f>IF(ISERROR(HLOOKUP(L208,$Q$51:$Y$52,2)),0,HLOOKUP(L208,$Q$51:$Y$52,2))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  <c r="AC208" s="69"/>
      <c r="AD208" s="69"/>
      <c r="AE208" s="69"/>
      <c r="AF208" s="69"/>
      <c r="AG208" s="348"/>
    </row>
    <row r="209" spans="1:33" s="308" customFormat="1" ht="12.75" hidden="1" customHeight="1" x14ac:dyDescent="0.15">
      <c r="A209" s="304">
        <v>68</v>
      </c>
      <c r="B209" s="349" t="s">
        <v>651</v>
      </c>
      <c r="C209" s="308" t="s">
        <v>547</v>
      </c>
      <c r="D209" s="305">
        <f>IF(ISERROR(HLOOKUP(J209,$Q$73:$W$74,2)),0,HLOOKUP(J209,$Q$73:$W$74,2))</f>
        <v>0</v>
      </c>
      <c r="E209" s="305">
        <f>IF(ISERROR(HLOOKUP(K209,$Q$73:$W$74,2)),0,HLOOKUP(K209,$Q$73:$W$74,2))</f>
        <v>0</v>
      </c>
      <c r="F209" s="305">
        <f>IF(ISERROR(HLOOKUP(L209,$Q$73:$W$74,2)),0,HLOOKUP(L209,$Q$73:$W$74,2))</f>
        <v>0</v>
      </c>
      <c r="G209" s="350">
        <f>$N$209</f>
        <v>0</v>
      </c>
      <c r="H209" s="350">
        <f>$G$209+$J$51</f>
        <v>0</v>
      </c>
      <c r="I209" s="350">
        <f>$G$209+$J$51+$J$60</f>
        <v>0</v>
      </c>
      <c r="J209" s="308">
        <f t="shared" si="22"/>
        <v>0</v>
      </c>
      <c r="K209" s="308">
        <f t="shared" si="23"/>
        <v>0</v>
      </c>
      <c r="L209" s="308">
        <f t="shared" si="24"/>
        <v>0</v>
      </c>
      <c r="M209" s="352" t="s">
        <v>662</v>
      </c>
      <c r="N209" s="310">
        <f>SUM(F30:F32)</f>
        <v>0</v>
      </c>
      <c r="O209" s="309"/>
      <c r="P209" s="353"/>
      <c r="Q209" s="353"/>
      <c r="AC209" s="354"/>
      <c r="AD209" s="354"/>
      <c r="AE209" s="354"/>
      <c r="AF209" s="354"/>
      <c r="AG209" s="354"/>
    </row>
    <row r="210" spans="1:33" ht="12.75" hidden="1" customHeight="1" x14ac:dyDescent="0.15">
      <c r="A210" s="259">
        <v>69</v>
      </c>
      <c r="B210" s="345" t="s">
        <v>652</v>
      </c>
      <c r="C210" s="21" t="s">
        <v>613</v>
      </c>
      <c r="D210" s="104">
        <f>IF(ISERROR(HLOOKUP(J210,$Q$39:$Z$40,2)),0,HLOOKUP(J210,$Q$39:$Z$40,2))</f>
        <v>0</v>
      </c>
      <c r="E210" s="104">
        <f>IF(ISERROR(HLOOKUP(K210,$Q$39:$Z$40,2)),0,HLOOKUP(K210,$Q$39:$Z$40,2))</f>
        <v>0</v>
      </c>
      <c r="F210" s="104">
        <f>IF(ISERROR(HLOOKUP(L210,$Q$39:$Z$40,2)),0,HLOOKUP(L210,$Q$39:$Z$40,2))</f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  <c r="AC210" s="69"/>
      <c r="AD210" s="69"/>
      <c r="AE210" s="69"/>
      <c r="AF210" s="69"/>
      <c r="AG210" s="69"/>
    </row>
    <row r="211" spans="1:33" ht="13.5" hidden="1" x14ac:dyDescent="0.15">
      <c r="A211" s="259">
        <v>70</v>
      </c>
      <c r="B211" s="345" t="s">
        <v>653</v>
      </c>
      <c r="C211" s="21" t="s">
        <v>613</v>
      </c>
      <c r="D211" s="104">
        <f>IF(ISERROR(HLOOKUP(J211,$Q$48:$AB$49,2)),0,HLOOKUP(J211,$Q$48:$AB$49,2))</f>
        <v>0</v>
      </c>
      <c r="E211" s="104">
        <f>IF(ISERROR(HLOOKUP(K211,$Q$48:$AB$49,2)),0,HLOOKUP(K211,$Q$48:$AB$49,2))</f>
        <v>0</v>
      </c>
      <c r="F211" s="104">
        <f>IF(ISERROR(HLOOKUP(L211,$Q$48:$AB$49,2)),0,HLOOKUP(L211,$Q$48:$AB$49,2))</f>
        <v>0</v>
      </c>
      <c r="G211" s="396">
        <f>SUM($F$30:$F$32)</f>
        <v>0</v>
      </c>
      <c r="H211" s="103">
        <f>SUM($F$30:$F$32)+$J$51</f>
        <v>0</v>
      </c>
      <c r="I211" s="103">
        <f>SUM($F$30:$F$32)+$J$51+$J$60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3" ht="13.5" hidden="1" x14ac:dyDescent="0.15">
      <c r="A212" s="259">
        <v>71</v>
      </c>
      <c r="B212" s="345" t="s">
        <v>654</v>
      </c>
      <c r="C212" s="21" t="s">
        <v>613</v>
      </c>
      <c r="D212" s="104">
        <f>IF(ISERROR(HLOOKUP(J212,$Q$48:$AA$49,2)),0,HLOOKUP(J212,$Q$48:$AA$49,2))</f>
        <v>0</v>
      </c>
      <c r="E212" s="104">
        <f>IF(ISERROR(HLOOKUP(K212,$Q$48:$AA$49,2)),0,HLOOKUP(K212,$Q$48:$AA$49,2))</f>
        <v>0</v>
      </c>
      <c r="F212" s="104">
        <f>IF(ISERROR(HLOOKUP(L212,$Q$48:$AA$49,2)),0,HLOOKUP(L212,$Q$48:$AA$49,2))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3" ht="13.5" hidden="1" x14ac:dyDescent="0.15">
      <c r="A213" s="259">
        <v>72</v>
      </c>
      <c r="B213" s="345" t="s">
        <v>655</v>
      </c>
      <c r="C213" s="21" t="s">
        <v>527</v>
      </c>
      <c r="D213" s="104">
        <f>IF(ISERROR(HLOOKUP(J213,$Q$54:$AR$55,2)),0,HLOOKUP(J213,$Q$54:$AR$55,2))</f>
        <v>0</v>
      </c>
      <c r="E213" s="104">
        <f>IF(ISERROR(HLOOKUP(K213,$Q$54:$AR$55,2)),0,HLOOKUP(K213,$Q$54:$AR$55,2))</f>
        <v>0</v>
      </c>
      <c r="F213" s="104">
        <f>IF(ISERROR(HLOOKUP(L213,$Q$54:$AR$55,2)),0,HLOOKUP(L213,$Q$54:$AR$55,2))</f>
        <v>0</v>
      </c>
      <c r="G213" s="396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3" ht="13.5" hidden="1" x14ac:dyDescent="0.15">
      <c r="A214" s="259">
        <v>73</v>
      </c>
      <c r="B214" s="345" t="s">
        <v>663</v>
      </c>
      <c r="C214" s="21" t="s">
        <v>527</v>
      </c>
      <c r="D214" s="104">
        <f t="shared" ref="D214:F215" si="25">IF(ISERROR(HLOOKUP(J214,$Q$26:$AY$27,2)),0,HLOOKUP(J214,$Q$26:$AY$27,2))</f>
        <v>0</v>
      </c>
      <c r="E214" s="104">
        <f t="shared" si="25"/>
        <v>0</v>
      </c>
      <c r="F214" s="104">
        <f t="shared" si="25"/>
        <v>0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3" ht="13.5" hidden="1" x14ac:dyDescent="0.15">
      <c r="A215" s="259">
        <v>74</v>
      </c>
      <c r="B215" s="345" t="s">
        <v>664</v>
      </c>
      <c r="C215" s="21" t="s">
        <v>527</v>
      </c>
      <c r="D215" s="104">
        <f t="shared" si="25"/>
        <v>0</v>
      </c>
      <c r="E215" s="104">
        <f t="shared" si="25"/>
        <v>0</v>
      </c>
      <c r="F215" s="104">
        <f t="shared" si="25"/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22"/>
        <v>0</v>
      </c>
      <c r="K215" s="21">
        <f t="shared" si="23"/>
        <v>0</v>
      </c>
      <c r="L215" s="21">
        <f t="shared" si="24"/>
        <v>0</v>
      </c>
      <c r="M215" s="346" t="s">
        <v>662</v>
      </c>
      <c r="P215" s="44"/>
      <c r="Q215" s="44"/>
    </row>
    <row r="216" spans="1:33" ht="13.5" hidden="1" x14ac:dyDescent="0.15">
      <c r="A216" s="259">
        <v>75</v>
      </c>
      <c r="B216" s="345" t="s">
        <v>665</v>
      </c>
      <c r="C216" s="21" t="s">
        <v>547</v>
      </c>
      <c r="D216" s="104">
        <f>IF(ISERROR(HLOOKUP(J216,$Q$73:$W$74,2)),0,HLOOKUP(J216,$Q$73:$W$74,2))</f>
        <v>0</v>
      </c>
      <c r="E216" s="104">
        <f>IF(ISERROR(HLOOKUP(K216,$Q$73:$W$74,2)),0,HLOOKUP(K216,$Q$73:$W$74,2))</f>
        <v>0</v>
      </c>
      <c r="F216" s="104">
        <f>IF(ISERROR(HLOOKUP(L216,$Q$73:$W$74,2)),0,HLOOKUP(L216,$Q$73:$W$74,2))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3" ht="13.5" hidden="1" x14ac:dyDescent="0.15">
      <c r="A217" s="259">
        <v>76</v>
      </c>
      <c r="B217" s="345" t="s">
        <v>689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3" ht="13.5" hidden="1" x14ac:dyDescent="0.15">
      <c r="A218" s="259">
        <v>77</v>
      </c>
      <c r="B218" s="345" t="s">
        <v>666</v>
      </c>
      <c r="C218" s="21" t="s">
        <v>613</v>
      </c>
      <c r="D218" s="104">
        <f>IF(ISERROR(HLOOKUP(J218,$Q$48:$AA$49,2)),0,HLOOKUP(J218,$Q$48:$AA$49,2))</f>
        <v>0</v>
      </c>
      <c r="E218" s="104">
        <f>IF(ISERROR(HLOOKUP(K218,$Q$48:$AA$49,2)),0,HLOOKUP(K218,$Q$48:$AA$49,2))</f>
        <v>0</v>
      </c>
      <c r="F218" s="104">
        <f>IF(ISERROR(HLOOKUP(L218,$Q$48:$AA$49,2)),0,HLOOKUP(L218,$Q$48:$AA$49,2))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3" ht="13.5" hidden="1" x14ac:dyDescent="0.15">
      <c r="A219" s="259">
        <v>78</v>
      </c>
      <c r="B219" s="345" t="s">
        <v>667</v>
      </c>
      <c r="C219" s="21" t="s">
        <v>613</v>
      </c>
      <c r="D219" s="104">
        <f>IF(ISERROR(HLOOKUP(J219,$Q$57:$AA$58,2)),0,HLOOKUP(J219,$Q$57:$AA$58,2))</f>
        <v>0</v>
      </c>
      <c r="E219" s="104">
        <f>IF(ISERROR(HLOOKUP(K219,$Q$57:$AA$58,2)),0,HLOOKUP(K219,$Q$57:$AA$58,2))</f>
        <v>0</v>
      </c>
      <c r="F219" s="104">
        <f>IF(ISERROR(HLOOKUP(L219,$Q$57:$AA$58,2)),0,HLOOKUP(L219,$Q$57:$AA$58,2))</f>
        <v>0</v>
      </c>
      <c r="G219" s="396">
        <f>SUM($F$29:$F$32)</f>
        <v>0</v>
      </c>
      <c r="H219" s="103">
        <f>SUM($F$29:$F$32)+$J$51</f>
        <v>0</v>
      </c>
      <c r="I219" s="103">
        <f>SUM($F$29:$F$32)+$J$51+$J$60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3" s="308" customFormat="1" ht="13.5" hidden="1" x14ac:dyDescent="0.15">
      <c r="A220" s="304">
        <v>79</v>
      </c>
      <c r="B220" s="349" t="s">
        <v>668</v>
      </c>
      <c r="C220" s="308" t="s">
        <v>613</v>
      </c>
      <c r="D220" s="305">
        <f>IF(ISERROR(HLOOKUP(J220,$Q$39:$AA$40,2)),0,HLOOKUP(J220,$Q$39:$AA$40,2))</f>
        <v>0</v>
      </c>
      <c r="E220" s="305">
        <f>IF(ISERROR(HLOOKUP(K220,$Q$39:$AA$40,2)),0,HLOOKUP(K220,$Q$39:$AA$40,2))</f>
        <v>0</v>
      </c>
      <c r="F220" s="305">
        <f>IF(ISERROR(HLOOKUP(L220,$Q$39:$AA$40,2)),0,HLOOKUP(L220,$Q$39:$AA$40,2))</f>
        <v>0</v>
      </c>
      <c r="G220" s="399">
        <f>$N$220+$F$33</f>
        <v>0</v>
      </c>
      <c r="H220" s="307">
        <f>$G$220+$J$51</f>
        <v>0</v>
      </c>
      <c r="I220" s="307">
        <f>$N$220+$J$51+$J$60</f>
        <v>0</v>
      </c>
      <c r="J220" s="308">
        <f t="shared" si="22"/>
        <v>0</v>
      </c>
      <c r="K220" s="308">
        <f t="shared" si="23"/>
        <v>0</v>
      </c>
      <c r="L220" s="308">
        <f t="shared" si="24"/>
        <v>0</v>
      </c>
      <c r="M220" s="352" t="s">
        <v>662</v>
      </c>
      <c r="N220" s="308">
        <f>IF($C$30&gt;=$A$36,$E$30-$C$30+1,IF($C$31&gt;=$A$36,$E$31-$C$31+1,IF($C$32&gt;=$A$36,$E$32-$C$32+1,IF($E$30&lt;&gt;0,$E$30-$A$36+1,IF($E$31&lt;&gt;0,$E$31-$A$36+1,IF($E$32&lt;&gt;0,$E$32-$A$36+1,0))))))</f>
        <v>0</v>
      </c>
      <c r="O220" s="309"/>
      <c r="P220" s="353"/>
      <c r="Q220" s="353"/>
      <c r="AD220" s="310"/>
      <c r="AE220" s="310"/>
      <c r="AF220" s="310"/>
    </row>
    <row r="221" spans="1:33" ht="13.5" hidden="1" x14ac:dyDescent="0.15">
      <c r="A221" s="259">
        <v>80</v>
      </c>
      <c r="B221" s="345" t="s">
        <v>669</v>
      </c>
      <c r="C221" s="21" t="s">
        <v>547</v>
      </c>
      <c r="D221" s="104">
        <f>IF(ISERROR(HLOOKUP(J221,$Q$73:$V$74,2)),0,HLOOKUP(J221,$Q$73:$V$74,2))</f>
        <v>0</v>
      </c>
      <c r="E221" s="104">
        <f>IF(ISERROR(HLOOKUP(K221,$Q$73:$V$74,2)),0,HLOOKUP(K221,$Q$73:$V$74,2))</f>
        <v>0</v>
      </c>
      <c r="F221" s="104">
        <f>IF(ISERROR(HLOOKUP(L221,$Q$73:$V$74,2)),0,HLOOKUP(L221,$Q$73:$V$74,2))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P221" s="44"/>
      <c r="Q221" s="44"/>
    </row>
    <row r="222" spans="1:33" ht="13.5" hidden="1" x14ac:dyDescent="0.15">
      <c r="A222" s="259" t="s">
        <v>703</v>
      </c>
      <c r="B222" s="345" t="s">
        <v>701</v>
      </c>
      <c r="C222" s="21" t="s">
        <v>702</v>
      </c>
      <c r="D222" s="148">
        <f>IF(J222&lt;=10,0.1,IF(J222&lt;=20,0.2,0.3))</f>
        <v>0.1</v>
      </c>
      <c r="E222" s="148">
        <f>IF(K222&lt;=10,0.1,IF(K222&lt;=20,0.2,0.3))</f>
        <v>0.1</v>
      </c>
      <c r="F222" s="148">
        <f>IF(L222&lt;=10,0.1,IF(L222&lt;=20,0.2,0.3))</f>
        <v>0.1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22"/>
        <v>0</v>
      </c>
      <c r="K222" s="21">
        <f t="shared" si="23"/>
        <v>0</v>
      </c>
      <c r="L222" s="21">
        <f t="shared" si="24"/>
        <v>0</v>
      </c>
      <c r="M222" s="346" t="s">
        <v>662</v>
      </c>
      <c r="P222" s="44"/>
      <c r="Q222" s="44"/>
    </row>
    <row r="223" spans="1:33" ht="13.5" hidden="1" x14ac:dyDescent="0.15">
      <c r="A223" s="259">
        <v>81</v>
      </c>
      <c r="B223" s="345" t="s">
        <v>670</v>
      </c>
      <c r="C223" s="21" t="s">
        <v>547</v>
      </c>
      <c r="D223" s="104">
        <f>IF(ISERROR(HLOOKUP(J223,$Q$73:$W$74,2)),0,HLOOKUP(J223,$Q$73:$W$74,2))</f>
        <v>0</v>
      </c>
      <c r="E223" s="104">
        <f>IF(ISERROR(HLOOKUP(K223,$Q$73:$W$74,2)),0,HLOOKUP(K223,$Q$73:$W$74,2))</f>
        <v>0</v>
      </c>
      <c r="F223" s="104">
        <f>IF(ISERROR(HLOOKUP(L223,$Q$73:$W$74,2)),0,HLOOKUP(L223,$Q$73:$W$74,2))</f>
        <v>0</v>
      </c>
      <c r="G223" s="396">
        <f>SUM($F$27:$F$33)</f>
        <v>0</v>
      </c>
      <c r="H223" s="103">
        <f>SUM($F$27:$F$33)+$J$51</f>
        <v>0</v>
      </c>
      <c r="I223" s="103">
        <f>SUM($F$27:$F$33)+$J$51+$J$60</f>
        <v>0</v>
      </c>
      <c r="J223" s="21">
        <f t="shared" si="22"/>
        <v>0</v>
      </c>
      <c r="K223" s="21">
        <f t="shared" si="23"/>
        <v>0</v>
      </c>
      <c r="L223" s="21">
        <f t="shared" si="24"/>
        <v>0</v>
      </c>
      <c r="M223" s="346" t="s">
        <v>662</v>
      </c>
      <c r="P223" s="44"/>
      <c r="Q223" s="44"/>
    </row>
    <row r="224" spans="1:33" ht="13.5" hidden="1" x14ac:dyDescent="0.15">
      <c r="A224" s="259">
        <v>82</v>
      </c>
      <c r="B224" s="345" t="s">
        <v>671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22"/>
        <v>0</v>
      </c>
      <c r="K224" s="21">
        <f t="shared" si="23"/>
        <v>0</v>
      </c>
      <c r="L224" s="21">
        <f t="shared" si="24"/>
        <v>0</v>
      </c>
      <c r="M224" s="346" t="s">
        <v>662</v>
      </c>
      <c r="P224" s="44"/>
      <c r="Q224" s="44"/>
    </row>
    <row r="225" spans="1:17" ht="13.5" hidden="1" x14ac:dyDescent="0.15">
      <c r="A225" s="259">
        <v>83</v>
      </c>
      <c r="B225" s="345" t="s">
        <v>672</v>
      </c>
      <c r="C225" s="21"/>
      <c r="E225" s="40"/>
      <c r="J225" s="21">
        <f t="shared" si="22"/>
        <v>0</v>
      </c>
      <c r="K225" s="21">
        <f t="shared" si="23"/>
        <v>0</v>
      </c>
      <c r="L225" s="21">
        <f t="shared" si="24"/>
        <v>0</v>
      </c>
      <c r="M225" s="346" t="s">
        <v>662</v>
      </c>
      <c r="P225" s="44"/>
      <c r="Q225" s="44"/>
    </row>
    <row r="226" spans="1:17" ht="13.5" hidden="1" x14ac:dyDescent="0.15">
      <c r="A226" s="259">
        <v>84</v>
      </c>
      <c r="B226" s="108" t="s">
        <v>673</v>
      </c>
      <c r="C226" s="21" t="s">
        <v>613</v>
      </c>
      <c r="D226" s="104">
        <f>IF(ISERROR(HLOOKUP(J226,$Q$48:$AB$49,2)),0,HLOOKUP(J226,$Q$48:$AB$49,2))</f>
        <v>0</v>
      </c>
      <c r="E226" s="104">
        <f>IF(ISERROR(HLOOKUP(K226,$Q$48:$AB$49,2)),0,HLOOKUP(K226,$Q$48:$AB$49,2))</f>
        <v>0</v>
      </c>
      <c r="F226" s="104">
        <f>IF(ISERROR(HLOOKUP(L226,$Q$48:$AB$49,2)),0,HLOOKUP(L226,$Q$48:$AB$49,2))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2"/>
        <v>0</v>
      </c>
      <c r="K226" s="21">
        <f t="shared" si="23"/>
        <v>0</v>
      </c>
      <c r="L226" s="21">
        <f t="shared" si="24"/>
        <v>0</v>
      </c>
      <c r="M226" s="346" t="s">
        <v>662</v>
      </c>
      <c r="N226" s="104">
        <f>IF(ISERROR(HLOOKUP(L226,$Q$48:$AB$49,2)),0,HLOOKUP(L226,$Q$48:$AB$49,2))</f>
        <v>0</v>
      </c>
      <c r="P226" s="44"/>
      <c r="Q226" s="44"/>
    </row>
    <row r="227" spans="1:17" ht="13.5" hidden="1" x14ac:dyDescent="0.15">
      <c r="A227" s="259">
        <v>85</v>
      </c>
      <c r="B227" s="108" t="s">
        <v>674</v>
      </c>
      <c r="C227" s="21" t="s">
        <v>527</v>
      </c>
      <c r="D227" s="104">
        <f>IF(ISERROR(HLOOKUP(J227,$Q$35:$AY$36,2)),0,HLOOKUP(J227,$Q$35:$AY$36,2))</f>
        <v>0</v>
      </c>
      <c r="E227" s="104">
        <f>IF(ISERROR(HLOOKUP(K227,$Q$35:$AY$36,2)),0,HLOOKUP(K227,$Q$35:$AY$36,2))</f>
        <v>0</v>
      </c>
      <c r="F227" s="104">
        <f>IF(ISERROR(HLOOKUP(L227,$Q$35:$AY$36,2)),0,HLOOKUP(L227,$Q$35:$AY$36,2))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ref="J227:J234" si="26">ROUNDDOWN(G227/365,0)</f>
        <v>0</v>
      </c>
      <c r="K227" s="21">
        <f t="shared" ref="K227:K234" si="27">ROUNDDOWN(H227/365,0)</f>
        <v>0</v>
      </c>
      <c r="L227" s="21">
        <f t="shared" ref="L227:L234" si="28">ROUNDDOWN(I227/365,0)</f>
        <v>0</v>
      </c>
      <c r="M227" s="346" t="s">
        <v>662</v>
      </c>
      <c r="P227" s="44"/>
      <c r="Q227" s="44"/>
    </row>
    <row r="228" spans="1:17" ht="13.5" hidden="1" x14ac:dyDescent="0.15">
      <c r="A228" s="259">
        <v>86</v>
      </c>
      <c r="B228" s="108" t="s">
        <v>675</v>
      </c>
      <c r="C228" s="21" t="s">
        <v>613</v>
      </c>
      <c r="D228" s="104">
        <f>IF(ISERROR(HLOOKUP(J228,$Q$60:$AC$61,2)),0,HLOOKUP(J228,$Q$60:$AC$61,2))</f>
        <v>0</v>
      </c>
      <c r="E228" s="104">
        <f>IF(ISERROR(HLOOKUP(K228,$Q$60:$AC$61,2)),0,HLOOKUP(K228,$Q$60:$AC$61,2))</f>
        <v>0</v>
      </c>
      <c r="F228" s="104">
        <f>IF(ISERROR(HLOOKUP(L228,$Q$60:$AC$61,2)),0,HLOOKUP(L228,$Q$60:$AC$61,2))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87</v>
      </c>
      <c r="B229" s="108" t="s">
        <v>677</v>
      </c>
      <c r="C229" s="21"/>
      <c r="D229" s="21"/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A230" s="259">
        <v>88</v>
      </c>
      <c r="B230" s="108" t="s">
        <v>678</v>
      </c>
      <c r="C230" s="21" t="s">
        <v>613</v>
      </c>
      <c r="D230" s="104">
        <f>IF(ISERROR(HLOOKUP(J230,$Q$39:$AA$40,2)),0,HLOOKUP(J230,$Q$39:$AA$40,2))</f>
        <v>0</v>
      </c>
      <c r="E230" s="104">
        <f>IF(ISERROR(HLOOKUP(K230,$Q$39:$AA$40,2)),0,HLOOKUP(K230,$Q$39:$AA$40,2))</f>
        <v>0</v>
      </c>
      <c r="F230" s="104">
        <f>IF(ISERROR(HLOOKUP(L230,$Q$39:$AA$40,2)),0,HLOOKUP(L230,$Q$39:$AA$40,2))</f>
        <v>0</v>
      </c>
      <c r="G230" s="396">
        <f>SUM($F$27:$F$32)</f>
        <v>0</v>
      </c>
      <c r="H230" s="103">
        <f>SUM($F$27:$F$32)+$J$51</f>
        <v>0</v>
      </c>
      <c r="I230" s="103">
        <f>SUM($F$27:$F$32)+$J$51+$J$60</f>
        <v>0</v>
      </c>
      <c r="J230" s="21">
        <f t="shared" si="26"/>
        <v>0</v>
      </c>
      <c r="K230" s="21">
        <f t="shared" si="27"/>
        <v>0</v>
      </c>
      <c r="L230" s="21">
        <f t="shared" si="28"/>
        <v>0</v>
      </c>
      <c r="M230" s="346" t="s">
        <v>662</v>
      </c>
      <c r="P230" s="44"/>
      <c r="Q230" s="44"/>
    </row>
    <row r="231" spans="1:17" ht="13.5" hidden="1" x14ac:dyDescent="0.15">
      <c r="A231" s="259">
        <v>89</v>
      </c>
      <c r="B231" s="108" t="s">
        <v>679</v>
      </c>
      <c r="C231" s="21" t="s">
        <v>613</v>
      </c>
      <c r="D231" s="104">
        <f>IF(ISERROR(HLOOKUP(J231,$Q$48:$V$49,2)),0,HLOOKUP(J231,$Q$48:$V$49,2))</f>
        <v>0</v>
      </c>
      <c r="E231" s="104">
        <f>IF(ISERROR(HLOOKUP(K231,$Q$48:$V$49,2)),0,HLOOKUP(K231,$Q$48:$V$49,2))</f>
        <v>0</v>
      </c>
      <c r="F231" s="104">
        <f>IF(ISERROR(HLOOKUP(L231,$Q$48:$V$49,2)),0,HLOOKUP(L231,$Q$48:$V$49,2))</f>
        <v>0</v>
      </c>
      <c r="G231" s="396">
        <f>SUM($F$30:$F$32)</f>
        <v>0</v>
      </c>
      <c r="H231" s="103">
        <f>SUM($F$30:$F$32)+$J$51</f>
        <v>0</v>
      </c>
      <c r="I231" s="103">
        <f>SUM($F$30:$F$32)+$J$51+$J$60</f>
        <v>0</v>
      </c>
      <c r="J231" s="21">
        <f t="shared" si="26"/>
        <v>0</v>
      </c>
      <c r="K231" s="21">
        <f t="shared" si="27"/>
        <v>0</v>
      </c>
      <c r="L231" s="21">
        <f t="shared" si="28"/>
        <v>0</v>
      </c>
      <c r="M231" s="346" t="s">
        <v>662</v>
      </c>
      <c r="P231" s="44"/>
      <c r="Q231" s="44"/>
    </row>
    <row r="232" spans="1:17" ht="13.5" hidden="1" x14ac:dyDescent="0.15">
      <c r="A232" s="259">
        <v>90</v>
      </c>
      <c r="B232" s="108" t="s">
        <v>680</v>
      </c>
      <c r="C232" s="21" t="s">
        <v>527</v>
      </c>
      <c r="D232" s="104">
        <f>IF(ISERROR(HLOOKUP(J232,$Q$26:$AY$27,2)),0,HLOOKUP(J232,$Q$26:$AY$27,2))</f>
        <v>0</v>
      </c>
      <c r="E232" s="104">
        <f>IF(ISERROR(HLOOKUP(K232,$Q$26:$AY$27,2)),0,HLOOKUP(K232,$Q$26:$AY$27,2))</f>
        <v>0</v>
      </c>
      <c r="F232" s="104">
        <f>IF(ISERROR(HLOOKUP(L232,$Q$26:$AY$27,2)),0,HLOOKUP(L232,$Q$26:$AY$27,2))</f>
        <v>0</v>
      </c>
      <c r="G232" s="396">
        <f>SUM($F$30:$F$32)</f>
        <v>0</v>
      </c>
      <c r="H232" s="103">
        <f>SUM($F$30:$F$32)+$J$51</f>
        <v>0</v>
      </c>
      <c r="I232" s="103">
        <f>SUM($F$30:$F$32)+$J$51+$J$60</f>
        <v>0</v>
      </c>
      <c r="J232" s="21">
        <f t="shared" si="26"/>
        <v>0</v>
      </c>
      <c r="K232" s="21">
        <f t="shared" si="27"/>
        <v>0</v>
      </c>
      <c r="L232" s="21">
        <f t="shared" si="28"/>
        <v>0</v>
      </c>
      <c r="M232" s="346" t="s">
        <v>662</v>
      </c>
      <c r="P232" s="44"/>
      <c r="Q232" s="44"/>
    </row>
    <row r="233" spans="1:17" ht="13.5" hidden="1" x14ac:dyDescent="0.15">
      <c r="A233" s="259">
        <v>91</v>
      </c>
      <c r="B233" s="108" t="s">
        <v>681</v>
      </c>
      <c r="C233" s="21" t="s">
        <v>613</v>
      </c>
      <c r="D233" s="104">
        <f>IF(ISERROR(HLOOKUP(J233,$Q$42:$AA$43,2)),0,HLOOKUP(J233,$Q$42:$AA$43,2))</f>
        <v>0</v>
      </c>
      <c r="E233" s="104">
        <f>IF(ISERROR(HLOOKUP(K233,$Q$42:$AA$43,2)),0,HLOOKUP(K233,$Q$42:$AA$43,2))</f>
        <v>0</v>
      </c>
      <c r="F233" s="104">
        <f>IF(ISERROR(HLOOKUP(L233,$Q$42:$AA$43,2)),0,HLOOKUP(L233,$Q$42:$AA$43,2))</f>
        <v>0</v>
      </c>
      <c r="G233" s="396">
        <f>SUM($F$30:$F$32)</f>
        <v>0</v>
      </c>
      <c r="H233" s="103">
        <f>SUM($F$30:$F$32)+$J$51</f>
        <v>0</v>
      </c>
      <c r="I233" s="103">
        <f>SUM($F$30:$F$32)+$J$51+$J$60</f>
        <v>0</v>
      </c>
      <c r="J233" s="21">
        <f t="shared" si="26"/>
        <v>0</v>
      </c>
      <c r="K233" s="21">
        <f t="shared" si="27"/>
        <v>0</v>
      </c>
      <c r="L233" s="21">
        <f t="shared" si="28"/>
        <v>0</v>
      </c>
      <c r="M233" s="346" t="s">
        <v>662</v>
      </c>
      <c r="P233" s="44"/>
      <c r="Q233" s="44"/>
    </row>
    <row r="234" spans="1:17" ht="13.5" hidden="1" x14ac:dyDescent="0.15">
      <c r="A234" s="259">
        <v>92</v>
      </c>
      <c r="B234" s="108" t="s">
        <v>682</v>
      </c>
      <c r="C234" s="21" t="s">
        <v>613</v>
      </c>
      <c r="D234" s="104">
        <f>IF(ISERROR(HLOOKUP(J234,$Q$42:$Z$43,2)),0,HLOOKUP(J234,$Q$42:$Z$43,2))</f>
        <v>0</v>
      </c>
      <c r="E234" s="104">
        <f>IF(ISERROR(HLOOKUP(K234,$Q$42:$Z$43,2)),0,HLOOKUP(K234,$Q$42:$Z$43,2))</f>
        <v>0</v>
      </c>
      <c r="F234" s="104">
        <f>IF(ISERROR(HLOOKUP(L234,$Q$42:$Z$43,2)),0,HLOOKUP(L234,$Q$42:$Z$43,2))</f>
        <v>0</v>
      </c>
      <c r="G234" s="396">
        <f>SUM($F$30:$F$32)</f>
        <v>0</v>
      </c>
      <c r="H234" s="103">
        <f>SUM($F$30:$F$32)+$J$51</f>
        <v>0</v>
      </c>
      <c r="I234" s="103">
        <f>SUM($F$30:$F$32)+$J$51+$J$60</f>
        <v>0</v>
      </c>
      <c r="J234" s="21">
        <f t="shared" si="26"/>
        <v>0</v>
      </c>
      <c r="K234" s="21">
        <f t="shared" si="27"/>
        <v>0</v>
      </c>
      <c r="L234" s="21">
        <f t="shared" si="28"/>
        <v>0</v>
      </c>
      <c r="M234" s="346" t="s">
        <v>662</v>
      </c>
      <c r="P234" s="44"/>
      <c r="Q234" s="44"/>
    </row>
    <row r="235" spans="1:17" ht="13.5" hidden="1" x14ac:dyDescent="0.15">
      <c r="B235" s="10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357"/>
      <c r="N235" s="54"/>
      <c r="O235" s="258"/>
      <c r="P235" s="44"/>
      <c r="Q235" s="44"/>
    </row>
    <row r="236" spans="1:17" ht="13.5" hidden="1" x14ac:dyDescent="0.15">
      <c r="B236" s="248" t="s">
        <v>720</v>
      </c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258"/>
    </row>
    <row r="237" spans="1:17" ht="13.5" hidden="1" x14ac:dyDescent="0.15">
      <c r="A237" s="259">
        <v>1</v>
      </c>
      <c r="B237" s="51" t="s">
        <v>550</v>
      </c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258"/>
    </row>
    <row r="238" spans="1:17" ht="13.5" hidden="1" x14ac:dyDescent="0.15">
      <c r="A238" s="259" t="s">
        <v>721</v>
      </c>
      <c r="B238" s="51" t="s">
        <v>615</v>
      </c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58"/>
    </row>
    <row r="239" spans="1:17" ht="13.5" hidden="1" x14ac:dyDescent="0.15">
      <c r="A239" s="259">
        <v>2</v>
      </c>
      <c r="B239" s="338" t="s">
        <v>617</v>
      </c>
      <c r="C239" s="109"/>
      <c r="D239" s="109"/>
      <c r="E239" s="110"/>
      <c r="F239" s="358"/>
      <c r="G239" s="111"/>
      <c r="H239" s="111"/>
      <c r="I239" s="111"/>
      <c r="J239" s="46"/>
      <c r="K239" s="46"/>
      <c r="L239" s="46"/>
      <c r="M239" s="46"/>
      <c r="N239" s="9"/>
      <c r="O239" s="258"/>
    </row>
    <row r="240" spans="1:17" ht="13.5" hidden="1" x14ac:dyDescent="0.15">
      <c r="A240" s="259">
        <v>3</v>
      </c>
      <c r="B240" s="345" t="s">
        <v>645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4</v>
      </c>
      <c r="B241" s="338" t="s">
        <v>618</v>
      </c>
      <c r="C241" s="104"/>
      <c r="D241" s="104"/>
      <c r="E241" s="104"/>
      <c r="F241" s="112"/>
      <c r="G241" s="112"/>
      <c r="H241" s="112"/>
      <c r="I241" s="112"/>
      <c r="J241" s="46"/>
      <c r="K241" s="46"/>
      <c r="L241" s="46"/>
      <c r="M241" s="46"/>
      <c r="N241" s="46"/>
      <c r="O241" s="258"/>
    </row>
    <row r="242" spans="1:40" ht="13.5" hidden="1" x14ac:dyDescent="0.15">
      <c r="A242" s="259">
        <v>5</v>
      </c>
      <c r="B242" s="345" t="s">
        <v>646</v>
      </c>
      <c r="C242" s="104"/>
      <c r="D242" s="104"/>
      <c r="E242" s="104"/>
      <c r="F242" s="112"/>
      <c r="G242" s="112"/>
      <c r="H242" s="112"/>
      <c r="I242" s="112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6</v>
      </c>
      <c r="B243" s="345" t="s">
        <v>647</v>
      </c>
      <c r="C243" s="104"/>
      <c r="D243" s="104"/>
      <c r="E243" s="104"/>
      <c r="F243" s="112"/>
      <c r="G243" s="112"/>
      <c r="H243" s="112"/>
      <c r="I243" s="112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7</v>
      </c>
      <c r="B244" s="51" t="s">
        <v>551</v>
      </c>
      <c r="C244" s="104"/>
      <c r="D244" s="104"/>
      <c r="E244" s="104"/>
      <c r="F244" s="112"/>
      <c r="G244" s="112"/>
      <c r="H244" s="112"/>
      <c r="I244" s="112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8</v>
      </c>
      <c r="B245" s="51" t="s">
        <v>552</v>
      </c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9</v>
      </c>
      <c r="B246" s="51" t="s">
        <v>553</v>
      </c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58"/>
      <c r="AH246" s="69"/>
      <c r="AI246" s="69"/>
      <c r="AJ246" s="69"/>
      <c r="AK246" s="69"/>
      <c r="AL246" s="69"/>
      <c r="AM246" s="69"/>
      <c r="AN246" s="69"/>
    </row>
    <row r="247" spans="1:40" ht="13.5" hidden="1" x14ac:dyDescent="0.15">
      <c r="A247" s="259" t="s">
        <v>722</v>
      </c>
      <c r="B247" s="51" t="s">
        <v>616</v>
      </c>
      <c r="C247" s="109"/>
      <c r="D247" s="109"/>
      <c r="E247" s="110"/>
      <c r="F247" s="358"/>
      <c r="G247" s="111"/>
      <c r="H247" s="111"/>
      <c r="I247" s="111"/>
      <c r="J247" s="46"/>
      <c r="K247" s="46"/>
      <c r="L247" s="46"/>
      <c r="M247" s="46"/>
      <c r="N247" s="9"/>
      <c r="O247" s="258"/>
      <c r="AH247" s="69"/>
      <c r="AI247" s="69"/>
      <c r="AJ247" s="69"/>
      <c r="AK247" s="69"/>
      <c r="AL247" s="69"/>
      <c r="AM247" s="69"/>
      <c r="AN247" s="69"/>
    </row>
    <row r="248" spans="1:40" ht="13.5" hidden="1" x14ac:dyDescent="0.15">
      <c r="A248" s="259">
        <v>10</v>
      </c>
      <c r="B248" s="338" t="s">
        <v>619</v>
      </c>
      <c r="C248" s="104"/>
      <c r="D248" s="105"/>
      <c r="E248" s="106"/>
      <c r="F248" s="46"/>
      <c r="G248" s="46"/>
      <c r="H248" s="46"/>
      <c r="I248" s="46"/>
      <c r="J248" s="46"/>
      <c r="K248" s="46"/>
      <c r="L248" s="46"/>
      <c r="M248" s="46"/>
      <c r="N248" s="46"/>
      <c r="O248" s="258"/>
      <c r="AH248" s="69"/>
      <c r="AI248" s="69"/>
      <c r="AJ248" s="69"/>
      <c r="AK248" s="69"/>
      <c r="AL248" s="69"/>
      <c r="AM248" s="69"/>
      <c r="AN248" s="69"/>
    </row>
    <row r="249" spans="1:40" ht="13.5" hidden="1" x14ac:dyDescent="0.15">
      <c r="A249" s="259">
        <v>11</v>
      </c>
      <c r="B249" s="345" t="s">
        <v>648</v>
      </c>
      <c r="C249" s="104"/>
      <c r="D249" s="105"/>
      <c r="E249" s="106"/>
      <c r="F249" s="47"/>
      <c r="G249" s="47"/>
      <c r="H249" s="47"/>
      <c r="I249" s="47"/>
      <c r="J249" s="46"/>
      <c r="K249" s="46"/>
      <c r="L249" s="46"/>
      <c r="M249" s="46"/>
      <c r="N249" s="46"/>
      <c r="O249" s="258"/>
      <c r="AH249" s="69"/>
      <c r="AI249" s="69"/>
      <c r="AJ249" s="69"/>
      <c r="AK249" s="69"/>
      <c r="AL249" s="69"/>
      <c r="AM249" s="69"/>
      <c r="AN249" s="69"/>
    </row>
    <row r="250" spans="1:40" ht="13.5" hidden="1" x14ac:dyDescent="0.15">
      <c r="A250" s="259">
        <v>12</v>
      </c>
      <c r="B250" s="345" t="s">
        <v>649</v>
      </c>
      <c r="C250" s="104"/>
      <c r="D250" s="105"/>
      <c r="E250" s="106"/>
      <c r="F250" s="47"/>
      <c r="G250" s="111"/>
      <c r="H250" s="47"/>
      <c r="I250" s="47"/>
      <c r="J250" s="46"/>
      <c r="K250" s="46"/>
      <c r="L250" s="46"/>
      <c r="M250" s="46"/>
      <c r="N250" s="46"/>
      <c r="O250" s="258"/>
      <c r="AH250" s="69"/>
      <c r="AI250" s="69"/>
      <c r="AJ250" s="69"/>
      <c r="AK250" s="69"/>
      <c r="AL250" s="69"/>
      <c r="AM250" s="69"/>
      <c r="AN250" s="69"/>
    </row>
    <row r="251" spans="1:40" ht="13.5" hidden="1" x14ac:dyDescent="0.15">
      <c r="A251" s="259">
        <v>13</v>
      </c>
      <c r="B251" s="338" t="s">
        <v>620</v>
      </c>
      <c r="C251" s="104"/>
      <c r="D251" s="105"/>
      <c r="E251" s="106"/>
      <c r="F251" s="47"/>
      <c r="G251" s="111"/>
      <c r="H251" s="47"/>
      <c r="I251" s="47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14</v>
      </c>
      <c r="B252" s="345" t="s">
        <v>650</v>
      </c>
      <c r="C252" s="104"/>
      <c r="D252" s="105"/>
      <c r="E252" s="106"/>
      <c r="F252" s="47"/>
      <c r="G252" s="111"/>
      <c r="H252" s="47"/>
      <c r="I252" s="47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15</v>
      </c>
      <c r="B253" s="345" t="s">
        <v>651</v>
      </c>
      <c r="C253" s="104"/>
      <c r="D253" s="105"/>
      <c r="E253" s="106"/>
      <c r="F253" s="47"/>
      <c r="G253" s="111"/>
      <c r="H253" s="47"/>
      <c r="I253" s="47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16</v>
      </c>
      <c r="B254" s="339" t="s">
        <v>621</v>
      </c>
      <c r="C254" s="104"/>
      <c r="D254" s="105"/>
      <c r="E254" s="106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17</v>
      </c>
      <c r="B255" s="345" t="s">
        <v>652</v>
      </c>
      <c r="C255" s="104"/>
      <c r="D255" s="105"/>
      <c r="E255" s="106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18</v>
      </c>
      <c r="B256" s="345" t="s">
        <v>653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19</v>
      </c>
      <c r="B257" s="340" t="s">
        <v>622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20</v>
      </c>
      <c r="B258" s="345" t="s">
        <v>654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21</v>
      </c>
      <c r="B259" s="340" t="s">
        <v>623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22</v>
      </c>
      <c r="B260" s="345" t="s">
        <v>655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23</v>
      </c>
      <c r="B261" s="340" t="s">
        <v>624</v>
      </c>
      <c r="C261" s="104"/>
      <c r="D261" s="104"/>
      <c r="E261" s="104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24</v>
      </c>
      <c r="B262" s="340" t="s">
        <v>625</v>
      </c>
      <c r="C262" s="104"/>
      <c r="D262" s="104"/>
      <c r="E262" s="104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25</v>
      </c>
      <c r="B263" s="340" t="s">
        <v>626</v>
      </c>
      <c r="C263" s="104"/>
      <c r="D263" s="104"/>
      <c r="E263" s="104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26</v>
      </c>
      <c r="B264" s="51" t="s">
        <v>556</v>
      </c>
      <c r="C264" s="104"/>
      <c r="D264" s="104"/>
      <c r="E264" s="104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27</v>
      </c>
      <c r="B265" s="107" t="s">
        <v>549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28</v>
      </c>
      <c r="B266" s="340" t="s">
        <v>627</v>
      </c>
      <c r="C266" s="359"/>
      <c r="D266" s="111"/>
      <c r="E266" s="360"/>
      <c r="F266" s="112"/>
      <c r="G266" s="112"/>
      <c r="H266" s="112"/>
      <c r="I266" s="112"/>
      <c r="J266" s="46"/>
      <c r="K266" s="46"/>
      <c r="L266" s="46"/>
      <c r="M266" s="46"/>
      <c r="N266" s="361"/>
      <c r="O266" s="258"/>
    </row>
    <row r="267" spans="1:15" ht="13.5" hidden="1" x14ac:dyDescent="0.15">
      <c r="A267" s="259">
        <v>29</v>
      </c>
      <c r="B267" s="345" t="s">
        <v>663</v>
      </c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58"/>
    </row>
    <row r="268" spans="1:15" ht="13.5" hidden="1" x14ac:dyDescent="0.15">
      <c r="A268" s="259">
        <v>30</v>
      </c>
      <c r="B268" s="340" t="s">
        <v>628</v>
      </c>
      <c r="C268" s="109"/>
      <c r="D268" s="109"/>
      <c r="E268" s="110"/>
      <c r="F268" s="358"/>
      <c r="G268" s="111"/>
      <c r="H268" s="111"/>
      <c r="I268" s="111"/>
      <c r="J268" s="46"/>
      <c r="K268" s="46"/>
      <c r="L268" s="46"/>
      <c r="M268" s="46"/>
      <c r="N268" s="9"/>
      <c r="O268" s="258"/>
    </row>
    <row r="269" spans="1:15" ht="13.5" hidden="1" x14ac:dyDescent="0.15">
      <c r="A269" s="259">
        <v>31</v>
      </c>
      <c r="B269" s="51" t="s">
        <v>557</v>
      </c>
      <c r="C269" s="104"/>
      <c r="D269" s="105"/>
      <c r="E269" s="106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 t="s">
        <v>723</v>
      </c>
      <c r="B270" s="51" t="s">
        <v>614</v>
      </c>
      <c r="C270" s="104"/>
      <c r="D270" s="105"/>
      <c r="E270" s="106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32</v>
      </c>
      <c r="B271" s="345" t="s">
        <v>664</v>
      </c>
      <c r="C271" s="104"/>
      <c r="D271" s="105"/>
      <c r="E271" s="106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33</v>
      </c>
      <c r="B272" s="340" t="s">
        <v>629</v>
      </c>
      <c r="C272" s="104"/>
      <c r="D272" s="105"/>
      <c r="E272" s="106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34</v>
      </c>
      <c r="B273" s="345" t="s">
        <v>665</v>
      </c>
      <c r="C273" s="104"/>
      <c r="D273" s="105"/>
      <c r="E273" s="106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35</v>
      </c>
      <c r="B274" s="51" t="s">
        <v>559</v>
      </c>
      <c r="C274" s="104"/>
      <c r="D274" s="104"/>
      <c r="E274" s="104"/>
      <c r="F274" s="112"/>
      <c r="G274" s="112"/>
      <c r="H274" s="112"/>
      <c r="I274" s="112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36</v>
      </c>
      <c r="B275" s="51" t="s">
        <v>560</v>
      </c>
      <c r="C275" s="104"/>
      <c r="D275" s="104"/>
      <c r="E275" s="104"/>
      <c r="F275" s="112"/>
      <c r="G275" s="112"/>
      <c r="H275" s="112"/>
      <c r="I275" s="112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37</v>
      </c>
      <c r="B276" s="345" t="s">
        <v>689</v>
      </c>
      <c r="C276" s="104"/>
      <c r="D276" s="104"/>
      <c r="E276" s="104"/>
      <c r="F276" s="112"/>
      <c r="G276" s="112"/>
      <c r="H276" s="112"/>
      <c r="I276" s="112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38</v>
      </c>
      <c r="B277" s="345" t="s">
        <v>666</v>
      </c>
      <c r="C277" s="104"/>
      <c r="D277" s="104"/>
      <c r="E277" s="104"/>
      <c r="F277" s="112"/>
      <c r="G277" s="112"/>
      <c r="H277" s="112"/>
      <c r="I277" s="112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39</v>
      </c>
      <c r="B278" s="340" t="s">
        <v>630</v>
      </c>
      <c r="C278" s="104"/>
      <c r="D278" s="104"/>
      <c r="E278" s="104"/>
      <c r="F278" s="112"/>
      <c r="G278" s="112"/>
      <c r="H278" s="112"/>
      <c r="I278" s="112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40</v>
      </c>
      <c r="B279" s="340" t="s">
        <v>631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41</v>
      </c>
      <c r="B280" s="51" t="s">
        <v>561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42</v>
      </c>
      <c r="B281" s="345" t="s">
        <v>667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43</v>
      </c>
      <c r="B282" s="51" t="s">
        <v>562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44</v>
      </c>
      <c r="B283" s="51" t="s">
        <v>563</v>
      </c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45</v>
      </c>
      <c r="B284" s="51" t="s">
        <v>686</v>
      </c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46</v>
      </c>
      <c r="B285" s="345" t="s">
        <v>668</v>
      </c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47</v>
      </c>
      <c r="B286" s="345" t="s">
        <v>669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 t="s">
        <v>724</v>
      </c>
      <c r="B287" s="345" t="s">
        <v>701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48</v>
      </c>
      <c r="B288" s="51" t="s">
        <v>564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49</v>
      </c>
      <c r="B289" s="345" t="s">
        <v>670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50</v>
      </c>
      <c r="B290" s="340" t="s">
        <v>632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51</v>
      </c>
      <c r="B291" s="51" t="s">
        <v>565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52</v>
      </c>
      <c r="B292" s="51" t="s">
        <v>566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53</v>
      </c>
      <c r="B293" s="51" t="s">
        <v>567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54</v>
      </c>
      <c r="B294" s="51" t="s">
        <v>568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55</v>
      </c>
      <c r="B295" s="51" t="s">
        <v>569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56</v>
      </c>
      <c r="B296" s="340" t="s">
        <v>633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57</v>
      </c>
      <c r="B297" s="51" t="s">
        <v>570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58</v>
      </c>
      <c r="B298" s="51" t="s">
        <v>571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59</v>
      </c>
      <c r="B299" s="345" t="s">
        <v>671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60</v>
      </c>
      <c r="B300" s="51" t="s">
        <v>572</v>
      </c>
      <c r="C300" s="9"/>
      <c r="D300" s="9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58"/>
    </row>
    <row r="301" spans="1:15" ht="13.5" hidden="1" x14ac:dyDescent="0.15">
      <c r="A301" s="259">
        <v>61</v>
      </c>
      <c r="B301" s="51" t="s">
        <v>573</v>
      </c>
      <c r="C301" s="9"/>
      <c r="D301" s="9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258"/>
    </row>
    <row r="302" spans="1:15" ht="13.5" hidden="1" x14ac:dyDescent="0.15">
      <c r="A302" s="259">
        <v>62</v>
      </c>
      <c r="B302" s="51" t="s">
        <v>574</v>
      </c>
      <c r="C302" s="9"/>
      <c r="D302" s="9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258"/>
    </row>
    <row r="303" spans="1:15" ht="13.5" hidden="1" x14ac:dyDescent="0.15">
      <c r="A303" s="259">
        <v>63</v>
      </c>
      <c r="B303" s="345" t="s">
        <v>672</v>
      </c>
      <c r="C303" s="9"/>
      <c r="D303" s="9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258"/>
    </row>
    <row r="304" spans="1:15" ht="13.5" hidden="1" x14ac:dyDescent="0.15">
      <c r="A304" s="259">
        <v>64</v>
      </c>
      <c r="B304" s="51" t="s">
        <v>580</v>
      </c>
      <c r="C304" s="9"/>
      <c r="D304" s="9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258"/>
    </row>
    <row r="305" spans="1:15" ht="13.5" hidden="1" x14ac:dyDescent="0.15">
      <c r="A305" s="259">
        <v>65</v>
      </c>
      <c r="B305" s="51" t="s">
        <v>583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66</v>
      </c>
      <c r="B306" s="340" t="s">
        <v>634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67</v>
      </c>
      <c r="B307" s="51" t="s">
        <v>581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 t="s">
        <v>725</v>
      </c>
      <c r="B308" s="51" t="s">
        <v>684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68</v>
      </c>
      <c r="B309" s="108" t="s">
        <v>673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69</v>
      </c>
      <c r="B310" s="340" t="s">
        <v>635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70</v>
      </c>
      <c r="B311" s="108" t="s">
        <v>674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71</v>
      </c>
      <c r="B312" s="108" t="s">
        <v>675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72</v>
      </c>
      <c r="B313" s="108" t="s">
        <v>677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73</v>
      </c>
      <c r="B314" s="340" t="s">
        <v>636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74</v>
      </c>
      <c r="B315" s="108" t="s">
        <v>678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75</v>
      </c>
      <c r="B316" s="340" t="s">
        <v>637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76</v>
      </c>
      <c r="B317" s="108" t="s">
        <v>679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77</v>
      </c>
      <c r="B318" s="340" t="s">
        <v>638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78</v>
      </c>
      <c r="B319" s="108" t="s">
        <v>680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79</v>
      </c>
      <c r="B320" s="340" t="s">
        <v>639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80</v>
      </c>
      <c r="B321" s="340" t="s">
        <v>640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81</v>
      </c>
      <c r="B322" s="108" t="s">
        <v>681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82</v>
      </c>
      <c r="B323" s="51" t="s">
        <v>584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83</v>
      </c>
      <c r="B324" s="340" t="s">
        <v>683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84</v>
      </c>
      <c r="B325" s="340" t="s">
        <v>699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85</v>
      </c>
      <c r="B326" s="340" t="s">
        <v>641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86</v>
      </c>
      <c r="B327" s="340" t="s">
        <v>642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>
        <v>87</v>
      </c>
      <c r="B328" s="340" t="s">
        <v>643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88</v>
      </c>
      <c r="B329" s="340" t="s">
        <v>644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A330" s="259">
        <v>89</v>
      </c>
      <c r="B330" s="51" t="s">
        <v>585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A331" s="259">
        <v>90</v>
      </c>
      <c r="B331" s="108" t="s">
        <v>682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A332" s="259">
        <v>91</v>
      </c>
      <c r="B332" s="51" t="s">
        <v>586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A333" s="259" t="s">
        <v>726</v>
      </c>
      <c r="B333" s="51" t="s">
        <v>685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A334" s="259">
        <v>92</v>
      </c>
      <c r="B334" s="51" t="s">
        <v>588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  <row r="825" spans="2:15" ht="13.5" hidden="1" x14ac:dyDescent="0.15">
      <c r="B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258"/>
    </row>
    <row r="826" spans="2:15" ht="13.5" hidden="1" x14ac:dyDescent="0.15">
      <c r="B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258"/>
    </row>
    <row r="827" spans="2:15" ht="13.5" hidden="1" x14ac:dyDescent="0.15">
      <c r="B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258"/>
    </row>
    <row r="828" spans="2:15" ht="13.5" hidden="1" x14ac:dyDescent="0.15">
      <c r="B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258"/>
    </row>
    <row r="829" spans="2:15" ht="13.5" hidden="1" x14ac:dyDescent="0.15">
      <c r="B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258"/>
    </row>
  </sheetData>
  <mergeCells count="30">
    <mergeCell ref="B106:E106"/>
    <mergeCell ref="B135:N135"/>
    <mergeCell ref="C128:E128"/>
    <mergeCell ref="F128:H128"/>
    <mergeCell ref="K115:S115"/>
    <mergeCell ref="B115:J115"/>
    <mergeCell ref="I128:J128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J105">
    <cfRule type="cellIs" dxfId="103" priority="1" stopIfTrue="1" operator="equal">
      <formula>"ATENDE TEMPO NO CARGO"</formula>
    </cfRule>
    <cfRule type="cellIs" dxfId="102" priority="2" stopIfTrue="1" operator="equal">
      <formula>"NÃO CUMPRE TEMPO NO CARGO"</formula>
    </cfRule>
  </conditionalFormatting>
  <conditionalFormatting sqref="M248:M266 M238:M244 M269:M292 C226:C228 C137:C182 N181:N182 C184:C203 C223:C224 C230:C234 C205:C221">
    <cfRule type="cellIs" dxfId="101" priority="3" stopIfTrue="1" operator="equal">
      <formula>"ANUÊNIO"</formula>
    </cfRule>
    <cfRule type="cellIs" dxfId="100" priority="4" stopIfTrue="1" operator="equal">
      <formula>"TRIÊNIO"</formula>
    </cfRule>
    <cfRule type="cellIs" dxfId="99" priority="5" stopIfTrue="1" operator="equal">
      <formula>"QUINQUÊNIO"</formula>
    </cfRule>
  </conditionalFormatting>
  <conditionalFormatting sqref="F72:F74">
    <cfRule type="cellIs" dxfId="98" priority="6" stopIfTrue="1" operator="equal">
      <formula>"NADA A CUMPRIR"</formula>
    </cfRule>
    <cfRule type="cellIs" dxfId="97" priority="7" stopIfTrue="1" operator="equal">
      <formula>"NÃO CABE"</formula>
    </cfRule>
    <cfRule type="cellIs" dxfId="96" priority="8" stopIfTrue="1" operator="greaterThanOrEqual">
      <formula>0</formula>
    </cfRule>
  </conditionalFormatting>
  <conditionalFormatting sqref="E71">
    <cfRule type="cellIs" dxfId="95" priority="9" stopIfTrue="1" operator="equal">
      <formula>"NÃO ATENDE LIMITE MÍNIMO DE IDADE"</formula>
    </cfRule>
    <cfRule type="cellIs" dxfId="94" priority="10" stopIfTrue="1" operator="equal">
      <formula>"REANALISAR FUNDAMENTAÇÃO E/OU MODALIDADE"</formula>
    </cfRule>
    <cfRule type="cellIs" dxfId="93" priority="11" stopIfTrue="1" operator="equal">
      <formula>"ATENDE LIMITE MÍNIMO DE IDADE"</formula>
    </cfRule>
  </conditionalFormatting>
  <conditionalFormatting sqref="N69 N71">
    <cfRule type="cellIs" dxfId="92" priority="12" stopIfTrue="1" operator="equal">
      <formula>0</formula>
    </cfRule>
  </conditionalFormatting>
  <conditionalFormatting sqref="K8">
    <cfRule type="expression" dxfId="91" priority="13" stopIfTrue="1">
      <formula>"SE($N$8=0)"</formula>
    </cfRule>
  </conditionalFormatting>
  <conditionalFormatting sqref="C73">
    <cfRule type="cellIs" dxfId="90" priority="14" stopIfTrue="1" operator="equal">
      <formula>"FALTA DATA"</formula>
    </cfRule>
  </conditionalFormatting>
  <conditionalFormatting sqref="M74">
    <cfRule type="cellIs" dxfId="89" priority="15" stopIfTrue="1" operator="equal">
      <formula>"ATENDE"</formula>
    </cfRule>
    <cfRule type="cellIs" dxfId="88" priority="16" stopIfTrue="1" operator="equal">
      <formula>"NÃO ATENDE"</formula>
    </cfRule>
    <cfRule type="cellIs" dxfId="87" priority="17" stopIfTrue="1" operator="equal">
      <formula>"NÃO CABE"</formula>
    </cfRule>
  </conditionalFormatting>
  <conditionalFormatting sqref="M73">
    <cfRule type="cellIs" dxfId="86" priority="18" stopIfTrue="1" operator="equal">
      <formula>"ATENDE"</formula>
    </cfRule>
    <cfRule type="cellIs" dxfId="85" priority="19" stopIfTrue="1" operator="equal">
      <formula>"NÃO ATENDE"</formula>
    </cfRule>
    <cfRule type="cellIs" dxfId="84" priority="20" stopIfTrue="1" operator="equal">
      <formula>"NÃO CABE"</formula>
    </cfRule>
  </conditionalFormatting>
  <conditionalFormatting sqref="M75:M76 L78:L86 L77:M77 L88:L91">
    <cfRule type="cellIs" dxfId="83" priority="21" stopIfTrue="1" operator="equal">
      <formula>"ATENDE"</formula>
    </cfRule>
    <cfRule type="cellIs" dxfId="82" priority="22" stopIfTrue="1" operator="equal">
      <formula>"NÃO ATENDE"</formula>
    </cfRule>
    <cfRule type="cellIs" dxfId="81" priority="23" stopIfTrue="1" operator="equal">
      <formula>"OK"</formula>
    </cfRule>
  </conditionalFormatting>
  <conditionalFormatting sqref="K42">
    <cfRule type="expression" dxfId="80" priority="24" stopIfTrue="1">
      <formula>$E$42&lt;=0</formula>
    </cfRule>
  </conditionalFormatting>
  <conditionalFormatting sqref="M42">
    <cfRule type="expression" dxfId="79" priority="25" stopIfTrue="1">
      <formula>$E$42&lt;=0</formula>
    </cfRule>
  </conditionalFormatting>
  <conditionalFormatting sqref="O70 I67">
    <cfRule type="cellIs" dxfId="78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1200-000000000000}">
      <formula1>$O$2:$O$7</formula1>
    </dataValidation>
    <dataValidation type="list" allowBlank="1" showInputMessage="1" showErrorMessage="1" sqref="E2:I2" xr:uid="{00000000-0002-0000-1200-000001000000}">
      <formula1>$B$95:$B$103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829"/>
  <sheetViews>
    <sheetView showGridLines="0" zoomScale="75" zoomScaleNormal="75" workbookViewId="0" xr3:uid="{34904945-5288-588E-9F07-34343C13E9F2}">
      <selection activeCell="A77" sqref="A77:A65536"/>
    </sheetView>
  </sheetViews>
  <sheetFormatPr defaultColWidth="0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9.16796875" style="21" hidden="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455</v>
      </c>
      <c r="F2" s="1850"/>
      <c r="G2" s="1850"/>
      <c r="H2" s="1850"/>
      <c r="I2" s="1850"/>
      <c r="J2" s="652" t="s">
        <v>462</v>
      </c>
      <c r="K2" s="1939" t="s">
        <v>476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IF(OR($E$2=$B$95,$E$2=$B$96,E2=B97),IF($M$13&gt;=5,"ATENDE","NÃO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">
        <v>549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IF(OR($E$2=$B$95,$E$2=$B$96,E2=B97),IF($M$15&gt;=10,"ATENDE","NÃO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54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54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168" t="s">
        <v>335</v>
      </c>
      <c r="C26" s="674">
        <f>CRÍTICA_IGP1!C26</f>
        <v>0</v>
      </c>
      <c r="D26" s="169" t="s">
        <v>336</v>
      </c>
      <c r="E26" s="674">
        <f>CRÍTICA_IGP1!E26</f>
        <v>0</v>
      </c>
      <c r="F26" s="171">
        <f>CRÍTICA_IGP1!F26</f>
        <v>0</v>
      </c>
      <c r="G26" s="149" t="s">
        <v>337</v>
      </c>
      <c r="H26" s="5"/>
      <c r="I26" s="5"/>
      <c r="J26" s="740">
        <f>CRÍTICA_IGP1!J26</f>
        <v>0</v>
      </c>
      <c r="K26" s="150"/>
      <c r="L26" s="150" t="s">
        <v>524</v>
      </c>
      <c r="M26" s="5"/>
      <c r="N26" s="740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149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0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149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0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149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676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149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298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149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0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149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243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149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32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149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1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37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IF(E2=B103,IF(D12="X",IF(G10="X",ROUNDDOWN(SUM(F26:F34)*0.2,0),ROUNDDOWN(SUM(F26:F34)*0.17,0)),0),0)</f>
        <v>0</v>
      </c>
      <c r="N35" s="380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 t="str">
        <f>IF(E38&lt;36145,E38,"REVER")</f>
        <v>REVER</v>
      </c>
      <c r="F37" s="157">
        <f>IF(N8&gt;=36145,0,IF(AND(N8&lt;36145,F38&lt;&gt;0),SUM(F26:F35),0))</f>
        <v>0</v>
      </c>
      <c r="G37" s="150"/>
      <c r="H37" s="662" t="str">
        <f>E38</f>
        <v>REVER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 t="str">
        <f>IF(E32&gt;0,E32,IF(E31&gt;0,E31,IF(E30&gt;0,E30,IF(E29&gt;0,E29,IF(E28&gt;0,E28,IF(E27&gt;0,E27,IF(E26&gt;0,F26,"REVER")))))))</f>
        <v>REVER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IF(E41&gt;0,IF(E2=B95,E41,IF(E2=B96,E41,IF(E2=B102,E41,))),0)</f>
        <v>12775</v>
      </c>
      <c r="D41" s="178" t="b">
        <f>IF(E41&gt;0,IF(K2=O5,IF(E2=B103,E41,0)),0)</f>
        <v>0</v>
      </c>
      <c r="E41" s="179">
        <f>IF($E$2=B102,IF($G$10="X",(25*365)-$F$37,(30*365)-$F$37),IF($G$10="X",(30*365)-$F$37,(35*365)-$F$37))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12775</v>
      </c>
      <c r="F42" s="45" t="s">
        <v>333</v>
      </c>
      <c r="G42" s="150"/>
      <c r="H42" s="184" t="str">
        <f>IF(E42&gt;0,IF(K2=O4,"HÁ PEDÁGIO A CUMPRIR",IF(K2=O5,IF(E2=B103,"HÁ PEDÁGIO A CUMPRIR",E71))),"NÃO HÁ PEDÁGIO A CUMPRIR")</f>
        <v>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IF(E42&gt;0,IF(E2=B102,ROUNDUP(E42*0.4,0),ROUNDUP(E42*0.2,0)),0)</f>
        <v>2555</v>
      </c>
      <c r="F43" s="45"/>
      <c r="G43" s="150"/>
      <c r="H43" s="186">
        <f>ROUNDDOWN(E43/365,0)</f>
        <v>7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15330</v>
      </c>
      <c r="F44" s="159"/>
      <c r="G44" s="150"/>
      <c r="H44" s="186">
        <f>ROUNDDOWN(E44/365,0)</f>
        <v>42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IF(N8&gt;=36145,0,IF(F46&lt;&gt;0,F46,IF(K2=O2,0,IF(K2=O3,A42,IF(K2=O4,A43,A44)))))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21.75" customHeight="1" thickBot="1" x14ac:dyDescent="0.2">
      <c r="A46" s="376"/>
      <c r="B46" s="234"/>
      <c r="C46" s="1066"/>
      <c r="D46" s="1262"/>
      <c r="E46" s="275"/>
      <c r="F46" s="1257">
        <f>IF(AND(C45&lt;&gt;"rever",E46&lt;&gt;"rever"),SUM(F47:F50),0)</f>
        <v>0</v>
      </c>
      <c r="G46" s="1255" t="str">
        <f>IF(AND($E$51&gt;=36145,$E$51&lt;=37985),$E$51,"REVER")</f>
        <v>REVER</v>
      </c>
      <c r="H46" s="124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263" t="s">
        <v>335</v>
      </c>
      <c r="C47" s="744">
        <f>CRÍTICA_IGP1!C47</f>
        <v>0</v>
      </c>
      <c r="D47" s="593" t="s">
        <v>336</v>
      </c>
      <c r="E47" s="744">
        <f>CRÍTICA_IGP1!E47</f>
        <v>0</v>
      </c>
      <c r="F47" s="745">
        <f>CRÍTICA_IGP1!F47</f>
        <v>0</v>
      </c>
      <c r="G47" s="594" t="s">
        <v>337</v>
      </c>
      <c r="H47" s="595"/>
      <c r="I47" s="595"/>
      <c r="J47" s="615">
        <f>CRÍTICA_IGP1!J47</f>
        <v>0</v>
      </c>
      <c r="K47" s="215"/>
      <c r="L47" s="215" t="s">
        <v>524</v>
      </c>
      <c r="M47" s="595"/>
      <c r="N47" s="746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596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597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596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597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598" t="s">
        <v>606</v>
      </c>
      <c r="C50" s="750">
        <f>CRÍTICA_IGP1!C50</f>
        <v>0</v>
      </c>
      <c r="D50" s="599" t="s">
        <v>336</v>
      </c>
      <c r="E50" s="751">
        <f>IF(CRÍTICA_IGP1!$N$10&lt;CRÍTICA_IGP1!$R$22,$N$10-1,CRÍTICA_IGP1!$R$22-1)</f>
        <v>25567</v>
      </c>
      <c r="F50" s="600">
        <f>IF(C50=0,0,IF(E50=0,0,E50-C50+1))-N50</f>
        <v>0</v>
      </c>
      <c r="G50" s="601"/>
      <c r="H50" s="411"/>
      <c r="I50" s="411"/>
      <c r="J50" s="240" t="s">
        <v>704</v>
      </c>
      <c r="K50" s="238"/>
      <c r="L50" s="238"/>
      <c r="M50" s="602"/>
      <c r="N50" s="752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18.75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SUM($F$49:$F$50)</f>
        <v>0</v>
      </c>
      <c r="K51" s="254"/>
      <c r="L51" s="254"/>
      <c r="M51" s="254"/>
      <c r="N51" s="254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thickBot="1" x14ac:dyDescent="0.2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263" t="s">
        <v>335</v>
      </c>
      <c r="C54" s="744">
        <f>CRÍTICA_IGP1!C54</f>
        <v>0</v>
      </c>
      <c r="D54" s="593" t="s">
        <v>336</v>
      </c>
      <c r="E54" s="744">
        <f>CRÍTICA_IGP1!E54</f>
        <v>0</v>
      </c>
      <c r="F54" s="745">
        <f>CRÍTICA_IGP1!F54</f>
        <v>0</v>
      </c>
      <c r="G54" s="594" t="s">
        <v>337</v>
      </c>
      <c r="H54" s="595"/>
      <c r="I54" s="595"/>
      <c r="J54" s="615">
        <f>CRÍTICA_IGP1!J54</f>
        <v>0</v>
      </c>
      <c r="K54" s="215"/>
      <c r="L54" s="215" t="s">
        <v>524</v>
      </c>
      <c r="M54" s="595"/>
      <c r="N54" s="746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596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597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596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597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x14ac:dyDescent="0.15">
      <c r="A57" s="376"/>
      <c r="B57" s="633" t="s">
        <v>606</v>
      </c>
      <c r="C57" s="677">
        <f>CRÍTICA_IGP1!C57</f>
        <v>0</v>
      </c>
      <c r="D57" s="271" t="s">
        <v>336</v>
      </c>
      <c r="E57" s="674">
        <f>CRÍTICA_IGP1!E57</f>
        <v>0</v>
      </c>
      <c r="F57" s="171">
        <f>IF(C57=0,0,IF(E57=0,0,E57-C57+1))-N57</f>
        <v>0</v>
      </c>
      <c r="G57" s="251"/>
      <c r="H57" s="131"/>
      <c r="I57" s="131"/>
      <c r="J57" s="287" t="s">
        <v>704</v>
      </c>
      <c r="K57" s="162"/>
      <c r="L57" s="162"/>
      <c r="M57" s="297"/>
      <c r="N57" s="747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19.5" customHeight="1" thickBot="1" x14ac:dyDescent="0.2">
      <c r="A58" s="295"/>
      <c r="B58" s="1307"/>
      <c r="C58" s="1308" t="str">
        <f>IF(C54&gt;0,C54,IF(C55&gt;0,C55,IF(C56&gt;0,C56,IF(C57&gt;0,C57,"REVER"))))</f>
        <v>REVER</v>
      </c>
      <c r="D58" s="1309"/>
      <c r="E58" s="1302" t="str">
        <f>IF(E57&gt;0,E57,IF(E56&gt;0,E56,IF(E55&gt;0,E55,IF(E54&gt;0,E54,"REVER"))))</f>
        <v>REVER</v>
      </c>
      <c r="F58" s="1310"/>
      <c r="G58" s="1311"/>
      <c r="H58" s="1311"/>
      <c r="I58" s="1310"/>
      <c r="J58" s="1312"/>
      <c r="K58" s="1313"/>
      <c r="L58" s="1314"/>
      <c r="M58" s="1315"/>
      <c r="N58" s="1316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14.25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15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327"/>
      <c r="C64" s="244">
        <f>IF(E2=B97,"NÃO CABE",IF(E2=B99,"NÃO CABE",IF(E2=B100,"NÃO CABE",IF(E2=B101,"NÃO CABE",IF(C65&gt;0,C65,"NADA A CUMPRIR")))))</f>
        <v>15330</v>
      </c>
      <c r="D64" s="1328"/>
      <c r="E64" s="1329"/>
      <c r="F64" s="1330"/>
      <c r="G64" s="198"/>
      <c r="H64" s="201">
        <f>IF($C$64="NÃO CABE",0,IF($C$65&gt;0,ROUNDDOWN($C$65/365,0),0))</f>
        <v>42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1331"/>
      <c r="C65" s="209">
        <f>IF(K2=O2,IF(E2=B102,R128,R127),IF(K2=O3,Q126,IF(K2=O6,Q126,IF(K2=O4,Q125,IF(K2=O5,Q125,IF($K$2=O7,Q129,0))))))</f>
        <v>15330</v>
      </c>
      <c r="D65" s="1332"/>
      <c r="E65" s="1333"/>
      <c r="F65" s="1334"/>
      <c r="G65" s="205"/>
      <c r="H65" s="207">
        <f>IF($C$64="NÃO CABE",0,IF($C$65&gt;0,ROUNDDOWN($C$65/365,0),0))</f>
        <v>42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IF($O$10&lt;$D$136,VLOOKUP($E$6,$B$137:$Q$234,3,FALSE),IF($O$10&lt;$E$136,VLOOKUP($E$6,$B$137:$Q$234,4,FALSE),VLOOKUP($E$6,$B$137:$Q$234,5,FALSE)))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$95&lt;=$BC$93,VLOOKUP($C$8,$BB$96:$BH$135,2,FALSE),IF($BC$95&lt;=$BD$93,VLOOKUP($C$8,$BB$96:$BH$135,3,FALSE),IF($BC$95&lt;=$BE$93,VLOOKUP($C$8,$BB$96:$BH$135,4,FALSE),IF($BC$95&lt;=$BF$93,VLOOKUP($C$8,$BB$96:$BH$135,5,FALSE),IF($BC$95&lt;=$BG$93,VLOOKUP($C$8,$BB$96:$BH$135,6,FALSE),VLOOKUP($C$8,$BB$96:$BH$135,7,FALSE))))))</f>
        <v>#N/A</v>
      </c>
      <c r="F68" s="150"/>
      <c r="G68" s="150"/>
      <c r="H68" s="150"/>
      <c r="I68" s="221"/>
      <c r="J68" s="222" t="e">
        <f>IF($BC$92&lt;=$BC$93,VLOOKUP($C$8,$BB$96:$BH$135,2,FALSE),IF($BC$92&lt;=$BD$93,VLOOKUP($C$8,$BB$96:$BH$135,3,FALSE),IF($BC$92&lt;=$BE$93,VLOOKUP($C$8,$BB$96:$BH$135,4,FALSE),IF($BC$92&lt;=$BF$93,VLOOKUP($C$8,$BB$96:$BH$135,5,FALSE),IF($BC$92&lt;=$BG$93,VLOOKUP($C$8,$BB$96:$BH$135,6,FALSE),VLOOKUP($C$8,$BB$96:$BH$135,7,FALSE))))))</f>
        <v>#N/A</v>
      </c>
      <c r="K68" s="150" t="s">
        <v>448</v>
      </c>
      <c r="L68" s="153"/>
      <c r="M68" s="150"/>
      <c r="N68" s="223" t="str">
        <f>IF($K$2=$O$2,J107,IF($K$2=$O$3,J108,IF($K$2=$O$4,J109,IF($K$2=$O$5,J110,"NÃO CABE"))))</f>
        <v>NÃO CABE</v>
      </c>
      <c r="O68" s="254" t="str">
        <f>VLOOKUP($E$6,$B$137:$C$234,2,FALSE)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TRANSIÇÃO EMENDA 20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ESPECIAL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IF(K2=O3,IF(M109&gt;=N109,N108,"NÃO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IF($E$2=$L$116,$O$116,IF($E$2=$L$117,$O$117,IF($E$2=$L$118,$O$118,IF($E$2=$L$119,$O$119,IF($E$2=$L$120,$O$120,$O$121)))))</f>
        <v>REANALISAR FUNDAMENTAÇÃO E/OU MODALIDADE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>
        <f>C64</f>
        <v>15330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IF(OR(E6=B205,E6=B217,E6=B228),IF(L217&gt;=25,"FAZ JUS A 1/6 DA REMUNERAÇÃO",IF(L228&gt;=25,"FAZ JUS A 1/6 DA REMUNERAÇÃO",IF(L205&gt;=25,"FAZ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IF(ISERROR(HLOOKUP($J$182,$Q$73:$W$74,2)),0,HLOOKUP($J$182,$Q$73:$W$74,2))</f>
        <v>0</v>
      </c>
      <c r="T75" s="133" t="s">
        <v>451</v>
      </c>
      <c r="U75" s="132"/>
      <c r="V75" s="133"/>
      <c r="W75" s="132">
        <f>IF(ISERROR(HLOOKUP($K$182,$Q$73:$W$74,2)),0,HLOOKUP($K$182,$Q$73:$W$74,2))</f>
        <v>0</v>
      </c>
      <c r="X75" s="134" t="s">
        <v>507</v>
      </c>
      <c r="Y75" s="135"/>
      <c r="Z75" s="136"/>
      <c r="AA75" s="134"/>
      <c r="AB75" s="137">
        <f>IF(ISERROR(HLOOKUP($L$182,$Q$73:$W$74,2)),0,HLOOKUP($L$182,$Q$73:$W$74,2))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x14ac:dyDescent="0.15">
      <c r="A76" s="295"/>
      <c r="B76" s="394"/>
      <c r="C76" s="150"/>
      <c r="D76" s="395"/>
      <c r="E76" s="150"/>
      <c r="F76" s="150"/>
      <c r="G76" s="150"/>
      <c r="H76" s="150"/>
      <c r="I76" s="150"/>
      <c r="J76" s="153"/>
      <c r="K76" s="150"/>
      <c r="L76" s="150"/>
      <c r="M76" s="234"/>
      <c r="N76" s="260"/>
      <c r="O76" s="391" t="str">
        <f>IF($F$72="NADA A CUMPRIR","OK",IF($F$72="NÃO CABE","NÃO CABE","NÃO CUMPRE"))</f>
        <v>NÃO CUMPRE</v>
      </c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7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7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7" si="2">IF(OR($M$73="NÃO CABE",$M$73="ATENDE"),"SIM","NÃO")</f>
        <v>NÃO</v>
      </c>
      <c r="K78" s="414" t="str">
        <f t="shared" ref="K78:K87" si="3">IF(OR($M$74="NÃO CABE",$M$74="ATENDE"),"SIM","NÃO")</f>
        <v>SIM</v>
      </c>
      <c r="L78" s="412"/>
      <c r="M78" s="414" t="str">
        <f t="shared" ref="M78:M87" si="4">IF(OR($M$75="ATENDE",$M$75="OK"),"SIM","NÃO")</f>
        <v>NÃO</v>
      </c>
      <c r="N78" s="414" t="str">
        <f t="shared" ref="N78:N87" si="5"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NÃO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55"/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NÃO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NÃO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7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NÃO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1"/>
      <c r="AC82" s="69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NÃO</v>
      </c>
      <c r="I83" s="413" t="str">
        <f t="shared" si="6"/>
        <v>NÃO</v>
      </c>
      <c r="J83" s="414" t="str">
        <f t="shared" si="2"/>
        <v>NÃO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1"/>
      <c r="AC83" s="69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6" t="s">
        <v>487</v>
      </c>
      <c r="C84" s="414" t="str">
        <f t="shared" si="0"/>
        <v>NÃO</v>
      </c>
      <c r="D84" s="415"/>
      <c r="E84" s="18" t="s">
        <v>754</v>
      </c>
      <c r="F84" s="631"/>
      <c r="G84" s="18"/>
      <c r="H84" s="414" t="str">
        <f t="shared" si="1"/>
        <v>NÃO</v>
      </c>
      <c r="I84" s="413" t="str">
        <f t="shared" si="6"/>
        <v>NÃO</v>
      </c>
      <c r="J84" s="414" t="str">
        <f t="shared" si="2"/>
        <v>NÃO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1"/>
      <c r="AC84" s="69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412" t="s">
        <v>467</v>
      </c>
      <c r="C85" s="414" t="str">
        <f t="shared" si="0"/>
        <v>NÃO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NÃO</v>
      </c>
      <c r="K85" s="414" t="str">
        <f t="shared" si="3"/>
        <v>SIM</v>
      </c>
      <c r="L85" s="412"/>
      <c r="M85" s="414" t="str">
        <f t="shared" si="4"/>
        <v>NÃO</v>
      </c>
      <c r="N85" s="414" t="str">
        <f t="shared" si="5"/>
        <v>NÃO</v>
      </c>
      <c r="O85" s="21"/>
      <c r="AC85" s="69"/>
      <c r="AD85" s="70"/>
      <c r="AE85" s="70"/>
      <c r="AF85" s="70"/>
      <c r="AG85" s="69"/>
      <c r="AX85" s="11"/>
      <c r="AY85" s="11"/>
      <c r="AZ85" s="11"/>
      <c r="BA85" s="85"/>
    </row>
    <row r="86" spans="1:64" ht="13.5" hidden="1" x14ac:dyDescent="0.15">
      <c r="A86" s="295"/>
      <c r="B86" s="412" t="s">
        <v>467</v>
      </c>
      <c r="C86" s="414" t="str">
        <f t="shared" si="0"/>
        <v>NÃO</v>
      </c>
      <c r="D86" s="415"/>
      <c r="E86" s="18" t="s">
        <v>485</v>
      </c>
      <c r="F86" s="631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NÃO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1"/>
      <c r="AC86" s="69"/>
      <c r="AD86" s="70"/>
      <c r="AE86" s="70"/>
      <c r="AF86" s="70"/>
      <c r="AG86" s="69"/>
      <c r="AX86" s="11"/>
      <c r="AY86" s="11"/>
      <c r="AZ86" s="11"/>
      <c r="BA86" s="85"/>
    </row>
    <row r="87" spans="1:64" hidden="1" x14ac:dyDescent="0.15">
      <c r="A87" s="295"/>
      <c r="B87" s="616" t="s">
        <v>484</v>
      </c>
      <c r="C87" s="414" t="str">
        <f t="shared" si="0"/>
        <v>NÃO</v>
      </c>
      <c r="D87" s="546"/>
      <c r="E87" s="33" t="s">
        <v>464</v>
      </c>
      <c r="F87" s="416"/>
      <c r="G87" s="185"/>
      <c r="H87" s="414" t="str">
        <f t="shared" si="1"/>
        <v>NÃO</v>
      </c>
      <c r="I87" s="413" t="str">
        <f>IF($D$14="X",IF($N$79="SIM","SIM","NÃO"),"NÃO")</f>
        <v>NÃO</v>
      </c>
      <c r="J87" s="414" t="str">
        <f t="shared" si="2"/>
        <v>NÃO</v>
      </c>
      <c r="K87" s="414" t="str">
        <f t="shared" si="3"/>
        <v>SIM</v>
      </c>
      <c r="L87" s="185"/>
      <c r="M87" s="414" t="str">
        <f t="shared" si="4"/>
        <v>NÃO</v>
      </c>
      <c r="N87" s="414" t="str">
        <f t="shared" si="5"/>
        <v>NÃO</v>
      </c>
      <c r="O87" s="21"/>
      <c r="AC87" s="69"/>
      <c r="AD87" s="70"/>
      <c r="AE87" s="70"/>
      <c r="AF87" s="70"/>
      <c r="AG87" s="69"/>
      <c r="AX87" s="11"/>
      <c r="AY87" s="11"/>
      <c r="AZ87" s="11"/>
      <c r="BA87" s="85"/>
    </row>
    <row r="88" spans="1:64" ht="13.5" hidden="1" x14ac:dyDescent="0.15">
      <c r="A88" s="295"/>
      <c r="B88" s="18" t="s">
        <v>455</v>
      </c>
      <c r="C88" s="414" t="str">
        <f>IF(OR($E$71="NADA A CRITICAR",$E$71="ATENDE LIMITE MÍNIMO DE IDADE"),"SIM","NÃO")</f>
        <v>NÃO</v>
      </c>
      <c r="D88" s="415"/>
      <c r="E88" s="18" t="s">
        <v>463</v>
      </c>
      <c r="F88" s="416"/>
      <c r="G88" s="18"/>
      <c r="H88" s="414" t="str">
        <f>IF(OR($F$72="NADA A CUMPRIR",$F$72="NÃO CABE"),"SIM","NÃO")</f>
        <v>NÃO</v>
      </c>
      <c r="I88" s="413" t="str">
        <f>IF(N88="SIM","SIM","NÃO")</f>
        <v>NÃO</v>
      </c>
      <c r="J88" s="414" t="str">
        <f>IF(OR($M$73="NÃO CABE",$M$73="ATENDE"),"SIM","NÃO")</f>
        <v>NÃO</v>
      </c>
      <c r="K88" s="414" t="str">
        <f>IF(OR($M$74="NÃO CABE",$M$74="ATENDE"),"SIM","NÃO")</f>
        <v>SIM</v>
      </c>
      <c r="L88" s="412"/>
      <c r="M88" s="414" t="str">
        <f>IF(OR($M$75="ATENDE",$M$75="OK"),"SIM","NÃO")</f>
        <v>NÃO</v>
      </c>
      <c r="N88" s="414" t="str">
        <f>IF(AND(C88="SIM",H88="SIM",J88="SIM",K88="SIM",M88="SIM"),"SIM","NÃO")</f>
        <v>NÃO</v>
      </c>
      <c r="O88" s="21"/>
      <c r="AC88" s="69"/>
      <c r="AD88" s="70"/>
      <c r="AE88" s="70"/>
      <c r="AF88" s="70"/>
      <c r="AG88" s="69"/>
      <c r="AX88" s="11"/>
      <c r="AY88" s="11"/>
      <c r="AZ88" s="11"/>
      <c r="BA88" s="85"/>
    </row>
    <row r="89" spans="1:64" hidden="1" x14ac:dyDescent="0.15">
      <c r="A89" s="295"/>
      <c r="B89" s="18" t="s">
        <v>455</v>
      </c>
      <c r="C89" s="414" t="str">
        <f>IF(OR($E$71="NADA A CRITICAR",$E$71="ATENDE LIMITE MÍNIMO DE IDADE"),"SIM","NÃO")</f>
        <v>NÃO</v>
      </c>
      <c r="D89" s="546"/>
      <c r="E89" s="18" t="s">
        <v>752</v>
      </c>
      <c r="F89" s="416"/>
      <c r="G89" s="18"/>
      <c r="H89" s="414" t="str">
        <f>IF(OR($F$72="NADA A CUMPRIR",$F$72="NÃO CABE"),"SIM","NÃO")</f>
        <v>NÃO</v>
      </c>
      <c r="I89" s="413" t="str">
        <f>IF(N89="SIM","SIM","NÃO")</f>
        <v>NÃO</v>
      </c>
      <c r="J89" s="414" t="str">
        <f>IF(OR($M$73="NÃO CABE",$M$73="ATENDE"),"SIM","NÃO")</f>
        <v>NÃO</v>
      </c>
      <c r="K89" s="414" t="str">
        <f>IF(OR($M$74="NÃO CABE",$M$74="ATENDE"),"SIM","NÃO")</f>
        <v>SIM</v>
      </c>
      <c r="L89" s="412"/>
      <c r="M89" s="414" t="str">
        <f>IF(OR($M$75="ATENDE",$M$75="OK"),"SIM","NÃO")</f>
        <v>NÃO</v>
      </c>
      <c r="N89" s="414" t="str">
        <f>IF(AND(C89="SIM",H89="SIM",J89="SIM",K89="SIM",M89="SIM"),"SIM","NÃO")</f>
        <v>NÃO</v>
      </c>
      <c r="O89" s="21"/>
      <c r="AC89" s="69"/>
      <c r="AD89" s="70"/>
      <c r="AE89" s="70"/>
      <c r="AF89" s="70"/>
      <c r="AG89" s="69"/>
      <c r="AX89" s="11"/>
      <c r="AY89" s="11"/>
      <c r="AZ89" s="11"/>
      <c r="BA89" s="85"/>
    </row>
    <row r="90" spans="1:64" hidden="1" x14ac:dyDescent="0.15">
      <c r="A90" s="295"/>
      <c r="B90" s="617" t="s">
        <v>455</v>
      </c>
      <c r="C90" s="641" t="str">
        <f>IF(OR($E$71="NADA A CRITICAR",$E$71="ATENDE LIMITE MÍNIMO DE IDADE"),"SIM","NÃO")</f>
        <v>NÃO</v>
      </c>
      <c r="D90" s="649"/>
      <c r="E90" s="617" t="s">
        <v>754</v>
      </c>
      <c r="F90" s="643">
        <f>I67</f>
        <v>0</v>
      </c>
      <c r="G90" s="617"/>
      <c r="H90" s="641" t="str">
        <f>IF(OR($F$72="NADA A CUMPRIR",$F$72="NÃO CABE"),"SIM","NÃO")</f>
        <v>NÃO</v>
      </c>
      <c r="I90" s="644" t="str">
        <f>IF(N90="SIM","SIM","NÃO")</f>
        <v>NÃO</v>
      </c>
      <c r="J90" s="641" t="str">
        <f>IF(OR($M$73="NÃO CABE",$M$73="ATENDE"),"SIM","NÃO")</f>
        <v>NÃO</v>
      </c>
      <c r="K90" s="641" t="str">
        <f>IF(OR($M$74="NÃO CABE",$M$74="ATENDE"),"SIM","NÃO")</f>
        <v>SIM</v>
      </c>
      <c r="L90" s="645"/>
      <c r="M90" s="641" t="str">
        <f>IF(OR($M$75="ATENDE",$M$75="OK"),"SIM","NÃO")</f>
        <v>NÃO</v>
      </c>
      <c r="N90" s="619" t="str">
        <f>IF($N$8&gt;=36145,"NÃO",IF(AND(C90="SIM",H90="SIM",J90="SIM",K90="SIM",M90="SIM"),"SIM","NÃO"))</f>
        <v>NÃO</v>
      </c>
      <c r="O90" s="21"/>
      <c r="AC90" s="69"/>
      <c r="AD90" s="70"/>
      <c r="AE90" s="70"/>
      <c r="AF90" s="70"/>
      <c r="AG90" s="69"/>
      <c r="AX90" s="11"/>
      <c r="AY90" s="11"/>
      <c r="AZ90" s="11"/>
      <c r="BA90" s="85"/>
    </row>
    <row r="91" spans="1:64" hidden="1" thickBot="1" x14ac:dyDescent="0.2">
      <c r="A91" s="295"/>
      <c r="B91" s="18" t="s">
        <v>455</v>
      </c>
      <c r="C91" s="414" t="str">
        <f>IF(OR($E$71="NADA A CRITICAR",$E$71="ATENDE LIMITE MÍNIMO DE IDADE"),"SIM","NÃO")</f>
        <v>NÃO</v>
      </c>
      <c r="D91" s="21"/>
      <c r="E91" s="18" t="s">
        <v>485</v>
      </c>
      <c r="F91" s="416"/>
      <c r="G91" s="18"/>
      <c r="H91" s="414" t="str">
        <f>IF(OR($F$72="NADA A CUMPRIR",$F$72="NÃO CABE"),"SIM","NÃO")</f>
        <v>NÃO</v>
      </c>
      <c r="I91" s="413" t="str">
        <f>IF($D$14="X",IF($N$79="SIM","SIM","NÃO"),"NÃO")</f>
        <v>NÃO</v>
      </c>
      <c r="J91" s="414" t="str">
        <f>IF(OR($M$73="NÃO CABE",$M$73="ATENDE"),"SIM","NÃO")</f>
        <v>NÃO</v>
      </c>
      <c r="K91" s="414" t="str">
        <f>IF(OR($M$74="NÃO CABE",$M$74="ATENDE"),"SIM","NÃO")</f>
        <v>SIM</v>
      </c>
      <c r="L91" s="412"/>
      <c r="M91" s="414" t="str">
        <f>IF(OR($M$75="ATENDE",$M$75="OK"),"SIM","NÃO")</f>
        <v>NÃO</v>
      </c>
      <c r="N91" s="414" t="str">
        <f>IF(AND(C91="SIM",H91="SIM",J91="SIM",K91="SIM",M91="SIM"),"SIM","NÃO")</f>
        <v>NÃO</v>
      </c>
      <c r="O91" s="21"/>
      <c r="AC91" s="69"/>
      <c r="AD91" s="70"/>
      <c r="AE91" s="70"/>
      <c r="AF91" s="70"/>
      <c r="AG91" s="69"/>
      <c r="AX91" s="11"/>
      <c r="AY91" s="11"/>
      <c r="AZ91" s="11"/>
      <c r="BA91" s="85"/>
    </row>
    <row r="92" spans="1:64" ht="15.95" hidden="1" customHeight="1" thickTop="1" x14ac:dyDescent="0.15">
      <c r="C92" s="21"/>
      <c r="D92" s="21"/>
      <c r="F92" s="5"/>
      <c r="G92" s="5"/>
      <c r="H92" s="5"/>
      <c r="I92" s="5"/>
      <c r="J92" s="5"/>
      <c r="K92" s="5"/>
      <c r="L92" s="5"/>
      <c r="M92" s="2"/>
      <c r="N92" s="5"/>
      <c r="O92" s="21"/>
      <c r="AC92" s="69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Z92" s="11"/>
      <c r="BA92" s="85"/>
      <c r="BB92" s="686"/>
      <c r="BC92" s="687">
        <f>SUM(F30:F32)</f>
        <v>0</v>
      </c>
      <c r="BD92" s="687"/>
      <c r="BE92" s="687"/>
      <c r="BF92" s="688"/>
      <c r="BG92" s="688"/>
      <c r="BH92" s="688"/>
      <c r="BI92" s="688" t="s">
        <v>361</v>
      </c>
      <c r="BJ92" s="689" t="s">
        <v>362</v>
      </c>
      <c r="BK92" s="690" t="s">
        <v>362</v>
      </c>
      <c r="BL92" s="691" t="s">
        <v>363</v>
      </c>
    </row>
    <row r="93" spans="1:64" ht="15.95" hidden="1" customHeight="1" thickBot="1" x14ac:dyDescent="0.2">
      <c r="C93" s="21"/>
      <c r="D93" s="21"/>
      <c r="G93" s="5"/>
      <c r="H93" s="5"/>
      <c r="I93" s="5"/>
      <c r="J93" s="5"/>
      <c r="K93" s="5"/>
      <c r="L93" s="5"/>
      <c r="M93" s="2"/>
      <c r="N93" s="5"/>
      <c r="O93" s="21"/>
      <c r="AC93" s="69"/>
      <c r="AD93" s="70"/>
      <c r="AE93" s="70"/>
      <c r="AF93" s="70"/>
      <c r="AG93" s="69"/>
      <c r="AZ93" s="11"/>
      <c r="BA93" s="85"/>
      <c r="BB93" s="692" t="s">
        <v>364</v>
      </c>
      <c r="BC93" s="693">
        <v>5</v>
      </c>
      <c r="BD93" s="693">
        <v>10</v>
      </c>
      <c r="BE93" s="693">
        <v>15</v>
      </c>
      <c r="BF93" s="693">
        <v>20</v>
      </c>
      <c r="BG93" s="694">
        <v>25</v>
      </c>
      <c r="BH93" s="694" t="s">
        <v>365</v>
      </c>
      <c r="BI93" s="695" t="s">
        <v>366</v>
      </c>
      <c r="BJ93" s="696" t="s">
        <v>367</v>
      </c>
      <c r="BK93" s="697">
        <v>34820</v>
      </c>
      <c r="BL93" s="698">
        <v>34851</v>
      </c>
    </row>
    <row r="94" spans="1:64" ht="15.95" hidden="1" customHeight="1" thickBot="1" x14ac:dyDescent="0.2">
      <c r="B94" s="88" t="s">
        <v>449</v>
      </c>
      <c r="C94" s="89"/>
      <c r="D94" s="97" t="s">
        <v>546</v>
      </c>
      <c r="E94" s="98"/>
      <c r="F94" s="99"/>
      <c r="G94" s="5"/>
      <c r="H94" s="5"/>
      <c r="I94" s="5"/>
      <c r="J94" s="5"/>
      <c r="K94" s="5"/>
      <c r="L94" s="5"/>
      <c r="M94" s="2"/>
      <c r="N94" s="5"/>
      <c r="O94" s="21"/>
      <c r="AC94" s="69"/>
      <c r="AD94" s="70"/>
      <c r="AE94" s="70"/>
      <c r="AF94" s="70"/>
      <c r="AG94" s="69"/>
      <c r="AZ94" s="11"/>
      <c r="BA94" s="85"/>
      <c r="BB94" s="692"/>
      <c r="BC94" s="693"/>
      <c r="BD94" s="693"/>
      <c r="BE94" s="693"/>
      <c r="BF94" s="693"/>
      <c r="BG94" s="694"/>
      <c r="BH94" s="694"/>
      <c r="BI94" s="695"/>
      <c r="BJ94" s="696"/>
      <c r="BK94" s="697"/>
      <c r="BL94" s="698"/>
    </row>
    <row r="95" spans="1:64" ht="15.95" hidden="1" customHeight="1" thickBot="1" x14ac:dyDescent="0.2">
      <c r="B95" s="91" t="s">
        <v>450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1"/>
      <c r="AC95" s="69"/>
      <c r="AD95" s="21"/>
      <c r="AE95" s="21"/>
      <c r="AF95" s="21"/>
      <c r="AZ95" s="11"/>
      <c r="BA95" s="85"/>
      <c r="BB95" s="699"/>
      <c r="BC95" s="700">
        <f>(BC92+F45+F59)/365</f>
        <v>0</v>
      </c>
      <c r="BD95" s="701"/>
      <c r="BE95" s="701"/>
      <c r="BF95" s="701"/>
      <c r="BG95" s="701"/>
      <c r="BH95" s="701"/>
      <c r="BI95" s="702">
        <v>0.45</v>
      </c>
      <c r="BJ95" s="703"/>
      <c r="BK95" s="704"/>
      <c r="BL95" s="705" t="s">
        <v>368</v>
      </c>
    </row>
    <row r="96" spans="1:64" ht="15.95" hidden="1" customHeight="1" x14ac:dyDescent="0.15">
      <c r="B96" s="91" t="s">
        <v>455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06" t="s">
        <v>369</v>
      </c>
      <c r="BC96" s="707" t="s">
        <v>370</v>
      </c>
      <c r="BD96" s="708" t="s">
        <v>371</v>
      </c>
      <c r="BE96" s="708" t="s">
        <v>372</v>
      </c>
      <c r="BF96" s="708" t="s">
        <v>373</v>
      </c>
      <c r="BG96" s="708" t="s">
        <v>374</v>
      </c>
      <c r="BH96" s="709" t="s">
        <v>375</v>
      </c>
      <c r="BI96" s="710" t="e">
        <f>#REF!*1.45</f>
        <v>#REF!</v>
      </c>
      <c r="BJ96" s="711">
        <v>80.64</v>
      </c>
      <c r="BK96" s="712">
        <v>100</v>
      </c>
      <c r="BL96" s="713">
        <v>112</v>
      </c>
    </row>
    <row r="97" spans="2:64" ht="15.95" hidden="1" customHeight="1" x14ac:dyDescent="0.15">
      <c r="B97" s="91" t="s">
        <v>467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376</v>
      </c>
      <c r="BC97" s="715" t="s">
        <v>370</v>
      </c>
      <c r="BD97" s="716" t="s">
        <v>371</v>
      </c>
      <c r="BE97" s="716" t="s">
        <v>372</v>
      </c>
      <c r="BF97" s="716" t="s">
        <v>373</v>
      </c>
      <c r="BG97" s="716" t="s">
        <v>374</v>
      </c>
      <c r="BH97" s="717" t="s">
        <v>375</v>
      </c>
      <c r="BI97" s="718" t="e">
        <f>#REF!*1.45</f>
        <v>#REF!</v>
      </c>
      <c r="BJ97" s="719">
        <v>90.32</v>
      </c>
      <c r="BK97" s="720">
        <v>100</v>
      </c>
      <c r="BL97" s="721">
        <v>125.44</v>
      </c>
    </row>
    <row r="98" spans="2:64" ht="15.95" hidden="1" customHeight="1" x14ac:dyDescent="0.15">
      <c r="B98" s="91" t="s">
        <v>468</v>
      </c>
      <c r="C98" s="90"/>
      <c r="D98" s="90"/>
      <c r="E98" s="90"/>
      <c r="F98" s="92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377</v>
      </c>
      <c r="BC98" s="715" t="s">
        <v>371</v>
      </c>
      <c r="BD98" s="716" t="s">
        <v>372</v>
      </c>
      <c r="BE98" s="716" t="s">
        <v>373</v>
      </c>
      <c r="BF98" s="716" t="s">
        <v>374</v>
      </c>
      <c r="BG98" s="716" t="s">
        <v>375</v>
      </c>
      <c r="BH98" s="717" t="s">
        <v>378</v>
      </c>
      <c r="BI98" s="718" t="e">
        <f>#REF!*1.45</f>
        <v>#REF!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91" t="s">
        <v>470</v>
      </c>
      <c r="C99" s="90"/>
      <c r="D99" s="90"/>
      <c r="E99" s="90"/>
      <c r="F99" s="92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379</v>
      </c>
      <c r="BC99" s="715" t="s">
        <v>371</v>
      </c>
      <c r="BD99" s="716" t="s">
        <v>372</v>
      </c>
      <c r="BE99" s="716" t="s">
        <v>373</v>
      </c>
      <c r="BF99" s="716" t="s">
        <v>374</v>
      </c>
      <c r="BG99" s="716" t="s">
        <v>375</v>
      </c>
      <c r="BH99" s="717" t="s">
        <v>378</v>
      </c>
      <c r="BI99" s="718" t="e">
        <f>#REF!*1.45</f>
        <v>#REF!</v>
      </c>
      <c r="BJ99" s="719">
        <v>113.29</v>
      </c>
      <c r="BK99" s="720">
        <v>113.29</v>
      </c>
      <c r="BL99" s="721">
        <v>157.35</v>
      </c>
    </row>
    <row r="100" spans="2:64" ht="15.95" hidden="1" customHeight="1" x14ac:dyDescent="0.15">
      <c r="B100" s="91" t="s">
        <v>471</v>
      </c>
      <c r="C100" s="90"/>
      <c r="D100" s="90"/>
      <c r="E100" s="90"/>
      <c r="F100" s="92"/>
      <c r="G100" s="5"/>
      <c r="H100" s="5"/>
      <c r="I100" s="5"/>
      <c r="J100" s="5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380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 t="e">
        <f>#REF!*1.45</f>
        <v>#REF!</v>
      </c>
      <c r="BJ100" s="719">
        <v>126.89</v>
      </c>
      <c r="BK100" s="720">
        <v>129.88999999999999</v>
      </c>
      <c r="BL100" s="721">
        <v>176.23</v>
      </c>
    </row>
    <row r="101" spans="2:64" ht="15.95" hidden="1" customHeight="1" x14ac:dyDescent="0.15">
      <c r="B101" s="93" t="s">
        <v>472</v>
      </c>
      <c r="C101" s="90"/>
      <c r="D101" s="90"/>
      <c r="E101" s="90"/>
      <c r="F101" s="92"/>
      <c r="G101" s="5"/>
      <c r="H101" s="5"/>
      <c r="I101" s="5"/>
      <c r="J101" s="5"/>
      <c r="K101" s="5"/>
      <c r="L101" s="5"/>
      <c r="M101" s="2"/>
      <c r="N101" s="5"/>
      <c r="O101" s="255"/>
      <c r="AD101" s="70"/>
      <c r="AE101" s="70"/>
      <c r="AF101" s="70"/>
      <c r="AG101" s="69"/>
      <c r="AZ101" s="11"/>
      <c r="BA101" s="85"/>
      <c r="BB101" s="714" t="s">
        <v>328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A134*1.45</f>
        <v>0</v>
      </c>
      <c r="BJ101" s="719">
        <v>80.64</v>
      </c>
      <c r="BK101" s="720">
        <v>100</v>
      </c>
      <c r="BL101" s="721">
        <v>112</v>
      </c>
    </row>
    <row r="102" spans="2:64" ht="15.95" hidden="1" customHeight="1" x14ac:dyDescent="0.15">
      <c r="B102" s="93" t="s">
        <v>487</v>
      </c>
      <c r="C102" s="90"/>
      <c r="D102" s="90"/>
      <c r="E102" s="90"/>
      <c r="F102" s="92"/>
      <c r="G102" s="5"/>
      <c r="H102" s="5"/>
      <c r="I102" s="5"/>
      <c r="J102" s="5"/>
      <c r="K102" s="5"/>
      <c r="L102" s="5"/>
      <c r="M102" s="2"/>
      <c r="N102" s="5"/>
      <c r="O102" s="255"/>
      <c r="AD102" s="70"/>
      <c r="AE102" s="70"/>
      <c r="AF102" s="70"/>
      <c r="AG102" s="69"/>
      <c r="AZ102" s="11"/>
      <c r="BA102" s="85"/>
      <c r="BB102" s="714" t="s">
        <v>382</v>
      </c>
      <c r="BC102" s="715" t="s">
        <v>372</v>
      </c>
      <c r="BD102" s="716" t="s">
        <v>373</v>
      </c>
      <c r="BE102" s="716" t="s">
        <v>374</v>
      </c>
      <c r="BF102" s="716" t="s">
        <v>375</v>
      </c>
      <c r="BG102" s="716" t="s">
        <v>378</v>
      </c>
      <c r="BH102" s="717" t="s">
        <v>381</v>
      </c>
      <c r="BI102" s="718">
        <f>A135*1.45</f>
        <v>0</v>
      </c>
      <c r="BJ102" s="719">
        <v>90.32</v>
      </c>
      <c r="BK102" s="720">
        <v>100</v>
      </c>
      <c r="BL102" s="721">
        <v>125.44</v>
      </c>
    </row>
    <row r="103" spans="2:64" ht="15.95" hidden="1" customHeight="1" thickBot="1" x14ac:dyDescent="0.2">
      <c r="B103" s="94" t="s">
        <v>484</v>
      </c>
      <c r="C103" s="95"/>
      <c r="D103" s="95"/>
      <c r="E103" s="95"/>
      <c r="F103" s="96"/>
      <c r="G103" s="5"/>
      <c r="H103" s="5"/>
      <c r="I103" s="5"/>
      <c r="J103" s="5"/>
      <c r="K103" s="5"/>
      <c r="L103" s="5"/>
      <c r="M103" s="2"/>
      <c r="N103" s="5"/>
      <c r="O103" s="255"/>
      <c r="AD103" s="70"/>
      <c r="AE103" s="70"/>
      <c r="AF103" s="70"/>
      <c r="AG103" s="69"/>
      <c r="AZ103" s="11"/>
      <c r="BA103" s="85"/>
      <c r="BB103" s="714" t="s">
        <v>383</v>
      </c>
      <c r="BC103" s="715" t="s">
        <v>372</v>
      </c>
      <c r="BD103" s="716" t="s">
        <v>373</v>
      </c>
      <c r="BE103" s="716" t="s">
        <v>374</v>
      </c>
      <c r="BF103" s="716" t="s">
        <v>375</v>
      </c>
      <c r="BG103" s="716" t="s">
        <v>378</v>
      </c>
      <c r="BH103" s="717" t="s">
        <v>381</v>
      </c>
      <c r="BI103" s="718">
        <f>A136*1.45</f>
        <v>0</v>
      </c>
      <c r="BJ103" s="719">
        <v>101.15</v>
      </c>
      <c r="BK103" s="720">
        <v>101.15</v>
      </c>
      <c r="BL103" s="721">
        <v>140.4</v>
      </c>
    </row>
    <row r="104" spans="2:64" ht="15.95" hidden="1" customHeight="1" x14ac:dyDescent="0.15">
      <c r="B104" s="3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2"/>
      <c r="N104" s="5"/>
      <c r="O104" s="255"/>
      <c r="AD104" s="70"/>
      <c r="AE104" s="70"/>
      <c r="AF104" s="70"/>
      <c r="AG104" s="69"/>
      <c r="AZ104" s="11"/>
      <c r="BA104" s="85"/>
      <c r="BB104" s="714" t="s">
        <v>384</v>
      </c>
      <c r="BC104" s="715" t="s">
        <v>372</v>
      </c>
      <c r="BD104" s="716" t="s">
        <v>373</v>
      </c>
      <c r="BE104" s="716" t="s">
        <v>374</v>
      </c>
      <c r="BF104" s="716" t="s">
        <v>375</v>
      </c>
      <c r="BG104" s="716" t="s">
        <v>378</v>
      </c>
      <c r="BH104" s="717" t="s">
        <v>381</v>
      </c>
      <c r="BI104" s="718">
        <f>A137*1.45</f>
        <v>1.45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30"/>
      <c r="C105" s="5"/>
      <c r="D105" s="5"/>
      <c r="E105" s="5"/>
      <c r="F105" s="5"/>
      <c r="G105" s="5"/>
      <c r="H105" s="5"/>
      <c r="I105" s="5"/>
      <c r="J105" s="74"/>
      <c r="K105" s="5"/>
      <c r="L105" s="5"/>
      <c r="M105" s="2"/>
      <c r="N105" s="5"/>
      <c r="O105" s="255"/>
      <c r="AD105" s="70"/>
      <c r="AE105" s="70"/>
      <c r="AF105" s="70"/>
      <c r="AG105" s="69"/>
      <c r="AZ105" s="11"/>
      <c r="BA105" s="85"/>
      <c r="BB105" s="714" t="s">
        <v>385</v>
      </c>
      <c r="BC105" s="715" t="s">
        <v>372</v>
      </c>
      <c r="BD105" s="716" t="s">
        <v>373</v>
      </c>
      <c r="BE105" s="716" t="s">
        <v>374</v>
      </c>
      <c r="BF105" s="716" t="s">
        <v>375</v>
      </c>
      <c r="BG105" s="716" t="s">
        <v>378</v>
      </c>
      <c r="BH105" s="717" t="s">
        <v>381</v>
      </c>
      <c r="BI105" s="718">
        <f>A137*1.45</f>
        <v>1.45</v>
      </c>
      <c r="BJ105" s="719">
        <v>126.89</v>
      </c>
      <c r="BK105" s="720">
        <v>126.89</v>
      </c>
      <c r="BL105" s="721">
        <v>176.23</v>
      </c>
    </row>
    <row r="106" spans="2:64" ht="13.5" hidden="1" x14ac:dyDescent="0.15">
      <c r="B106" s="1849" t="s">
        <v>508</v>
      </c>
      <c r="C106" s="1849"/>
      <c r="D106" s="1849"/>
      <c r="E106" s="1849"/>
      <c r="H106" s="5"/>
      <c r="I106" s="37"/>
      <c r="J106" s="5"/>
      <c r="K106" s="27"/>
      <c r="L106" s="6"/>
      <c r="M106" s="27"/>
      <c r="N106" s="60"/>
      <c r="O106" s="255"/>
      <c r="AD106" s="70"/>
      <c r="AE106" s="70"/>
      <c r="AF106" s="70"/>
      <c r="AG106" s="69"/>
      <c r="AZ106" s="11"/>
      <c r="BA106" s="85"/>
      <c r="BB106" s="714" t="s">
        <v>386</v>
      </c>
      <c r="BC106" s="715" t="s">
        <v>372</v>
      </c>
      <c r="BD106" s="716" t="s">
        <v>373</v>
      </c>
      <c r="BE106" s="716" t="s">
        <v>374</v>
      </c>
      <c r="BF106" s="716" t="s">
        <v>375</v>
      </c>
      <c r="BG106" s="716" t="s">
        <v>378</v>
      </c>
      <c r="BH106" s="717" t="s">
        <v>381</v>
      </c>
      <c r="BI106" s="718">
        <f>A138*1.45</f>
        <v>2.9</v>
      </c>
      <c r="BJ106" s="719">
        <v>126.89</v>
      </c>
      <c r="BK106" s="720">
        <v>126.89</v>
      </c>
      <c r="BL106" s="721">
        <v>176.23</v>
      </c>
    </row>
    <row r="107" spans="2:64" hidden="1" thickBot="1" x14ac:dyDescent="0.2">
      <c r="B107" s="34" t="s">
        <v>463</v>
      </c>
      <c r="C107" s="17"/>
      <c r="D107" s="21"/>
      <c r="E107" s="36"/>
      <c r="F107" s="5"/>
      <c r="G107" s="28"/>
      <c r="H107" s="5"/>
      <c r="I107" s="17" t="s">
        <v>463</v>
      </c>
      <c r="J107" s="5" t="str">
        <f>IF(E2=B97,H108,IF(E2=B99,H108,IF(E2=B101,H108,IF(E2=B102,H108,"NÃO CABE"))))</f>
        <v>NÃO CABE</v>
      </c>
      <c r="K107" s="27"/>
      <c r="L107" s="6" t="s">
        <v>510</v>
      </c>
      <c r="M107" s="27"/>
      <c r="N107" s="60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Z107" s="11"/>
      <c r="BA107" s="85"/>
      <c r="BB107" s="714" t="s">
        <v>387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 t="e">
        <f>A139*1.45</f>
        <v>#VALUE!</v>
      </c>
      <c r="BJ107" s="719">
        <v>142.12</v>
      </c>
      <c r="BK107" s="720">
        <v>142.12</v>
      </c>
      <c r="BL107" s="721">
        <v>197.38</v>
      </c>
    </row>
    <row r="108" spans="2:64" hidden="1" thickBot="1" x14ac:dyDescent="0.2">
      <c r="B108" s="34" t="s">
        <v>485</v>
      </c>
      <c r="C108" s="17"/>
      <c r="D108" s="16"/>
      <c r="E108" s="57" t="str">
        <f>IF($F$108="NÃO CABE","NÃO CABE",IF($G$10="X",$F$108/30,$F$108/35))</f>
        <v>NÃO CABE</v>
      </c>
      <c r="F108" s="10" t="str">
        <f>IF(E2="VOLUNTÁRIA ESPECIAL","NÃO CABE",IF(E2="VOLUNTÁRIA INTEGRAL","NÃO CABE",IF(E2="COMPULSÓRIA INTEGRAL","NÃO CABE",IF(E2="INVALIDEZ INTEGRAL","NÃO CABE",ROUNDDOWN(F61/365,0)))))</f>
        <v>NÃO CABE</v>
      </c>
      <c r="G108" s="28"/>
      <c r="H108" s="14">
        <f>IF(E108&gt;1,1,E108)</f>
        <v>1</v>
      </c>
      <c r="I108" s="17" t="s">
        <v>485</v>
      </c>
      <c r="J108" s="5" t="str">
        <f>IF($E$2=$B$97,H108,IF($E$2=$B$99,H108,IF($E$2=$B$101,H108,"NÃO CABE")))</f>
        <v>NÃO CABE</v>
      </c>
      <c r="K108" s="27"/>
      <c r="L108" s="57" t="str">
        <f>IF($F$108="NÃO CABE","NÃO CABE",IF($G$10="X",$F$61/10950,$F$61/12775))</f>
        <v>NÃO CABE</v>
      </c>
      <c r="M108" s="14">
        <f>IF(L108&gt;1,1,L108)</f>
        <v>1</v>
      </c>
      <c r="N108" s="5" t="str">
        <f>IF($E$2=$B$97,M108,IF($E$2=$B$99,M108,IF($E$2=$B$101,M108,"NÃO CABE")))</f>
        <v>NÃO CABE</v>
      </c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Z108" s="11"/>
      <c r="BA108" s="85"/>
      <c r="BB108" s="714" t="s">
        <v>389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A141*1.45</f>
        <v>5.8</v>
      </c>
      <c r="BJ108" s="719">
        <v>90.32</v>
      </c>
      <c r="BK108" s="720">
        <v>100</v>
      </c>
      <c r="BL108" s="721">
        <v>125.44</v>
      </c>
    </row>
    <row r="109" spans="2:64" hidden="1" thickBot="1" x14ac:dyDescent="0.2">
      <c r="B109" s="34" t="s">
        <v>476</v>
      </c>
      <c r="C109" s="17"/>
      <c r="D109" s="16"/>
      <c r="E109" s="58" t="str">
        <f>IF(E2=B102,IF(C65&gt;0,"TEMPO A CUMPRIR",IF(F109=1,75%,IF(F109=2,80%,IF(F109=3,85%,IF(F109=4,90%,IF(F109=5,95%,IF(F109&gt;=6,100%,70%))))))),"NÃO CABE")</f>
        <v>NÃO CABE</v>
      </c>
      <c r="F109" s="10">
        <f>IF(G10="X",ROUNDDOWN((F61-(25*365+E43))/365,0),ROUNDDOWN((F61-(30*365+E43))/365,0))</f>
        <v>-37</v>
      </c>
      <c r="G109" s="28"/>
      <c r="I109" s="17" t="s">
        <v>476</v>
      </c>
      <c r="J109" s="5" t="str">
        <f>IF(E2=B102,E109,"NÃO CABE")</f>
        <v>NÃO CABE</v>
      </c>
      <c r="K109" s="27"/>
      <c r="L109" s="65"/>
      <c r="M109" s="66">
        <f>O10</f>
        <v>0</v>
      </c>
      <c r="N109" s="60">
        <v>38037</v>
      </c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Z109" s="11"/>
      <c r="BA109" s="85"/>
      <c r="BB109" s="714" t="s">
        <v>390</v>
      </c>
      <c r="BC109" s="715" t="s">
        <v>373</v>
      </c>
      <c r="BD109" s="716" t="s">
        <v>374</v>
      </c>
      <c r="BE109" s="716" t="s">
        <v>375</v>
      </c>
      <c r="BF109" s="716" t="s">
        <v>378</v>
      </c>
      <c r="BG109" s="716" t="s">
        <v>381</v>
      </c>
      <c r="BH109" s="717" t="s">
        <v>388</v>
      </c>
      <c r="BI109" s="718"/>
      <c r="BJ109" s="719"/>
      <c r="BK109" s="720"/>
      <c r="BL109" s="721"/>
    </row>
    <row r="110" spans="2:64" hidden="1" thickBot="1" x14ac:dyDescent="0.2">
      <c r="B110" s="35" t="s">
        <v>464</v>
      </c>
      <c r="C110" s="33"/>
      <c r="D110" s="16"/>
      <c r="E110" s="36" t="s">
        <v>457</v>
      </c>
      <c r="F110" s="5">
        <f>IF($D$12="X",50-$N$11,55-$N$11)</f>
        <v>55</v>
      </c>
      <c r="G110" s="28"/>
      <c r="H110" s="59" t="str">
        <f>IF($G$10="X",IF($O$9&gt;=17532,IF($O$10&gt;=38718,1-($F$110*0.05),1-($F$110*0.035)),"NÃO CABE"),IF($O$9&gt;=19359,IF($O$10&gt;=38718,1-($F$111*0.05),1-($F$111*0.035)),"NÃO CABE"))</f>
        <v>NÃO CABE</v>
      </c>
      <c r="I110" s="33" t="s">
        <v>464</v>
      </c>
      <c r="J110" s="61" t="str">
        <f>IF(E2=B103,H111,"NÃO CABE")</f>
        <v>NÃO CABE</v>
      </c>
      <c r="K110" s="27"/>
      <c r="L110" s="6"/>
      <c r="M110" s="27"/>
      <c r="N110" s="60"/>
      <c r="O110" s="255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391</v>
      </c>
      <c r="BC110" s="715" t="s">
        <v>373</v>
      </c>
      <c r="BD110" s="716" t="s">
        <v>374</v>
      </c>
      <c r="BE110" s="716" t="s">
        <v>375</v>
      </c>
      <c r="BF110" s="716" t="s">
        <v>378</v>
      </c>
      <c r="BG110" s="716" t="s">
        <v>381</v>
      </c>
      <c r="BH110" s="717" t="s">
        <v>388</v>
      </c>
      <c r="BI110" s="718" t="e">
        <f>A143*1.45</f>
        <v>#VALUE!</v>
      </c>
      <c r="BJ110" s="719">
        <v>101.15</v>
      </c>
      <c r="BK110" s="720">
        <v>101.15</v>
      </c>
      <c r="BL110" s="721">
        <v>140.4</v>
      </c>
    </row>
    <row r="111" spans="2:64" ht="13.5" hidden="1" x14ac:dyDescent="0.15">
      <c r="B111" s="39">
        <v>38717</v>
      </c>
      <c r="C111" s="11">
        <v>38717</v>
      </c>
      <c r="D111" s="16"/>
      <c r="E111" s="36" t="s">
        <v>456</v>
      </c>
      <c r="F111" s="5">
        <f>IF($D$12="X",55-$N$11,60-$N$11)</f>
        <v>60</v>
      </c>
      <c r="G111" s="28"/>
      <c r="H111" s="14">
        <f>IF(H110="NÃO CABE",0,IF(H110&gt;1,1,H110))</f>
        <v>0</v>
      </c>
      <c r="I111" s="18"/>
      <c r="J111" s="5"/>
      <c r="K111" s="27"/>
      <c r="L111" s="6"/>
      <c r="M111" s="27"/>
      <c r="N111" s="60"/>
      <c r="O111" s="255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S111" s="69"/>
      <c r="AX111" s="11"/>
      <c r="AY111" s="11"/>
      <c r="AZ111" s="11"/>
      <c r="BA111" s="85"/>
      <c r="BB111" s="714" t="s">
        <v>392</v>
      </c>
      <c r="BC111" s="715" t="s">
        <v>373</v>
      </c>
      <c r="BD111" s="716" t="s">
        <v>374</v>
      </c>
      <c r="BE111" s="716" t="s">
        <v>375</v>
      </c>
      <c r="BF111" s="716" t="s">
        <v>378</v>
      </c>
      <c r="BG111" s="716" t="s">
        <v>381</v>
      </c>
      <c r="BH111" s="717" t="s">
        <v>388</v>
      </c>
      <c r="BI111" s="718"/>
      <c r="BJ111" s="719"/>
      <c r="BK111" s="720"/>
      <c r="BL111" s="721"/>
    </row>
    <row r="112" spans="2:64" ht="13.5" hidden="1" x14ac:dyDescent="0.15">
      <c r="B112" s="39">
        <v>38718</v>
      </c>
      <c r="C112" s="11">
        <v>38718</v>
      </c>
      <c r="D112" s="8"/>
      <c r="E112" s="63"/>
      <c r="F112" s="6"/>
      <c r="G112" s="6"/>
      <c r="H112" s="6"/>
      <c r="I112" s="18"/>
      <c r="J112" s="9"/>
      <c r="K112" s="5"/>
      <c r="L112" s="6"/>
      <c r="M112" s="10"/>
      <c r="N112" s="11"/>
      <c r="O112" s="255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393</v>
      </c>
      <c r="BC112" s="715" t="s">
        <v>373</v>
      </c>
      <c r="BD112" s="716" t="s">
        <v>374</v>
      </c>
      <c r="BE112" s="716" t="s">
        <v>375</v>
      </c>
      <c r="BF112" s="716" t="s">
        <v>378</v>
      </c>
      <c r="BG112" s="716" t="s">
        <v>381</v>
      </c>
      <c r="BH112" s="717" t="s">
        <v>388</v>
      </c>
      <c r="BI112" s="718">
        <f>A144*1.45</f>
        <v>8.6999999999999993</v>
      </c>
      <c r="BJ112" s="719">
        <v>113.29</v>
      </c>
      <c r="BK112" s="720">
        <v>113.29</v>
      </c>
      <c r="BL112" s="721">
        <v>157.35</v>
      </c>
    </row>
    <row r="113" spans="2:64" ht="13.5" hidden="1" x14ac:dyDescent="0.15">
      <c r="B113" s="62"/>
      <c r="C113" s="38">
        <v>38097</v>
      </c>
      <c r="D113" s="8"/>
      <c r="E113" s="5"/>
      <c r="F113" s="6"/>
      <c r="G113" s="6"/>
      <c r="H113" s="6"/>
      <c r="I113" s="6"/>
      <c r="J113" s="9"/>
      <c r="K113" s="5"/>
      <c r="L113" s="6"/>
      <c r="M113" s="10"/>
      <c r="N113" s="11"/>
      <c r="O113" s="255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394</v>
      </c>
      <c r="BC113" s="715" t="s">
        <v>373</v>
      </c>
      <c r="BD113" s="716" t="s">
        <v>374</v>
      </c>
      <c r="BE113" s="716" t="s">
        <v>375</v>
      </c>
      <c r="BF113" s="716" t="s">
        <v>378</v>
      </c>
      <c r="BG113" s="716" t="s">
        <v>381</v>
      </c>
      <c r="BH113" s="717" t="s">
        <v>388</v>
      </c>
      <c r="BI113" s="718">
        <f>A145*1.45</f>
        <v>10.15</v>
      </c>
      <c r="BJ113" s="719">
        <v>113.29</v>
      </c>
      <c r="BK113" s="720">
        <v>113.29</v>
      </c>
      <c r="BL113" s="721">
        <v>157.35</v>
      </c>
    </row>
    <row r="114" spans="2:64" ht="13.5" hidden="1" x14ac:dyDescent="0.15">
      <c r="B114" s="6"/>
      <c r="C114" s="38"/>
      <c r="D114" s="8"/>
      <c r="E114" s="5"/>
      <c r="F114" s="6"/>
      <c r="G114" s="6"/>
      <c r="H114" s="6"/>
      <c r="I114" s="6"/>
      <c r="J114" s="9"/>
      <c r="K114" s="5"/>
      <c r="L114" s="6"/>
      <c r="M114" s="10"/>
      <c r="N114" s="11"/>
      <c r="O114" s="255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395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1849" t="s">
        <v>477</v>
      </c>
      <c r="C115" s="1849"/>
      <c r="D115" s="1849"/>
      <c r="E115" s="1849"/>
      <c r="F115" s="1849"/>
      <c r="G115" s="1849"/>
      <c r="H115" s="1849"/>
      <c r="I115" s="1849"/>
      <c r="J115" s="1849"/>
      <c r="K115" s="1849" t="s">
        <v>477</v>
      </c>
      <c r="L115" s="1849"/>
      <c r="M115" s="1849"/>
      <c r="N115" s="1849"/>
      <c r="O115" s="1849"/>
      <c r="P115" s="1849"/>
      <c r="Q115" s="1849"/>
      <c r="R115" s="1849"/>
      <c r="S115" s="1849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399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13.049999999999999</v>
      </c>
      <c r="BJ115" s="719">
        <v>126.89</v>
      </c>
      <c r="BK115" s="720">
        <v>126.89</v>
      </c>
      <c r="BL115" s="721">
        <v>176.23</v>
      </c>
    </row>
    <row r="116" spans="2:64" ht="13.5" hidden="1" x14ac:dyDescent="0.15">
      <c r="B116" s="19" t="s">
        <v>480</v>
      </c>
      <c r="C116" s="8"/>
      <c r="D116" s="8"/>
      <c r="E116" s="5"/>
      <c r="F116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6" s="6"/>
      <c r="H116" s="6"/>
      <c r="I116" s="6"/>
      <c r="J116" s="9"/>
      <c r="K116" s="5"/>
      <c r="L116" s="41" t="s">
        <v>450</v>
      </c>
      <c r="M116" s="10"/>
      <c r="N116" s="11"/>
      <c r="O116" s="255" t="b">
        <f>IF(E2=L116,IF(K2=O3,F116,IF(K2=O4,F118,IF(K2=O6,F116,IF(K2=O7,F117,IF(K2=O2,"NADA A CRITICAR","REANALISAR FUNDAMENTAÇÃO E/OU MODALIDADE"))))))</f>
        <v>0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400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6" t="s">
        <v>481</v>
      </c>
      <c r="D117" s="10"/>
      <c r="E117" s="11"/>
      <c r="F117" s="6" t="str">
        <f>IF(G10="X",IF(O9&gt;=I130,"ATENDE LIMITE MÍNIMO DE IDADE","NÃO ATENDE LIMITE MÍNIMO DE IDADE"),IF(O9&gt;=J130,"ATENDE LIMITE MÍNIMO DE IDADE","NÃO ATENDE LIMITE MÍNIMO DE IDADE"))</f>
        <v>NÃO ATENDE LIMITE MÍNIMO DE IDADE</v>
      </c>
      <c r="G117" s="6"/>
      <c r="H117" s="6"/>
      <c r="I117" s="6"/>
      <c r="J117" s="9"/>
      <c r="L117" s="41" t="s">
        <v>455</v>
      </c>
      <c r="O117" s="255" t="str">
        <f>IF(E2=L117,IF(K2=O3,F119,IF(K2=O4,F122,IF(K2=O6,F119,IF(K2=O2,"NADA A CRITICAR","REANALISAR FUNDAMENTAÇÃO E/OU MODALIDADE")))),"REANALISAR FUNDAMENTAÇÃO E/OU MODALIDADE")</f>
        <v>REANALISAR FUNDAMENTAÇÃO E/OU MODALIDADE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14" t="s">
        <v>401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>
        <f>A150*1.45</f>
        <v>15.95</v>
      </c>
      <c r="BJ117" s="719">
        <v>142.12</v>
      </c>
      <c r="BK117" s="720">
        <v>142.12</v>
      </c>
      <c r="BL117" s="721">
        <v>197.38</v>
      </c>
    </row>
    <row r="118" spans="2:64" ht="13.5" hidden="1" x14ac:dyDescent="0.15">
      <c r="B118" s="20" t="s">
        <v>482</v>
      </c>
      <c r="F118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8" s="5"/>
      <c r="L118" s="41" t="s">
        <v>467</v>
      </c>
      <c r="O118" s="254" t="str">
        <f>IF(E2=L118,IF(K2=O3,F120,IF(K2=O2,F120,"REANALISAR FUNDAMENTAÇÃO E/OU MODALIDADE")),"REANALISAR FUNDAMENTAÇÃO E/OU MODALIDADE")</f>
        <v>REANALISAR FUNDAMENTAÇÃO E/OU MODALIDADE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2" t="s">
        <v>402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6" t="s">
        <v>478</v>
      </c>
      <c r="C119" s="8"/>
      <c r="D119" s="8"/>
      <c r="E119" s="5"/>
      <c r="F119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9" s="6"/>
      <c r="H119" s="6"/>
      <c r="I119" s="6"/>
      <c r="J119" s="9"/>
      <c r="K119" s="5"/>
      <c r="L119" s="11" t="s">
        <v>487</v>
      </c>
      <c r="M119" s="10"/>
      <c r="N119" s="11"/>
      <c r="O119" s="255" t="str">
        <f>IF(E2=L119,IF(K2=O4,F121,IF(K2=O2,"NADA A CRITICAR","REANALISAR FUNDAMENTAÇÃO E/OU MODALIDADE")),"REANALISAR FUNDAMENTAÇÃO E/OU MODALIDADE")</f>
        <v>REANALISAR FUNDAMENTAÇÃO E/OU MODALIDADE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14" t="s">
        <v>403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>
        <f>A152*1.45</f>
        <v>18.849999999999998</v>
      </c>
      <c r="BJ119" s="719">
        <v>159.16999999999999</v>
      </c>
      <c r="BK119" s="720">
        <v>159.16999999999999</v>
      </c>
      <c r="BL119" s="721">
        <v>221.06</v>
      </c>
    </row>
    <row r="120" spans="2:64" ht="13.5" hidden="1" x14ac:dyDescent="0.15">
      <c r="B120" s="6" t="s">
        <v>479</v>
      </c>
      <c r="C120" s="8"/>
      <c r="D120" s="8"/>
      <c r="E120" s="5"/>
      <c r="F120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20" s="6"/>
      <c r="H120" s="6"/>
      <c r="I120" s="6"/>
      <c r="J120" s="9"/>
      <c r="K120" s="5"/>
      <c r="L120" s="42" t="s">
        <v>484</v>
      </c>
      <c r="M120" s="10"/>
      <c r="N120" s="11"/>
      <c r="O120" s="255" t="str">
        <f>IF(E2=L120,IF(K2=O5,F118,"REANALISAR FUNDAMENTAÇÃO E/OU MODALIDADE"),"REANALISAR FUNDAMENTAÇÃO E/OU MODALIDADE")</f>
        <v>REANALISAR FUNDAMENTAÇÃO E/OU MODALIDADE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14" t="s">
        <v>404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>
        <f>A153*1.45</f>
        <v>20.3</v>
      </c>
      <c r="BJ120" s="719">
        <v>101.15</v>
      </c>
      <c r="BK120" s="720">
        <v>101.15</v>
      </c>
      <c r="BL120" s="721">
        <v>140.4</v>
      </c>
    </row>
    <row r="121" spans="2:64" hidden="1" x14ac:dyDescent="0.15">
      <c r="B121" s="20" t="s">
        <v>483</v>
      </c>
      <c r="C121" s="43"/>
      <c r="D121" s="43"/>
      <c r="E121" s="44"/>
      <c r="F121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21" s="44"/>
      <c r="H121" s="44"/>
      <c r="I121" s="44"/>
      <c r="J121" s="44"/>
      <c r="K121" s="45"/>
      <c r="L121" s="46" t="s">
        <v>488</v>
      </c>
      <c r="M121" s="46"/>
      <c r="N121" s="47"/>
      <c r="O121" s="255" t="b">
        <f>IF($K$2=$O$2,IF($E$2=$B$98,$F$123,IF(E2=$B$99,$F$123,IF($E$2=$B$100,"EX OFFICIO",IF($E$2=$B$101,"EX OFFICIO","REANALISAR FUNDAMENTAÇÃO E/OU MODALIDADE")))),IF($K$2=$O$3,IF($E$2=$B$98,$F$123,IF($E$2=$B$99,$F$123,IF($E$2=$B$100,"EX OFFICIO",IF($E$2=$B$101,"EX OFFICIO","REANALISAR FUNDAMENTAÇÃO E/OU MODADALIDADE"))))))</f>
        <v>0</v>
      </c>
      <c r="P121" s="3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14" t="s">
        <v>405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20" t="s">
        <v>486</v>
      </c>
      <c r="C122" s="43"/>
      <c r="D122" s="43"/>
      <c r="E122" s="44"/>
      <c r="F122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22" s="44"/>
      <c r="H122" s="44"/>
      <c r="I122" s="44"/>
      <c r="J122" s="44"/>
      <c r="K122" s="46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69"/>
      <c r="AD122" s="70"/>
      <c r="AE122" s="70"/>
      <c r="AF122" s="70"/>
      <c r="AG122" s="69"/>
      <c r="AX122" s="11"/>
      <c r="AY122" s="11"/>
      <c r="AZ122" s="11"/>
      <c r="BA122" s="85"/>
      <c r="BB122" s="723" t="s">
        <v>406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x14ac:dyDescent="0.15">
      <c r="B123" s="44" t="s">
        <v>503</v>
      </c>
      <c r="C123" s="43"/>
      <c r="D123" s="43"/>
      <c r="E123" s="44"/>
      <c r="F123" s="44" t="str">
        <f>IF($N$11&gt;=70,"ATENDE LIMITE MÍNIMO DE IDADE","NÃO ATENDE LIMITE MÍNIMO DE IDADE")</f>
        <v>NÃO ATENDE LIMITE MÍNIMO DE IDADE</v>
      </c>
      <c r="G123" s="44"/>
      <c r="H123" s="44"/>
      <c r="I123" s="44"/>
      <c r="J123" s="44"/>
      <c r="K123" s="46"/>
      <c r="L123" s="48"/>
      <c r="M123" s="48"/>
      <c r="N123" s="47"/>
      <c r="O123" s="255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69"/>
      <c r="AD123" s="70"/>
      <c r="AE123" s="70"/>
      <c r="AF123" s="70"/>
      <c r="AG123" s="69"/>
      <c r="AX123" s="11"/>
      <c r="AY123" s="11"/>
      <c r="AZ123" s="11"/>
      <c r="BA123" s="85"/>
      <c r="BB123" s="723" t="s">
        <v>407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3.5" hidden="1" x14ac:dyDescent="0.15">
      <c r="B124" s="44"/>
      <c r="C124" s="43"/>
      <c r="D124" s="43"/>
      <c r="E124" s="44"/>
      <c r="F124" s="44"/>
      <c r="G124" s="44"/>
      <c r="H124" s="44"/>
      <c r="I124" s="44"/>
      <c r="J124" s="44"/>
      <c r="K124" s="46"/>
      <c r="L124" s="49" t="s">
        <v>498</v>
      </c>
      <c r="M124" s="11"/>
      <c r="N124" s="11"/>
      <c r="O124" s="255"/>
      <c r="P124" s="79"/>
      <c r="Q124" s="79"/>
      <c r="R124" s="79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69"/>
      <c r="AD124" s="70"/>
      <c r="AE124" s="70"/>
      <c r="AF124" s="70"/>
      <c r="AG124" s="69"/>
      <c r="AX124" s="11"/>
      <c r="AY124" s="11"/>
      <c r="AZ124" s="11"/>
      <c r="BA124" s="85"/>
      <c r="BB124" s="723" t="s">
        <v>408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x14ac:dyDescent="0.15">
      <c r="B125" s="50"/>
      <c r="C125" s="50"/>
      <c r="D125" s="50"/>
      <c r="E125" s="50"/>
      <c r="F125" s="50"/>
      <c r="G125" s="50"/>
      <c r="H125" s="50"/>
      <c r="I125" s="50"/>
      <c r="J125" s="50"/>
      <c r="K125" s="51"/>
      <c r="L125" s="11" t="s">
        <v>499</v>
      </c>
      <c r="M125" s="11"/>
      <c r="N125" s="11"/>
      <c r="O125" s="255"/>
      <c r="P125" s="79"/>
      <c r="Q125" s="86">
        <f>IF(K2=O4,IF(E2=B95,R125,IF(E2=B96,R125,IF(E2=B102,R125,IF(G10="X",(30*365)-F61,(35*365)-F61)))),IF(K2=O5,IF(E2=B103,R125,IF(G10="X",(30*365)-F61,(35*365)-F61))))</f>
        <v>15330</v>
      </c>
      <c r="R125" s="86">
        <f>IF($K$2=$O$4,IF($F$61&gt;=($F$37+$E$44),0,($F$37+$E$44)-$F$61),IF($K$2=$O$5,IF($F$61&gt;=($F$37+$E$44),0,($F$37+$E$44)-$F$61)))</f>
        <v>15330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69"/>
      <c r="AD125" s="70"/>
      <c r="AE125" s="70"/>
      <c r="AF125" s="70"/>
      <c r="AG125" s="69"/>
      <c r="AX125" s="11"/>
      <c r="AY125" s="11"/>
      <c r="AZ125" s="11"/>
      <c r="BA125" s="85"/>
      <c r="BB125" s="723" t="s">
        <v>409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3.5" hidden="1" x14ac:dyDescent="0.15">
      <c r="B126" s="52"/>
      <c r="C126" s="52"/>
      <c r="D126" s="52"/>
      <c r="E126" s="52"/>
      <c r="F126" s="52"/>
      <c r="G126" s="52"/>
      <c r="H126" s="52"/>
      <c r="I126" s="52"/>
      <c r="J126" s="52"/>
      <c r="K126" s="53"/>
      <c r="L126" s="42" t="s">
        <v>500</v>
      </c>
      <c r="M126" s="11"/>
      <c r="N126" s="11"/>
      <c r="O126" s="255"/>
      <c r="P126" s="79"/>
      <c r="Q126" s="86" t="b">
        <f>IF(E2="VOLUNTÁRIA ESPECIAL",IF(D12="X",IF(G10="X",(25*365)-F61,(30*365)-F61)),IF(G10="X",(30*365)-F61,(35*365)-F61))</f>
        <v>0</v>
      </c>
      <c r="R126" s="79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69"/>
      <c r="AD126" s="70"/>
      <c r="AE126" s="70"/>
      <c r="AF126" s="70"/>
      <c r="AG126" s="69"/>
      <c r="AX126" s="11"/>
      <c r="AY126" s="11"/>
      <c r="AZ126" s="11"/>
      <c r="BA126" s="85"/>
      <c r="BB126" s="723" t="s">
        <v>410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3.5" hidden="1" x14ac:dyDescent="0.15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17" t="s">
        <v>463</v>
      </c>
      <c r="M127" s="11"/>
      <c r="N127" s="11"/>
      <c r="O127" s="255" t="s">
        <v>504</v>
      </c>
      <c r="P127" s="79"/>
      <c r="Q127" s="87"/>
      <c r="R127" s="86" t="b">
        <f>IF(E2="VOLUNTÁRIA ESPECIAL",IF(D12="X",IF(G10="X",(25*365)-$F$37,(30*365)-$F$37)),IF(G10="X",(30*365)-$F$37,(35*365)-$F$37))</f>
        <v>0</v>
      </c>
      <c r="S127" s="11"/>
      <c r="T127" s="5"/>
      <c r="U127" s="5"/>
      <c r="V127" s="5"/>
      <c r="W127" s="5"/>
      <c r="X127" s="5"/>
      <c r="Y127" s="5"/>
      <c r="Z127" s="5"/>
      <c r="AA127" s="5"/>
      <c r="AB127" s="5"/>
      <c r="AC127" s="69"/>
      <c r="AD127" s="70"/>
      <c r="AE127" s="70"/>
      <c r="AF127" s="70"/>
      <c r="AG127" s="69"/>
      <c r="AX127" s="11"/>
      <c r="AY127" s="11"/>
      <c r="AZ127" s="5"/>
      <c r="BA127" s="724"/>
      <c r="BB127" s="723" t="s">
        <v>411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3.5" hidden="1" customHeight="1" x14ac:dyDescent="0.15">
      <c r="B128" s="6"/>
      <c r="C128" s="1943" t="s">
        <v>459</v>
      </c>
      <c r="D128" s="1943"/>
      <c r="E128" s="1943"/>
      <c r="F128" s="1943" t="s">
        <v>460</v>
      </c>
      <c r="G128" s="1943"/>
      <c r="H128" s="1943"/>
      <c r="I128" s="1943" t="s">
        <v>461</v>
      </c>
      <c r="J128" s="1943"/>
      <c r="K128" s="51"/>
      <c r="L128" s="51"/>
      <c r="M128" s="54"/>
      <c r="N128" s="54"/>
      <c r="O128" s="255" t="s">
        <v>487</v>
      </c>
      <c r="P128" s="78"/>
      <c r="Q128" s="78"/>
      <c r="R128" s="86">
        <f>IF(E2=B102,IF(G10="X",(25*365)-$F$37,(30*365)-$F$37),IF(G10="X",(30*365)-$F$37,(35*365)-$F$37))</f>
        <v>12775</v>
      </c>
      <c r="AX128" s="11"/>
      <c r="AY128" s="11"/>
      <c r="BB128" s="723" t="s">
        <v>412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40" t="s">
        <v>454</v>
      </c>
      <c r="C129" s="40" t="s">
        <v>457</v>
      </c>
      <c r="D129" s="8"/>
      <c r="E129" s="5" t="s">
        <v>456</v>
      </c>
      <c r="F129" s="6" t="s">
        <v>457</v>
      </c>
      <c r="G129" s="6"/>
      <c r="H129" s="6" t="s">
        <v>456</v>
      </c>
      <c r="I129" s="8" t="s">
        <v>457</v>
      </c>
      <c r="J129" s="8" t="s">
        <v>456</v>
      </c>
      <c r="K129" s="51"/>
      <c r="L129" s="18" t="s">
        <v>466</v>
      </c>
      <c r="M129" s="54"/>
      <c r="N129" s="54"/>
      <c r="O129" s="255" t="s">
        <v>509</v>
      </c>
      <c r="P129" s="78"/>
      <c r="Q129" s="86">
        <f>IF(K2=O7,IF($E$2=B95,IF($G$10="X",(30*365)-$F$61,(35*365)-$F$61)),IF($G$10="X",(30*365)-$F$61,(35*365)-$F$61))</f>
        <v>12775</v>
      </c>
      <c r="R129" s="78"/>
      <c r="AX129" s="11"/>
      <c r="AY129" s="11"/>
      <c r="BB129" s="723" t="s">
        <v>413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3.5" hidden="1" customHeight="1" x14ac:dyDescent="0.15">
      <c r="B130" s="16" t="s">
        <v>450</v>
      </c>
      <c r="C130" s="55">
        <f>30*365</f>
        <v>10950</v>
      </c>
      <c r="D130" s="55"/>
      <c r="E130" s="55">
        <f>35*365</f>
        <v>12775</v>
      </c>
      <c r="F130" s="55">
        <v>20089</v>
      </c>
      <c r="G130" s="55"/>
      <c r="H130" s="55">
        <v>21914</v>
      </c>
      <c r="I130" s="55">
        <f>F130-C133</f>
        <v>31039</v>
      </c>
      <c r="J130" s="55">
        <f>H130-E133</f>
        <v>34689</v>
      </c>
      <c r="K130" s="51"/>
      <c r="L130" s="51"/>
      <c r="M130" s="54"/>
      <c r="N130" s="54"/>
      <c r="P130" s="78"/>
      <c r="Q130" s="78"/>
      <c r="R130" s="78"/>
      <c r="AX130" s="11"/>
      <c r="AY130" s="11"/>
      <c r="BB130" s="723" t="s">
        <v>414</v>
      </c>
      <c r="BC130" s="715" t="s">
        <v>396</v>
      </c>
      <c r="BD130" s="716" t="s">
        <v>397</v>
      </c>
      <c r="BE130" s="716" t="s">
        <v>397</v>
      </c>
      <c r="BF130" s="716" t="s">
        <v>398</v>
      </c>
      <c r="BG130" s="716" t="s">
        <v>398</v>
      </c>
      <c r="BH130" s="716" t="s">
        <v>398</v>
      </c>
      <c r="BI130" s="718"/>
      <c r="BJ130" s="719"/>
      <c r="BK130" s="720"/>
      <c r="BL130" s="721"/>
    </row>
    <row r="131" spans="1:64" ht="12.75" hidden="1" customHeight="1" x14ac:dyDescent="0.15">
      <c r="B131" s="16" t="s">
        <v>455</v>
      </c>
      <c r="C131" s="47">
        <f>25*365</f>
        <v>9125</v>
      </c>
      <c r="D131" s="47"/>
      <c r="E131" s="47">
        <f>30*365</f>
        <v>10950</v>
      </c>
      <c r="F131" s="55">
        <v>18264</v>
      </c>
      <c r="G131" s="55"/>
      <c r="H131" s="55">
        <v>20089</v>
      </c>
      <c r="I131" s="47">
        <f>ROUNDDOWN(I130/365,0)</f>
        <v>85</v>
      </c>
      <c r="J131" s="47">
        <f>ROUNDDOWN(J130/365,0)</f>
        <v>95</v>
      </c>
      <c r="K131" s="51"/>
      <c r="L131" s="51"/>
      <c r="M131" s="54"/>
      <c r="N131" s="54"/>
      <c r="P131" s="78"/>
      <c r="Q131" s="78"/>
      <c r="R131" s="78"/>
      <c r="AX131" s="11"/>
      <c r="AY131" s="11"/>
      <c r="BB131" s="723" t="s">
        <v>415</v>
      </c>
      <c r="BC131" s="715" t="s">
        <v>396</v>
      </c>
      <c r="BD131" s="716" t="s">
        <v>397</v>
      </c>
      <c r="BE131" s="716" t="s">
        <v>397</v>
      </c>
      <c r="BF131" s="716" t="s">
        <v>398</v>
      </c>
      <c r="BG131" s="716" t="s">
        <v>398</v>
      </c>
      <c r="BH131" s="716" t="s">
        <v>398</v>
      </c>
      <c r="BI131" s="718"/>
      <c r="BJ131" s="719"/>
      <c r="BK131" s="720"/>
      <c r="BL131" s="721"/>
    </row>
    <row r="132" spans="1:64" ht="12.75" hidden="1" customHeight="1" x14ac:dyDescent="0.15">
      <c r="B132" s="48"/>
      <c r="C132" s="48"/>
      <c r="D132" s="48"/>
      <c r="E132" s="46"/>
      <c r="F132" s="48"/>
      <c r="G132" s="48"/>
      <c r="H132" s="48"/>
      <c r="I132" s="48"/>
      <c r="J132" s="46"/>
      <c r="K132" s="51"/>
      <c r="L132" s="51"/>
      <c r="M132" s="54"/>
      <c r="N132" s="54"/>
      <c r="AX132" s="5"/>
      <c r="AY132" s="5"/>
      <c r="BB132" s="723" t="s">
        <v>416</v>
      </c>
      <c r="BC132" s="715" t="s">
        <v>396</v>
      </c>
      <c r="BD132" s="716" t="s">
        <v>397</v>
      </c>
      <c r="BE132" s="716" t="s">
        <v>397</v>
      </c>
      <c r="BF132" s="716" t="s">
        <v>398</v>
      </c>
      <c r="BG132" s="716" t="s">
        <v>398</v>
      </c>
      <c r="BH132" s="716" t="s">
        <v>398</v>
      </c>
      <c r="BI132" s="718"/>
      <c r="BJ132" s="719"/>
      <c r="BK132" s="720"/>
      <c r="BL132" s="721"/>
    </row>
    <row r="133" spans="1:64" ht="12.75" hidden="1" customHeight="1" x14ac:dyDescent="0.15">
      <c r="B133" s="48" t="s">
        <v>458</v>
      </c>
      <c r="C133" s="56">
        <f>ROUNDDOWN((F61-C130),0)</f>
        <v>-10950</v>
      </c>
      <c r="D133" s="48"/>
      <c r="E133" s="56">
        <f>ROUNDDOWN((F61-E130),0)</f>
        <v>-12775</v>
      </c>
      <c r="F133" s="48"/>
      <c r="G133" s="48"/>
      <c r="H133" s="48"/>
      <c r="I133" s="48"/>
      <c r="J133" s="46"/>
      <c r="K133" s="51"/>
      <c r="L133" s="51"/>
      <c r="M133" s="54"/>
      <c r="N133" s="54"/>
      <c r="BB133" s="723" t="s">
        <v>417</v>
      </c>
      <c r="BC133" s="715" t="s">
        <v>396</v>
      </c>
      <c r="BD133" s="716" t="s">
        <v>397</v>
      </c>
      <c r="BE133" s="716" t="s">
        <v>397</v>
      </c>
      <c r="BF133" s="716" t="s">
        <v>398</v>
      </c>
      <c r="BG133" s="716" t="s">
        <v>398</v>
      </c>
      <c r="BH133" s="716" t="s">
        <v>398</v>
      </c>
      <c r="BI133" s="718"/>
      <c r="BJ133" s="719"/>
      <c r="BK133" s="720"/>
      <c r="BL133" s="721"/>
    </row>
    <row r="134" spans="1:64" ht="12.75" hidden="1" customHeight="1" x14ac:dyDescent="0.15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4"/>
      <c r="N134" s="54"/>
      <c r="BB134" s="723" t="s">
        <v>418</v>
      </c>
      <c r="BC134" s="715" t="s">
        <v>396</v>
      </c>
      <c r="BD134" s="716" t="s">
        <v>397</v>
      </c>
      <c r="BE134" s="716" t="s">
        <v>397</v>
      </c>
      <c r="BF134" s="716" t="s">
        <v>398</v>
      </c>
      <c r="BG134" s="716" t="s">
        <v>398</v>
      </c>
      <c r="BH134" s="716" t="s">
        <v>398</v>
      </c>
      <c r="BI134" s="718"/>
      <c r="BJ134" s="719"/>
      <c r="BK134" s="720"/>
      <c r="BL134" s="721"/>
    </row>
    <row r="135" spans="1:64" ht="12.75" hidden="1" customHeight="1" thickBot="1" x14ac:dyDescent="0.2">
      <c r="B135" s="1848" t="s">
        <v>548</v>
      </c>
      <c r="C135" s="1848"/>
      <c r="D135" s="1848"/>
      <c r="E135" s="1848"/>
      <c r="F135" s="1848"/>
      <c r="G135" s="1848"/>
      <c r="H135" s="1848"/>
      <c r="I135" s="1848"/>
      <c r="J135" s="1848"/>
      <c r="K135" s="1848"/>
      <c r="L135" s="1848"/>
      <c r="M135" s="1848"/>
      <c r="N135" s="1848"/>
      <c r="BB135" s="312"/>
      <c r="BC135" s="313"/>
      <c r="BD135" s="314"/>
      <c r="BE135" s="314"/>
      <c r="BF135" s="315"/>
      <c r="BG135" s="315"/>
      <c r="BH135" s="316"/>
      <c r="BI135" s="317">
        <f>A155*1.45</f>
        <v>23.2</v>
      </c>
      <c r="BJ135" s="318">
        <v>113.29</v>
      </c>
      <c r="BK135" s="319">
        <v>113.29</v>
      </c>
      <c r="BL135" s="320">
        <v>157.35</v>
      </c>
    </row>
    <row r="136" spans="1:64" ht="12.75" hidden="1" customHeight="1" x14ac:dyDescent="0.15">
      <c r="B136" s="51" t="s">
        <v>656</v>
      </c>
      <c r="C136" s="21" t="s">
        <v>657</v>
      </c>
      <c r="D136" s="101">
        <v>36145</v>
      </c>
      <c r="E136" s="101">
        <v>37986</v>
      </c>
      <c r="F136" s="102">
        <v>37986</v>
      </c>
      <c r="G136" s="246" t="s">
        <v>608</v>
      </c>
      <c r="H136" s="51" t="s">
        <v>609</v>
      </c>
      <c r="I136" s="51" t="s">
        <v>610</v>
      </c>
      <c r="J136" s="21" t="s">
        <v>612</v>
      </c>
      <c r="M136" s="40" t="s">
        <v>658</v>
      </c>
      <c r="P136" s="109"/>
      <c r="Q136" s="110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BB136" s="321"/>
      <c r="BC136" s="322"/>
      <c r="BD136" s="322"/>
      <c r="BE136" s="322"/>
      <c r="BF136" s="323"/>
      <c r="BG136" s="323"/>
      <c r="BH136" s="323"/>
      <c r="BI136" s="324"/>
      <c r="BJ136" s="325"/>
      <c r="BK136" s="326"/>
      <c r="BL136" s="327"/>
    </row>
    <row r="137" spans="1:64" ht="12.75" hidden="1" customHeight="1" x14ac:dyDescent="0.15">
      <c r="A137" s="259">
        <v>1</v>
      </c>
      <c r="B137" s="107" t="s">
        <v>549</v>
      </c>
      <c r="C137" s="21" t="s">
        <v>613</v>
      </c>
      <c r="D137" s="104">
        <f>IF(ISERROR(HLOOKUP($N$34,$Q$39:$AA$40,2)),0,HLOOKUP($N$34,$Q$39:$AA$40,2))</f>
        <v>0</v>
      </c>
      <c r="E137" s="105">
        <f>IF(ISERROR(HLOOKUP($O$34,$Q$39:$AA$40,2)),0,HLOOKUP($O$34,$Q$39:$AA$40,2))</f>
        <v>0</v>
      </c>
      <c r="F137" s="106">
        <f>IF(ISERROR(HLOOKUP($O$60,$Q$39:$AA$40,2)),0,HLOOKUP($O$60,$Q$39:$AA$40,2))</f>
        <v>0</v>
      </c>
      <c r="G137" s="21" t="s">
        <v>611</v>
      </c>
      <c r="J137" s="21" t="s">
        <v>611</v>
      </c>
      <c r="M137" s="21" t="s">
        <v>659</v>
      </c>
      <c r="P137" s="328"/>
      <c r="Q137" s="328"/>
      <c r="R137" s="5"/>
      <c r="S137" s="8"/>
      <c r="T137" s="5"/>
      <c r="U137" s="5"/>
      <c r="V137" s="5"/>
      <c r="W137" s="27"/>
      <c r="X137" s="5"/>
      <c r="Y137" s="5"/>
      <c r="Z137" s="100"/>
      <c r="AA137" s="5"/>
      <c r="AB137" s="5"/>
      <c r="BB137" s="321"/>
      <c r="BC137" s="322"/>
      <c r="BD137" s="322"/>
      <c r="BE137" s="322"/>
      <c r="BF137" s="323"/>
      <c r="BG137" s="323"/>
      <c r="BH137" s="323"/>
      <c r="BI137" s="324"/>
      <c r="BJ137" s="325"/>
      <c r="BK137" s="326"/>
      <c r="BL137" s="327"/>
    </row>
    <row r="138" spans="1:64" ht="12.75" hidden="1" customHeight="1" x14ac:dyDescent="0.15">
      <c r="A138" s="259">
        <v>2</v>
      </c>
      <c r="B138" s="51" t="s">
        <v>550</v>
      </c>
      <c r="C138" s="21" t="s">
        <v>527</v>
      </c>
      <c r="D138" s="104">
        <f>IF(ISERROR(HLOOKUP($J$138,$Q$26:$AT$27,2)),0,HLOOKUP($J$138,$Q$26:$AT$27,2))</f>
        <v>0</v>
      </c>
      <c r="E138" s="105">
        <f>IF(ISERROR(HLOOKUP($K$138,$Q$26:$AT$27,2)),0,HLOOKUP($K$138,$Q$26:$AT$27,2))</f>
        <v>0</v>
      </c>
      <c r="F138" s="106">
        <f>IF(ISERROR(HLOOKUP($L$138,$Q$26:$AT$27,2)),0,HLOOKUP($L$138,$Q$26:$AT$27,2))</f>
        <v>0</v>
      </c>
      <c r="G138" s="67">
        <f>SUM($F$27:$F$32)</f>
        <v>0</v>
      </c>
      <c r="H138" s="67">
        <f>SUM($F$27:$F$32)+$J$51</f>
        <v>0</v>
      </c>
      <c r="I138" s="67">
        <f>SUM($F$27:$F$32)+$J$51+$J$60</f>
        <v>0</v>
      </c>
      <c r="J138" s="21">
        <f t="shared" ref="J138:J160" si="7">ROUNDDOWN(G138/365,0)</f>
        <v>0</v>
      </c>
      <c r="K138" s="21">
        <f t="shared" ref="K138:K160" si="8">ROUNDDOWN(H138/365,0)</f>
        <v>0</v>
      </c>
      <c r="L138" s="21">
        <f t="shared" ref="L138:L160" si="9">ROUNDDOWN(I138/365,0)</f>
        <v>0</v>
      </c>
      <c r="M138" s="21" t="s">
        <v>660</v>
      </c>
      <c r="P138" s="328"/>
      <c r="Q138" s="328"/>
      <c r="BB138" s="321"/>
      <c r="BC138" s="322"/>
      <c r="BD138" s="322"/>
      <c r="BE138" s="322"/>
      <c r="BF138" s="323"/>
      <c r="BG138" s="323"/>
      <c r="BH138" s="323"/>
      <c r="BI138" s="324"/>
      <c r="BJ138" s="325"/>
      <c r="BK138" s="326"/>
      <c r="BL138" s="327"/>
    </row>
    <row r="139" spans="1:64" ht="12.75" hidden="1" customHeight="1" x14ac:dyDescent="0.15">
      <c r="A139" s="259" t="s">
        <v>554</v>
      </c>
      <c r="B139" s="51" t="s">
        <v>615</v>
      </c>
      <c r="C139" s="21" t="s">
        <v>613</v>
      </c>
      <c r="D139" s="104">
        <f>IF(ISERROR(HLOOKUP($J$139,$Q$45:$AB$46,2)),0,HLOOKUP($J$139,$Q$45:$AB$46,2))</f>
        <v>0</v>
      </c>
      <c r="E139" s="105">
        <f>IF(ISERROR(HLOOKUP($K$139,$Q$45:$AB$46,2)),0,HLOOKUP($K$139,$Q$45:$AB$46,2))</f>
        <v>0</v>
      </c>
      <c r="F139" s="106">
        <f>IF(ISERROR(HLOOKUP($L$139,$Q$45:$AB$46,2)),0,HLOOKUP($L$139,$Q$45:$AB$46,2))</f>
        <v>0</v>
      </c>
      <c r="G139" s="67">
        <f>SUM($F$27:$F$32)</f>
        <v>0</v>
      </c>
      <c r="H139" s="67">
        <f>SUM($F$27:$F$32)+$J$51</f>
        <v>0</v>
      </c>
      <c r="I139" s="67">
        <f>SUM($F$27:$F$32)+$J$51+$J$60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321"/>
      <c r="BC139" s="322"/>
      <c r="BD139" s="322"/>
      <c r="BE139" s="322"/>
      <c r="BF139" s="323"/>
      <c r="BG139" s="323"/>
      <c r="BH139" s="323"/>
      <c r="BI139" s="324"/>
      <c r="BJ139" s="325"/>
      <c r="BK139" s="326"/>
      <c r="BL139" s="327"/>
    </row>
    <row r="140" spans="1:64" ht="12.75" hidden="1" customHeight="1" x14ac:dyDescent="0.15">
      <c r="A140" s="259">
        <v>3</v>
      </c>
      <c r="B140" s="51" t="s">
        <v>551</v>
      </c>
      <c r="C140" s="21" t="s">
        <v>613</v>
      </c>
      <c r="D140" s="104">
        <f>IF(ISERROR(HLOOKUP($J$140,$Q$48:$AB$49,2)),0,HLOOKUP($J$140,$Q$48:$AB$49,2))</f>
        <v>0</v>
      </c>
      <c r="E140" s="105">
        <f>IF(ISERROR(HLOOKUP($K$140,$Q$48:$AB$49,2)),0,HLOOKUP($K$140,$Q$48:$AB$49,2))</f>
        <v>0</v>
      </c>
      <c r="F140" s="106">
        <f>IF(ISERROR(HLOOKUP($L$140,$Q$48:$AB$49,2)),0,HLOOKUP($L$140,$Q$48:$AB$49,2))</f>
        <v>0</v>
      </c>
      <c r="G140" s="67">
        <f>SUM($F$30:$F$32)</f>
        <v>0</v>
      </c>
      <c r="H140" s="67">
        <f>SUM($F$30:$F$32)+$J$51</f>
        <v>0</v>
      </c>
      <c r="I140" s="67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326"/>
      <c r="BL140" s="327"/>
    </row>
    <row r="141" spans="1:64" ht="12.75" hidden="1" customHeight="1" x14ac:dyDescent="0.15">
      <c r="A141" s="259">
        <v>4</v>
      </c>
      <c r="B141" s="51" t="s">
        <v>552</v>
      </c>
      <c r="C141" s="21" t="s">
        <v>613</v>
      </c>
      <c r="D141" s="104">
        <f>IF(ISERROR(HLOOKUP($J$141,$Q$48:$Z$49,2)),0,HLOOKUP($J$141,$Q$48:$Z$49,2))</f>
        <v>0</v>
      </c>
      <c r="E141" s="105">
        <f>IF(ISERROR(HLOOKUP($K$141,$Q$48:$Z$49,2)),0,HLOOKUP($K$141,$Q$48:$Z$49,2))</f>
        <v>0</v>
      </c>
      <c r="F141" s="106">
        <f>IF(ISERROR(HLOOKUP($L$141,$Q$48:$Z$49,2)),0,HLOOKUP($L$141,$Q$48:$Z$49,2))</f>
        <v>0</v>
      </c>
      <c r="G141" s="67">
        <f>SUM($F$27:$F$32)</f>
        <v>0</v>
      </c>
      <c r="H141" s="67">
        <f>SUM($F$27:$F$32)+$J$51</f>
        <v>0</v>
      </c>
      <c r="I141" s="67">
        <f>SUM($F$27:$F$32)+$J$51+$J$60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/>
      <c r="BD141" s="69" t="s">
        <v>349</v>
      </c>
      <c r="BE141" s="70">
        <v>5</v>
      </c>
      <c r="BF141" s="70">
        <v>10</v>
      </c>
      <c r="BG141" s="70">
        <v>15</v>
      </c>
      <c r="BH141" s="70">
        <v>20</v>
      </c>
      <c r="BI141" s="70">
        <v>25</v>
      </c>
      <c r="BJ141" s="329" t="s">
        <v>365</v>
      </c>
      <c r="BK141" s="326"/>
      <c r="BL141" s="327"/>
    </row>
    <row r="142" spans="1:64" ht="12.75" hidden="1" customHeight="1" x14ac:dyDescent="0.15">
      <c r="A142" s="259">
        <v>5</v>
      </c>
      <c r="B142" s="51" t="s">
        <v>553</v>
      </c>
      <c r="C142" s="21" t="s">
        <v>613</v>
      </c>
      <c r="D142" s="104">
        <f>IF(ISERROR(HLOOKUP($J$142,$Q$48:$AB$49,2)),0,HLOOKUP($J$142,$Q$48:$AB$49,2))</f>
        <v>0</v>
      </c>
      <c r="E142" s="105">
        <f>IF(ISERROR(HLOOKUP($K$142,$Q$48:$AB$49,2)),0,HLOOKUP($K$142,$Q$48:$AB$49,2))</f>
        <v>0</v>
      </c>
      <c r="F142" s="106">
        <f>IF(ISERROR(HLOOKUP($L$142,$Q$48:$AB$49,2)),0,HLOOKUP($L$142,$Q$48:$AB$49,2))</f>
        <v>0</v>
      </c>
      <c r="G142" s="67">
        <f>SUM($F$30:$F$32)</f>
        <v>0</v>
      </c>
      <c r="H142" s="67">
        <f>SUM($F$30:$F$32)+$J$51</f>
        <v>0</v>
      </c>
      <c r="I142" s="67">
        <f>SUM($F$30:$F$32)+$J$51+$J$60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/>
      <c r="BC142" s="330" t="s">
        <v>419</v>
      </c>
      <c r="BD142" s="330" t="s">
        <v>420</v>
      </c>
      <c r="BE142" s="69" t="s">
        <v>421</v>
      </c>
      <c r="BF142" s="69" t="s">
        <v>422</v>
      </c>
      <c r="BG142" s="69" t="s">
        <v>423</v>
      </c>
      <c r="BH142" s="69" t="s">
        <v>424</v>
      </c>
      <c r="BI142" s="69" t="s">
        <v>425</v>
      </c>
      <c r="BJ142" s="69" t="s">
        <v>426</v>
      </c>
      <c r="BK142" s="326"/>
      <c r="BL142" s="327"/>
    </row>
    <row r="143" spans="1:64" ht="12.75" hidden="1" customHeight="1" x14ac:dyDescent="0.15">
      <c r="A143" s="259" t="s">
        <v>555</v>
      </c>
      <c r="B143" s="51" t="s">
        <v>616</v>
      </c>
      <c r="C143" s="21" t="s">
        <v>613</v>
      </c>
      <c r="D143" s="104">
        <f>IF(ISERROR(HLOOKUP($J$143,$Q$48:$V$49,2)),0,HLOOKUP($J$143,$Q$48:$V$49,2))</f>
        <v>0</v>
      </c>
      <c r="E143" s="105">
        <f>IF(ISERROR(HLOOKUP($K$143,$Q$48:$V$49,2)),0,HLOOKUP($K$143,$Q$48:$V$49,2))</f>
        <v>0</v>
      </c>
      <c r="F143" s="106">
        <f>IF(ISERROR(HLOOKUP($L$143,$Q$48:$V$49,2)),0,HLOOKUP($L$143,$Q$48:$V$49,2))</f>
        <v>0</v>
      </c>
      <c r="G143" s="67">
        <f>SUM($F$30:$F$32)</f>
        <v>0</v>
      </c>
      <c r="H143" s="67">
        <f>SUM($F$30:$F$32)+$J$51</f>
        <v>0</v>
      </c>
      <c r="I143" s="67">
        <f>SUM($F$30:$F$32)+$J$51+$J$60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0" t="s">
        <v>427</v>
      </c>
      <c r="BD143" s="330" t="s">
        <v>428</v>
      </c>
      <c r="BE143" s="69" t="s">
        <v>421</v>
      </c>
      <c r="BF143" s="69" t="s">
        <v>422</v>
      </c>
      <c r="BG143" s="69" t="s">
        <v>423</v>
      </c>
      <c r="BH143" s="69" t="s">
        <v>424</v>
      </c>
      <c r="BI143" s="69" t="s">
        <v>425</v>
      </c>
      <c r="BJ143" s="69" t="s">
        <v>426</v>
      </c>
      <c r="BK143" s="326"/>
      <c r="BL143" s="327"/>
    </row>
    <row r="144" spans="1:64" ht="12.75" hidden="1" customHeight="1" x14ac:dyDescent="0.15">
      <c r="A144" s="259">
        <v>6</v>
      </c>
      <c r="B144" s="51" t="s">
        <v>556</v>
      </c>
      <c r="C144" s="21" t="s">
        <v>613</v>
      </c>
      <c r="D144" s="104">
        <f>IF(ISERROR(HLOOKUP($J$144,$Q$48:$AA$49,2)),0,HLOOKUP($J$144,$Q$48:$AA$49,2))</f>
        <v>0</v>
      </c>
      <c r="E144" s="105">
        <f>IF(ISERROR(HLOOKUP(K144,$Q$48:$AA$49,2)),0,HLOOKUP(K144,$Q$48:$AA$49,2))</f>
        <v>0</v>
      </c>
      <c r="F144" s="106">
        <f>IF(ISERROR(HLOOKUP(L144,$Q$48:$AA$49,2)),0,HLOOKUP(L144,$Q$48:$AA$49,2))</f>
        <v>0</v>
      </c>
      <c r="G144" s="396">
        <f>SUM($F$27:$F$33)</f>
        <v>0</v>
      </c>
      <c r="H144" s="103">
        <f>SUM($F$27:$F$33)+$J$51</f>
        <v>0</v>
      </c>
      <c r="I144" s="103">
        <f>SUM($F$27:$F$33)+$J$51+$J$60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330" t="s">
        <v>429</v>
      </c>
      <c r="BD144" s="330" t="s">
        <v>430</v>
      </c>
      <c r="BE144" s="69" t="s">
        <v>421</v>
      </c>
      <c r="BF144" s="69" t="s">
        <v>422</v>
      </c>
      <c r="BG144" s="69" t="s">
        <v>423</v>
      </c>
      <c r="BH144" s="69" t="s">
        <v>424</v>
      </c>
      <c r="BI144" s="69" t="s">
        <v>425</v>
      </c>
      <c r="BJ144" s="69" t="s">
        <v>426</v>
      </c>
      <c r="BK144" s="7"/>
      <c r="BL144" s="7"/>
    </row>
    <row r="145" spans="1:64" ht="12.75" hidden="1" customHeight="1" x14ac:dyDescent="0.15">
      <c r="A145" s="259">
        <v>7</v>
      </c>
      <c r="B145" s="51" t="s">
        <v>557</v>
      </c>
      <c r="C145" s="21" t="s">
        <v>547</v>
      </c>
      <c r="D145" s="104">
        <f>IF(ISERROR(HLOOKUP($J$145,$Q$77:$W$78,2)),0,HLOOKUP($J$145,$Q$77:$W$78,2))</f>
        <v>0</v>
      </c>
      <c r="E145" s="105">
        <f>IF(ISERROR(HLOOKUP(K145,$Q$77:$W$78,2)),0,HLOOKUP(K145,$Q$77:$W$78,2))</f>
        <v>0</v>
      </c>
      <c r="F145" s="106">
        <f>IF(ISERROR(HLOOKUP(L145,$Q$77:$W$78,2)),0,HLOOKUP(L145,$Q$77:$W$78,2))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330" t="s">
        <v>431</v>
      </c>
      <c r="BD145" s="330" t="s">
        <v>430</v>
      </c>
      <c r="BE145" s="69" t="s">
        <v>421</v>
      </c>
      <c r="BF145" s="69" t="s">
        <v>422</v>
      </c>
      <c r="BG145" s="69" t="s">
        <v>423</v>
      </c>
      <c r="BH145" s="69" t="s">
        <v>424</v>
      </c>
      <c r="BI145" s="69" t="s">
        <v>425</v>
      </c>
      <c r="BJ145" s="69" t="s">
        <v>426</v>
      </c>
      <c r="BK145" s="5"/>
      <c r="BL145" s="5"/>
    </row>
    <row r="146" spans="1:64" ht="12.75" hidden="1" customHeight="1" x14ac:dyDescent="0.15">
      <c r="A146" s="259" t="s">
        <v>558</v>
      </c>
      <c r="B146" s="51" t="s">
        <v>614</v>
      </c>
      <c r="C146" s="21" t="s">
        <v>547</v>
      </c>
      <c r="D146" s="104">
        <f>IF(ISERROR(HLOOKUP($J$146,$Q$77:$W$78,2)),0,HLOOKUP($J$146,$Q$77:$W$78,2))</f>
        <v>0</v>
      </c>
      <c r="E146" s="105">
        <f>IF(ISERROR(HLOOKUP(K146,$Q$77:$W$78,2)),0,HLOOKUP(K146,$Q$77:$W$78,2))</f>
        <v>0</v>
      </c>
      <c r="F146" s="106">
        <f>IF(ISERROR(HLOOKUP(L146,$Q$77:$W$78,2)),0,HLOOKUP(L146,$Q$77:$W$78,2))</f>
        <v>0</v>
      </c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 t="s">
        <v>400</v>
      </c>
      <c r="BD146" s="69"/>
      <c r="BE146" s="69" t="s">
        <v>329</v>
      </c>
      <c r="BF146" s="69" t="s">
        <v>356</v>
      </c>
      <c r="BG146" s="69" t="s">
        <v>432</v>
      </c>
      <c r="BH146" s="69" t="s">
        <v>432</v>
      </c>
      <c r="BI146" s="69" t="s">
        <v>432</v>
      </c>
      <c r="BJ146" s="69" t="s">
        <v>432</v>
      </c>
      <c r="BK146" s="5"/>
      <c r="BL146" s="5"/>
    </row>
    <row r="147" spans="1:64" ht="12.75" hidden="1" customHeight="1" x14ac:dyDescent="0.15">
      <c r="A147" s="259">
        <v>8</v>
      </c>
      <c r="B147" s="51" t="s">
        <v>559</v>
      </c>
      <c r="C147" s="21" t="s">
        <v>547</v>
      </c>
      <c r="D147" s="104">
        <f>IF(ISERROR(HLOOKUP($J$147,$Q$73:$W$74,2)),0,HLOOKUP($J$147,$Q$73:$W$74,2))</f>
        <v>0</v>
      </c>
      <c r="E147" s="105">
        <f>IF(ISERROR(HLOOKUP(K147,$Q$73:$W$74,2)),0,HLOOKUP(K147,$Q$73:$W$74,2))</f>
        <v>0</v>
      </c>
      <c r="F147" s="106">
        <f>IF(ISERROR(HLOOKUP(L147,$Q$73:$W$74,2)),0,HLOOKUP(L147,$Q$73:$W$74,2))</f>
        <v>0</v>
      </c>
      <c r="G147" s="396">
        <f>SUM($F$27:$F$32)</f>
        <v>0</v>
      </c>
      <c r="H147" s="103">
        <f>SUM($F$27:$F$32)+$J$51</f>
        <v>0</v>
      </c>
      <c r="I147" s="103">
        <f>SUM($F$27:$F$32)+$J$51+$J$60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>
        <v>26</v>
      </c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9</v>
      </c>
      <c r="B148" s="51" t="s">
        <v>560</v>
      </c>
      <c r="C148" s="21" t="s">
        <v>547</v>
      </c>
      <c r="D148" s="104">
        <f>IF(ISERROR(HLOOKUP($J$148,$Q$77:$W$78,2)),0,HLOOKUP($J$148,$Q$77:$W$78,2))</f>
        <v>0</v>
      </c>
      <c r="E148" s="105">
        <f>IF(ISERROR(HLOOKUP(K148,$Q$77:$W$78,2)),0,HLOOKUP(K148,$Q$77:$W$78,2))</f>
        <v>0</v>
      </c>
      <c r="F148" s="106">
        <f>IF(ISERROR(HLOOKUP(L148,$Q$77:$W$78,2)),0,HLOOKUP(L148,$Q$77:$W$78,2))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BB148" s="69"/>
      <c r="BC148" s="331"/>
      <c r="BD148" s="116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10</v>
      </c>
      <c r="B149" s="51" t="s">
        <v>561</v>
      </c>
      <c r="C149" s="21" t="s">
        <v>613</v>
      </c>
      <c r="D149" s="104">
        <f>IF(ISERROR(HLOOKUP($J$149,$Q$39:$Y$40,2)),0,HLOOKUP($J$149,$Q$39:$Y$40,2))</f>
        <v>0</v>
      </c>
      <c r="E149" s="105">
        <f>IF(ISERROR(HLOOKUP(K149,$Q$39:$Y$40,2)),0,HLOOKUP(K149,$Q$39:$Y$40,2))</f>
        <v>0</v>
      </c>
      <c r="F149" s="106">
        <f>IF(ISERROR(HLOOKUP(L149,$Q$39:$Y$40,2)),0,HLOOKUP(L149,$Q$39:$Y$40,2))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BB149" s="69"/>
      <c r="BC149" s="69"/>
      <c r="BD149" s="69"/>
      <c r="BE149" s="69"/>
      <c r="BF149" s="69"/>
      <c r="BG149" s="69"/>
      <c r="BH149" s="69"/>
      <c r="BI149" s="69"/>
      <c r="BJ149" s="69"/>
      <c r="BK149" s="5"/>
      <c r="BL149" s="5"/>
    </row>
    <row r="150" spans="1:64" ht="12.75" hidden="1" customHeight="1" x14ac:dyDescent="0.15">
      <c r="A150" s="259">
        <v>11</v>
      </c>
      <c r="B150" s="51" t="s">
        <v>562</v>
      </c>
      <c r="C150" s="21" t="s">
        <v>547</v>
      </c>
      <c r="D150" s="104">
        <f>IF(ISERROR(HLOOKUP($J$150,$Q$73:$AB$74,2)),0,HLOOKUP($J$150,$Q$73:$AB$74,2))</f>
        <v>0</v>
      </c>
      <c r="E150" s="105">
        <f>IF(ISERROR(HLOOKUP(K150,$Q$73:$AB$74,2)),0,HLOOKUP(K150,$Q$73:$AB$74,2))</f>
        <v>0</v>
      </c>
      <c r="F150" s="106">
        <f>IF(ISERROR(HLOOKUP(L150,$Q$73:$AB$74,2)),0,HLOOKUP(L150,$Q$73:$AB$74,2))</f>
        <v>0</v>
      </c>
      <c r="G150" s="396">
        <f>SUM($F$30:$F$32)</f>
        <v>0</v>
      </c>
      <c r="H150" s="103">
        <f>SUM($F$30:$F$32)+$J$51</f>
        <v>0</v>
      </c>
      <c r="I150" s="103">
        <f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BB150" s="69"/>
      <c r="BC150" s="69"/>
      <c r="BD150" s="69"/>
      <c r="BE150" s="69"/>
      <c r="BF150" s="69"/>
      <c r="BG150" s="69"/>
      <c r="BH150" s="69"/>
      <c r="BI150" s="69"/>
      <c r="BJ150" s="69"/>
      <c r="BK150" s="5"/>
      <c r="BL150" s="5"/>
    </row>
    <row r="151" spans="1:64" ht="12.75" hidden="1" customHeight="1" x14ac:dyDescent="0.15">
      <c r="A151" s="259">
        <v>12</v>
      </c>
      <c r="B151" s="51" t="s">
        <v>563</v>
      </c>
      <c r="C151" s="21"/>
      <c r="D151" s="104"/>
      <c r="E151" s="105"/>
      <c r="F151" s="106"/>
      <c r="G151" s="396">
        <f>SUM($F$30:$F$32)</f>
        <v>0</v>
      </c>
      <c r="H151" s="103">
        <f>SUM($F$30:$F$32)+$J$51</f>
        <v>0</v>
      </c>
      <c r="I151" s="103">
        <f>SUM($F$30:$F$32)+$J$51+$J$60</f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BB151" s="69"/>
      <c r="BC151" s="69"/>
      <c r="BD151" s="69"/>
      <c r="BE151" s="69"/>
      <c r="BF151" s="69"/>
      <c r="BG151" s="69"/>
      <c r="BH151" s="69"/>
      <c r="BI151" s="69"/>
      <c r="BJ151" s="69"/>
      <c r="BK151" s="5"/>
      <c r="BL151" s="5"/>
    </row>
    <row r="152" spans="1:64" ht="12.75" hidden="1" customHeight="1" x14ac:dyDescent="0.15">
      <c r="A152" s="259">
        <v>13</v>
      </c>
      <c r="B152" s="51" t="s">
        <v>686</v>
      </c>
      <c r="C152" s="21" t="s">
        <v>527</v>
      </c>
      <c r="D152" s="104">
        <f>IF(ISERROR(HLOOKUP($J$152,$Q$26:$AT$27,2)),0,HLOOKUP($J$152,$Q$26:$AT$27,2))</f>
        <v>0</v>
      </c>
      <c r="E152" s="104">
        <f>IF(ISERROR(HLOOKUP(K152,$Q$26:$AT$27,2)),0,HLOOKUP(K152,$Q$26:$AT$27,2))</f>
        <v>0</v>
      </c>
      <c r="F152" s="104">
        <f>IF(ISERROR(HLOOKUP(L152,$Q$26:$AT$27,2)),0,HLOOKUP(L152,$Q$26:$AT$27,2))</f>
        <v>0</v>
      </c>
      <c r="G152" s="396">
        <f>SUM($F$30:$F$32)</f>
        <v>0</v>
      </c>
      <c r="H152" s="103">
        <f>SUM($F$30:$F$32)+$J$51</f>
        <v>0</v>
      </c>
      <c r="I152" s="103">
        <f>SUM($F$30:$F$32)+$J$51+$J$60</f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BB152" s="69"/>
      <c r="BC152" s="69"/>
      <c r="BD152" s="69"/>
      <c r="BE152" s="69"/>
      <c r="BF152" s="69"/>
      <c r="BG152" s="69"/>
      <c r="BH152" s="69"/>
      <c r="BI152" s="69"/>
      <c r="BJ152" s="69"/>
      <c r="BK152" s="5"/>
      <c r="BL152" s="5"/>
    </row>
    <row r="153" spans="1:64" ht="12.75" hidden="1" customHeight="1" x14ac:dyDescent="0.15">
      <c r="A153" s="259">
        <v>14</v>
      </c>
      <c r="B153" s="51" t="s">
        <v>564</v>
      </c>
      <c r="C153" s="21" t="s">
        <v>613</v>
      </c>
      <c r="D153" s="104">
        <f>IF(ISERROR(HLOOKUP(J153,$Q$48:$AB$49,2)),0,HLOOKUP(J153,$Q$48:$AB$49,2))</f>
        <v>0</v>
      </c>
      <c r="E153" s="104">
        <f>IF(ISERROR(HLOOKUP(K153,$Q$48:$AB$49,2)),0,HLOOKUP(K153,$Q$48:$AB$49,2))</f>
        <v>0</v>
      </c>
      <c r="F153" s="104">
        <f>IF(ISERROR(HLOOKUP(L153,$Q$48:$AB$49,2)),0,HLOOKUP(L153,$Q$48:$AB$49,2))</f>
        <v>0</v>
      </c>
      <c r="G153" s="396">
        <f>SUM($F$27:$F$32)</f>
        <v>0</v>
      </c>
      <c r="H153" s="103">
        <f>SUM($F$27:$F$32)+$J$51</f>
        <v>0</v>
      </c>
      <c r="I153" s="103">
        <f>SUM($F$27:$F$32)+$J$51+$J$60</f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69"/>
      <c r="BC153" s="69"/>
      <c r="BD153" s="69"/>
      <c r="BE153" s="69"/>
      <c r="BF153" s="69"/>
      <c r="BG153" s="69"/>
      <c r="BH153" s="69"/>
      <c r="BI153" s="69"/>
      <c r="BJ153" s="69"/>
      <c r="BK153" s="5"/>
      <c r="BL153" s="5"/>
    </row>
    <row r="154" spans="1:64" ht="12.75" hidden="1" customHeight="1" x14ac:dyDescent="0.15">
      <c r="A154" s="259">
        <v>15</v>
      </c>
      <c r="B154" s="51" t="s">
        <v>565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69" t="s">
        <v>427</v>
      </c>
      <c r="BC154" s="69"/>
      <c r="BD154" s="69"/>
      <c r="BE154" s="69"/>
      <c r="BF154" s="69"/>
      <c r="BG154" s="69"/>
      <c r="BH154" s="69"/>
      <c r="BI154" s="69"/>
      <c r="BJ154" s="69"/>
      <c r="BK154" s="116"/>
      <c r="BL154" s="332"/>
    </row>
    <row r="155" spans="1:64" ht="12.75" hidden="1" customHeight="1" x14ac:dyDescent="0.15">
      <c r="A155" s="259">
        <v>16</v>
      </c>
      <c r="B155" s="51" t="s">
        <v>566</v>
      </c>
      <c r="C155" s="21" t="s">
        <v>527</v>
      </c>
      <c r="D155" s="104">
        <f>IF(ISERROR(HLOOKUP(J155,$Q$26:$AT$27,2)),0,HLOOKUP(J155,$Q$26:$AT$27,2))</f>
        <v>0</v>
      </c>
      <c r="E155" s="104">
        <f>IF(ISERROR(HLOOKUP(K155,$Q$26:$AT$27,2)),0,HLOOKUP(K155,$Q$26:$AT$27,2))</f>
        <v>0</v>
      </c>
      <c r="F155" s="104">
        <f>IF(ISERROR(HLOOKUP(L155,$Q$26:$AT$27,2)),0,HLOOKUP(L155,$Q$26:$AT$27,2))</f>
        <v>0</v>
      </c>
      <c r="G155" s="396">
        <f t="shared" ref="G155:G160" si="10">SUM($F$30:$F$32)</f>
        <v>0</v>
      </c>
      <c r="H155" s="103">
        <f t="shared" ref="H155:H160" si="11">SUM($F$30:$F$32)+$J$51</f>
        <v>0</v>
      </c>
      <c r="I155" s="103">
        <f t="shared" ref="I155:I160" si="12"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69"/>
      <c r="BC155" s="69"/>
      <c r="BD155" s="69"/>
      <c r="BE155" s="333"/>
      <c r="BF155" s="69"/>
      <c r="BG155" s="69"/>
      <c r="BH155" s="69"/>
      <c r="BI155" s="69"/>
      <c r="BJ155" s="69"/>
      <c r="BK155" s="69"/>
      <c r="BL155" s="69"/>
    </row>
    <row r="156" spans="1:64" ht="12.75" hidden="1" customHeight="1" x14ac:dyDescent="0.15">
      <c r="A156" s="259">
        <v>17</v>
      </c>
      <c r="B156" s="51" t="s">
        <v>567</v>
      </c>
      <c r="C156" s="21" t="s">
        <v>547</v>
      </c>
      <c r="D156" s="104">
        <f>IF(ISERROR(HLOOKUP(J156,$Q$73:$V$74,2)),0,HLOOKUP(J156,$Q$73:$V$74,2))</f>
        <v>0</v>
      </c>
      <c r="E156" s="104">
        <f>IF(ISERROR(HLOOKUP(K156,$Q$73:$V$74,2)),0,HLOOKUP(K156,$Q$73:$V$74,2))</f>
        <v>0</v>
      </c>
      <c r="F156" s="104">
        <f>IF(ISERROR(HLOOKUP(L156,$Q$73:$V$74,2)),0,HLOOKUP(L156,$Q$73:$V$74,2))</f>
        <v>0</v>
      </c>
      <c r="G156" s="396">
        <f t="shared" si="10"/>
        <v>0</v>
      </c>
      <c r="H156" s="103">
        <f t="shared" si="11"/>
        <v>0</v>
      </c>
      <c r="I156" s="103">
        <f t="shared" si="12"/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2.75" hidden="1" customHeight="1" x14ac:dyDescent="0.15">
      <c r="A157" s="259">
        <v>18</v>
      </c>
      <c r="B157" s="51" t="s">
        <v>568</v>
      </c>
      <c r="C157" s="21" t="s">
        <v>527</v>
      </c>
      <c r="D157" s="104">
        <f>IF(ISERROR(HLOOKUP(J157,$Q$32:$AF$33,2)),0,HLOOKUP(J157,$Q$32:$AF$33,2))</f>
        <v>0</v>
      </c>
      <c r="E157" s="104">
        <f>IF(ISERROR(HLOOKUP(K157,$Q$32:$AF$33,2)),0,HLOOKUP(K157,$Q$32:$AF$33,2))</f>
        <v>0</v>
      </c>
      <c r="F157" s="104">
        <f>IF(ISERROR(HLOOKUP(L157,$Q$32:$AF$33,2)),0,HLOOKUP(L157,$Q$32:$AF$33,2))</f>
        <v>0</v>
      </c>
      <c r="G157" s="396">
        <f t="shared" si="10"/>
        <v>0</v>
      </c>
      <c r="H157" s="103">
        <f t="shared" si="11"/>
        <v>0</v>
      </c>
      <c r="I157" s="103">
        <f t="shared" si="12"/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  <c r="BB157" s="69"/>
      <c r="BC157" s="69"/>
      <c r="BD157" s="69"/>
      <c r="BE157" s="333"/>
      <c r="BF157" s="69"/>
      <c r="BG157" s="69"/>
      <c r="BH157" s="69"/>
      <c r="BI157" s="69"/>
      <c r="BJ157" s="69"/>
      <c r="BK157" s="69"/>
      <c r="BL157" s="69"/>
    </row>
    <row r="158" spans="1:64" ht="12.75" hidden="1" customHeight="1" x14ac:dyDescent="0.15">
      <c r="A158" s="259">
        <v>19</v>
      </c>
      <c r="B158" s="51" t="s">
        <v>569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 t="shared" si="10"/>
        <v>0</v>
      </c>
      <c r="H158" s="103">
        <f t="shared" si="11"/>
        <v>0</v>
      </c>
      <c r="I158" s="103">
        <f t="shared" si="12"/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  <c r="BB158" s="11"/>
      <c r="BC158" s="5"/>
    </row>
    <row r="159" spans="1:64" ht="12.75" hidden="1" customHeight="1" x14ac:dyDescent="0.15">
      <c r="A159" s="259">
        <v>20</v>
      </c>
      <c r="B159" s="51" t="s">
        <v>570</v>
      </c>
      <c r="C159" s="21" t="s">
        <v>613</v>
      </c>
      <c r="D159" s="104">
        <f t="shared" ref="D159:F160" si="13">IF(ISERROR(HLOOKUP(J159,$Q$39:$Y$40,2)),0,HLOOKUP(J159,$Q$39:$Y$40,2))</f>
        <v>0</v>
      </c>
      <c r="E159" s="104">
        <f t="shared" si="13"/>
        <v>0</v>
      </c>
      <c r="F159" s="104">
        <f t="shared" si="13"/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  <c r="BB159" s="11"/>
      <c r="BC159" s="5"/>
    </row>
    <row r="160" spans="1:64" ht="12.75" hidden="1" customHeight="1" x14ac:dyDescent="0.15">
      <c r="A160" s="259">
        <v>21</v>
      </c>
      <c r="B160" s="51" t="s">
        <v>571</v>
      </c>
      <c r="C160" s="21" t="s">
        <v>613</v>
      </c>
      <c r="D160" s="104">
        <f t="shared" si="13"/>
        <v>0</v>
      </c>
      <c r="E160" s="104">
        <f t="shared" si="13"/>
        <v>0</v>
      </c>
      <c r="F160" s="104">
        <f t="shared" si="13"/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  <c r="BB160" s="11"/>
      <c r="BC160" s="5"/>
    </row>
    <row r="161" spans="1:55" ht="12.75" hidden="1" customHeight="1" x14ac:dyDescent="0.15">
      <c r="A161" s="259">
        <v>22</v>
      </c>
      <c r="B161" s="51" t="s">
        <v>572</v>
      </c>
      <c r="C161" s="21"/>
      <c r="D161" s="334"/>
      <c r="E161" s="335"/>
      <c r="F161" s="336"/>
      <c r="G161" s="397"/>
      <c r="H161" s="51"/>
      <c r="M161" s="21" t="s">
        <v>660</v>
      </c>
      <c r="P161" s="328"/>
      <c r="Q161" s="328"/>
      <c r="AS161" s="5"/>
      <c r="BB161" s="11"/>
      <c r="BC161" s="5"/>
    </row>
    <row r="162" spans="1:55" ht="12.75" hidden="1" customHeight="1" x14ac:dyDescent="0.15">
      <c r="A162" s="259">
        <v>23</v>
      </c>
      <c r="B162" s="51" t="s">
        <v>573</v>
      </c>
      <c r="C162" s="21"/>
      <c r="D162" s="334"/>
      <c r="E162" s="335"/>
      <c r="F162" s="336"/>
      <c r="G162" s="397"/>
      <c r="H162" s="51"/>
      <c r="M162" s="21" t="s">
        <v>660</v>
      </c>
      <c r="P162" s="328"/>
      <c r="Q162" s="328"/>
      <c r="AS162" s="5"/>
    </row>
    <row r="163" spans="1:55" ht="12.75" hidden="1" customHeight="1" x14ac:dyDescent="0.15">
      <c r="A163" s="259">
        <v>24</v>
      </c>
      <c r="B163" s="51" t="s">
        <v>574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>SUM($F$27:$F$32)</f>
        <v>0</v>
      </c>
      <c r="H163" s="103">
        <f>SUM($F$27:$F$32)+$J$51</f>
        <v>0</v>
      </c>
      <c r="I163" s="103">
        <f>SUM($F$27:$F$32)+$J$51+$J$60</f>
        <v>0</v>
      </c>
      <c r="J163" s="21">
        <f t="shared" ref="J163:J194" si="14">ROUNDDOWN(G163/365,0)</f>
        <v>0</v>
      </c>
      <c r="K163" s="21">
        <f t="shared" ref="K163:K194" si="15">ROUNDDOWN(H163/365,0)</f>
        <v>0</v>
      </c>
      <c r="L163" s="21">
        <f t="shared" ref="L163:L194" si="16">ROUNDDOWN(I163/365,0)</f>
        <v>0</v>
      </c>
      <c r="M163" s="21" t="s">
        <v>660</v>
      </c>
      <c r="P163" s="328"/>
      <c r="Q163" s="328"/>
      <c r="AS163" s="5"/>
    </row>
    <row r="164" spans="1:55" ht="12.75" hidden="1" customHeight="1" x14ac:dyDescent="0.15">
      <c r="A164" s="259">
        <v>25</v>
      </c>
      <c r="B164" s="51" t="s">
        <v>580</v>
      </c>
      <c r="C164" s="21" t="s">
        <v>527</v>
      </c>
      <c r="D164" s="104">
        <f>IF(ISERROR(HLOOKUP(J164,$Q$29:$AT$30,2)),0,HLOOKUP(J164,$Q$29:$AT$30,2))</f>
        <v>0</v>
      </c>
      <c r="E164" s="104">
        <f>IF(ISERROR(HLOOKUP(K164,$Q$29:$AT$30,2)),0,HLOOKUP(K164,$Q$29:$AT$30,2))</f>
        <v>0</v>
      </c>
      <c r="F164" s="104">
        <f>IF(ISERROR(HLOOKUP(L164,$Q$29:$AT$30,2)),0,HLOOKUP(L164,$Q$29:$AT$30,2))</f>
        <v>0</v>
      </c>
      <c r="G164" s="396">
        <f>SUM($F$30:$F$32)</f>
        <v>0</v>
      </c>
      <c r="H164" s="103">
        <f>SUM($F$30:$F$32)+$J$51</f>
        <v>0</v>
      </c>
      <c r="I164" s="103">
        <f>SUM($F$30:$F$32)+$J$51+$J$60</f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55" ht="12.75" hidden="1" customHeight="1" x14ac:dyDescent="0.15">
      <c r="A165" s="259">
        <v>26</v>
      </c>
      <c r="B165" s="51" t="s">
        <v>581</v>
      </c>
      <c r="C165" s="21" t="s">
        <v>547</v>
      </c>
      <c r="D165" s="104">
        <f>IF(ISERROR(HLOOKUP(J165,$Q$73:$W$74,2)),0,HLOOKUP(J165,$Q$73:$W$74,2))</f>
        <v>0</v>
      </c>
      <c r="E165" s="104">
        <f>IF(ISERROR(HLOOKUP(K165,$Q$73:$W$74,2)),0,HLOOKUP(K165,$Q$73:$W$74,2))</f>
        <v>0</v>
      </c>
      <c r="F165" s="104">
        <f>IF(ISERROR(HLOOKUP(L165,$Q$73:$W$74,2)),0,HLOOKUP(L165,$Q$73:$W$74,2))</f>
        <v>0</v>
      </c>
      <c r="G165" s="396">
        <f>SUM($F$27:$F$32)</f>
        <v>0</v>
      </c>
      <c r="H165" s="103">
        <f>SUM($F$27:$F$32)+$J$51</f>
        <v>0</v>
      </c>
      <c r="I165" s="103">
        <f>SUM($F$27:$F$32)+$J$51+$J$60</f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55" ht="12.75" hidden="1" customHeight="1" x14ac:dyDescent="0.15">
      <c r="A166" s="259" t="s">
        <v>582</v>
      </c>
      <c r="B166" s="51" t="s">
        <v>684</v>
      </c>
      <c r="C166" s="21" t="s">
        <v>547</v>
      </c>
      <c r="D166" s="104">
        <f>IF(ISERROR(HLOOKUP(J166,$Q$73:$V$74,2)),0,HLOOKUP(J166,$Q$73:$V$74,2))</f>
        <v>0</v>
      </c>
      <c r="E166" s="104">
        <f>IF(ISERROR(HLOOKUP(K166,$Q$73:$V$74,2)),0,HLOOKUP(K166,$Q$73:$V$74,2))</f>
        <v>0</v>
      </c>
      <c r="F166" s="104">
        <f>IF(ISERROR(HLOOKUP(L166,$Q$73:$V$74,2)),0,HLOOKUP(L166,$Q$73:$V$74,2))</f>
        <v>0</v>
      </c>
      <c r="G166" s="396">
        <f>SUM($F$27:$F$32)</f>
        <v>0</v>
      </c>
      <c r="H166" s="103">
        <f>SUM($F$27:$F$32)+$J$51</f>
        <v>0</v>
      </c>
      <c r="I166" s="103">
        <f>SUM($F$27:$F$32)+$J$51+$J$60</f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5"/>
    </row>
    <row r="167" spans="1:55" ht="12.75" hidden="1" customHeight="1" x14ac:dyDescent="0.15">
      <c r="A167" s="259">
        <v>27</v>
      </c>
      <c r="B167" s="51" t="s">
        <v>583</v>
      </c>
      <c r="C167" s="21" t="s">
        <v>613</v>
      </c>
      <c r="D167" s="104">
        <f>IF(ISERROR(HLOOKUP(J167,$Q$48:$Z$49,2)),0,HLOOKUP(J167,$Q$48:$Z$49,2))</f>
        <v>0</v>
      </c>
      <c r="E167" s="104">
        <f>IF(ISERROR(HLOOKUP(K167,$Q$48:$Z$49,2)),0,HLOOKUP(K167,$Q$48:$Z$49,2))</f>
        <v>0</v>
      </c>
      <c r="F167" s="104">
        <f>IF(ISERROR(HLOOKUP(L167,$Q$48:$Z$49,2)),0,HLOOKUP(L167,$Q$48:$Z$49,2))</f>
        <v>0</v>
      </c>
      <c r="G167" s="396">
        <f t="shared" ref="G167:G174" si="17">SUM($F$30:$F$32)</f>
        <v>0</v>
      </c>
      <c r="H167" s="103">
        <f t="shared" ref="H167:H174" si="18">SUM($F$30:$F$32)+$J$51</f>
        <v>0</v>
      </c>
      <c r="I167" s="103">
        <f t="shared" ref="I167:I174" si="19">SUM($F$30:$F$32)+$J$51+$J$60</f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5"/>
    </row>
    <row r="168" spans="1:55" ht="12.75" hidden="1" customHeight="1" x14ac:dyDescent="0.15">
      <c r="A168" s="259">
        <v>28</v>
      </c>
      <c r="B168" s="51" t="s">
        <v>584</v>
      </c>
      <c r="C168" s="21" t="s">
        <v>547</v>
      </c>
      <c r="D168" s="104">
        <f>IF(ISERROR(HLOOKUP(J168,$Q$73:$W$74,2)),0,HLOOKUP(J168,$Q$73:$W$74,2))</f>
        <v>0</v>
      </c>
      <c r="E168" s="104">
        <f>IF(ISERROR(HLOOKUP(K168,$Q$73:$W$74,2)),0,HLOOKUP(K168,$Q$73:$W$74,2))</f>
        <v>0</v>
      </c>
      <c r="F168" s="104">
        <f>IF(ISERROR(HLOOKUP(L168,$Q$73:$W$74,2)),0,HLOOKUP(L168,$Q$73:$W$74,2))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21" t="s">
        <v>660</v>
      </c>
      <c r="P168" s="328"/>
      <c r="Q168" s="328"/>
      <c r="AS168" s="5"/>
    </row>
    <row r="169" spans="1:55" ht="12.75" hidden="1" customHeight="1" x14ac:dyDescent="0.15">
      <c r="A169" s="259">
        <v>29</v>
      </c>
      <c r="B169" s="51" t="s">
        <v>585</v>
      </c>
      <c r="C169" s="21" t="s">
        <v>613</v>
      </c>
      <c r="D169" s="104">
        <f>IF(ISERROR(HLOOKUP(J169,$Q$48:$V$49,2)),0,HLOOKUP(J169,$Q$48:$V$49,2))</f>
        <v>0</v>
      </c>
      <c r="E169" s="104">
        <f>IF(ISERROR(HLOOKUP(K169,$Q$48:$V$49,2)),0,HLOOKUP(K169,$Q$48:$V$49,2))</f>
        <v>0</v>
      </c>
      <c r="F169" s="104">
        <f>IF(ISERROR(HLOOKUP(L169,$Q$48:$V$49,2)),0,HLOOKUP(L169,$Q$48:$V$49,2))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21" t="s">
        <v>660</v>
      </c>
      <c r="P169" s="328"/>
      <c r="Q169" s="328"/>
      <c r="AS169" s="5"/>
    </row>
    <row r="170" spans="1:55" ht="13.5" hidden="1" customHeight="1" x14ac:dyDescent="0.15">
      <c r="A170" s="259">
        <v>30</v>
      </c>
      <c r="B170" s="51" t="s">
        <v>586</v>
      </c>
      <c r="C170" s="21" t="s">
        <v>613</v>
      </c>
      <c r="D170" s="104">
        <f>IF(ISERROR(HLOOKUP(J170,$Q$48:$AA$49,2)),0,HLOOKUP(J170,$Q$48:$AA$49,2))</f>
        <v>0</v>
      </c>
      <c r="E170" s="104">
        <f>IF(ISERROR(HLOOKUP(K170,$Q$48:$AA$49,2)),0,HLOOKUP(K170,$Q$48:$AA$49,2))</f>
        <v>0</v>
      </c>
      <c r="F170" s="104">
        <f>IF(ISERROR(HLOOKUP(L170,$Q$48:$AA$49,2)),0,HLOOKUP(L170,$Q$48:$AA$49,2))</f>
        <v>0</v>
      </c>
      <c r="G170" s="396">
        <f t="shared" si="17"/>
        <v>0</v>
      </c>
      <c r="H170" s="103">
        <f t="shared" si="18"/>
        <v>0</v>
      </c>
      <c r="I170" s="103">
        <f t="shared" si="19"/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21" t="s">
        <v>660</v>
      </c>
      <c r="P170" s="328"/>
      <c r="Q170" s="328"/>
      <c r="AS170" s="5"/>
    </row>
    <row r="171" spans="1:55" ht="12.75" hidden="1" customHeight="1" x14ac:dyDescent="0.15">
      <c r="A171" s="259" t="s">
        <v>587</v>
      </c>
      <c r="B171" s="51" t="s">
        <v>685</v>
      </c>
      <c r="C171" s="21" t="s">
        <v>547</v>
      </c>
      <c r="D171" s="104">
        <f>IF(ISERROR(HLOOKUP(J171,$Q$73:$X$74,2)),0,HLOOKUP(J171,$Q$73:$X$74,2))</f>
        <v>0</v>
      </c>
      <c r="E171" s="104">
        <f>IF(ISERROR(HLOOKUP(K171,$Q$73:$X$74,2)),0,HLOOKUP(K171,$Q$73:$X$74,2))</f>
        <v>0</v>
      </c>
      <c r="F171" s="104">
        <f>IF(ISERROR(HLOOKUP(L171,$Q$73:$X$74,2)),0,HLOOKUP(L171,$Q$73:$X$74,2))</f>
        <v>0</v>
      </c>
      <c r="G171" s="396">
        <f t="shared" si="17"/>
        <v>0</v>
      </c>
      <c r="H171" s="103">
        <f t="shared" si="18"/>
        <v>0</v>
      </c>
      <c r="I171" s="103">
        <f t="shared" si="19"/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21" t="s">
        <v>660</v>
      </c>
      <c r="P171" s="328"/>
      <c r="Q171" s="328"/>
      <c r="AS171" s="116"/>
    </row>
    <row r="172" spans="1:55" ht="12.75" hidden="1" customHeight="1" x14ac:dyDescent="0.15">
      <c r="A172" s="259">
        <v>31</v>
      </c>
      <c r="B172" s="51" t="s">
        <v>588</v>
      </c>
      <c r="C172" s="21" t="s">
        <v>613</v>
      </c>
      <c r="D172" s="104">
        <f>IF(ISERROR(HLOOKUP(J172,$Q$42:$AG$43,2)),0,HLOOKUP(J172,$Q$42:$AG$43,2))</f>
        <v>0</v>
      </c>
      <c r="E172" s="104">
        <f>IF(ISERROR(HLOOKUP(K172,$Q$42:$AG$43,2)),0,HLOOKUP(K172,$Q$42:$AG$43,2))</f>
        <v>0</v>
      </c>
      <c r="F172" s="104">
        <f>IF(ISERROR(HLOOKUP(L172,$Q$42:$AG$43,2)),0,HLOOKUP(L172,$Q$42:$AG$43,2))</f>
        <v>0</v>
      </c>
      <c r="G172" s="396">
        <f t="shared" si="17"/>
        <v>0</v>
      </c>
      <c r="H172" s="103">
        <f t="shared" si="18"/>
        <v>0</v>
      </c>
      <c r="I172" s="103">
        <f t="shared" si="19"/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21" t="s">
        <v>660</v>
      </c>
      <c r="P172" s="328"/>
      <c r="Q172" s="328"/>
      <c r="AS172" s="69"/>
    </row>
    <row r="173" spans="1:55" ht="12.75" hidden="1" customHeight="1" x14ac:dyDescent="0.15">
      <c r="A173" s="259">
        <v>32</v>
      </c>
      <c r="B173" s="338" t="s">
        <v>617</v>
      </c>
      <c r="C173" s="21" t="s">
        <v>613</v>
      </c>
      <c r="D173" s="104">
        <f>IF(ISERROR(HLOOKUP(J173,$Q$42:$AA$43,2)),0,HLOOKUP(J173,$Q$42:$AA$43,2))</f>
        <v>0</v>
      </c>
      <c r="E173" s="104">
        <f>IF(ISERROR(HLOOKUP(K173,$Q$42:$AA$43,2)),0,HLOOKUP(K173,$Q$42:$AA$43,2))</f>
        <v>0</v>
      </c>
      <c r="F173" s="104">
        <f>IF(ISERROR(HLOOKUP(L173,$Q$42:$AA$43,2)),0,HLOOKUP(L173,$Q$42:$AA$43,2))</f>
        <v>0</v>
      </c>
      <c r="G173" s="396">
        <f t="shared" si="17"/>
        <v>0</v>
      </c>
      <c r="H173" s="103">
        <f t="shared" si="18"/>
        <v>0</v>
      </c>
      <c r="I173" s="103">
        <f t="shared" si="19"/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S173" s="69"/>
    </row>
    <row r="174" spans="1:55" ht="12.75" hidden="1" customHeight="1" x14ac:dyDescent="0.15">
      <c r="A174" s="259">
        <v>33</v>
      </c>
      <c r="B174" s="338" t="s">
        <v>618</v>
      </c>
      <c r="C174" s="21" t="s">
        <v>613</v>
      </c>
      <c r="D174" s="104">
        <f>IF(ISERROR(HLOOKUP(J174,$Q$39:$AA$40,2)),0,HLOOKUP(J174,$Q$39:$AA$40,2))</f>
        <v>0</v>
      </c>
      <c r="E174" s="104">
        <f>IF(ISERROR(HLOOKUP(K174,$Q$39:$AA$40,2)),0,HLOOKUP(K174,$Q$39:$AA$40,2))</f>
        <v>0</v>
      </c>
      <c r="F174" s="104">
        <f>IF(ISERROR(HLOOKUP(L174,$Q$39:$AA$40,2)),0,HLOOKUP(L174,$Q$39:$AA$40,2))</f>
        <v>0</v>
      </c>
      <c r="G174" s="396">
        <f t="shared" si="17"/>
        <v>0</v>
      </c>
      <c r="H174" s="103">
        <f t="shared" si="18"/>
        <v>0</v>
      </c>
      <c r="I174" s="103">
        <f t="shared" si="19"/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S174" s="69"/>
    </row>
    <row r="175" spans="1:55" ht="12.75" hidden="1" customHeight="1" x14ac:dyDescent="0.15">
      <c r="A175" s="259">
        <v>34</v>
      </c>
      <c r="B175" s="338" t="s">
        <v>619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</row>
    <row r="176" spans="1:55" ht="12.75" hidden="1" customHeight="1" x14ac:dyDescent="0.15">
      <c r="A176" s="259">
        <v>35</v>
      </c>
      <c r="B176" s="338" t="s">
        <v>620</v>
      </c>
      <c r="C176" s="21" t="s">
        <v>613</v>
      </c>
      <c r="D176" s="104">
        <f>IF(ISERROR(HLOOKUP(J176,$Q$39:$AB$40,2)),0,HLOOKUP(J176,$Q$39:$AB$40,2))</f>
        <v>0</v>
      </c>
      <c r="E176" s="104">
        <f>IF(ISERROR(HLOOKUP(K176,$Q$39:$AB$40,2)),0,HLOOKUP(K176,$Q$39:$AB$40,2))</f>
        <v>0</v>
      </c>
      <c r="F176" s="104">
        <f>IF(ISERROR(HLOOKUP(L176,$Q$39:$AB$40,2)),0,HLOOKUP(L176,$Q$39:$AB$40,2))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P176" s="44"/>
      <c r="Q176" s="44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</row>
    <row r="177" spans="1:45" ht="12.75" hidden="1" customHeight="1" x14ac:dyDescent="0.15">
      <c r="A177" s="259">
        <v>36</v>
      </c>
      <c r="B177" s="339" t="s">
        <v>621</v>
      </c>
      <c r="C177" s="21" t="s">
        <v>613</v>
      </c>
      <c r="D177" s="104">
        <f>IF(ISERROR(HLOOKUP(J177,$Q$39:$AA$40,2)),0,HLOOKUP(J177,$Q$39:$AA$40,2))</f>
        <v>0</v>
      </c>
      <c r="E177" s="104">
        <f>IF(ISERROR(HLOOKUP(K177,$Q$39:$AA$40,2)),0,HLOOKUP(K177,$Q$39:$AA$40,2))</f>
        <v>0</v>
      </c>
      <c r="F177" s="104">
        <f>IF(ISERROR(HLOOKUP(L177,$Q$39:$AA$40,2)),0,HLOOKUP(L177,$Q$39:$AA$40,2))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P177" s="44"/>
      <c r="Q177" s="44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</row>
    <row r="178" spans="1:45" ht="12.75" hidden="1" customHeight="1" x14ac:dyDescent="0.15">
      <c r="A178" s="259">
        <v>37</v>
      </c>
      <c r="B178" s="340" t="s">
        <v>622</v>
      </c>
      <c r="C178" s="21" t="s">
        <v>547</v>
      </c>
      <c r="D178" s="104">
        <f t="shared" ref="D178:F179" si="20">IF(ISERROR(HLOOKUP(J178,$Q$73:$AB$74,2)),0,HLOOKUP(J178,$Q$73:$AB$74,2))</f>
        <v>0</v>
      </c>
      <c r="E178" s="104">
        <f t="shared" si="20"/>
        <v>0</v>
      </c>
      <c r="F178" s="104">
        <f t="shared" si="20"/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  <c r="AH178" s="69"/>
      <c r="AI178" s="116"/>
      <c r="AJ178" s="116"/>
      <c r="AK178" s="116"/>
      <c r="AL178" s="69"/>
      <c r="AM178" s="69"/>
      <c r="AN178" s="69"/>
      <c r="AO178" s="69"/>
      <c r="AP178" s="69"/>
      <c r="AQ178" s="69"/>
      <c r="AR178" s="69"/>
      <c r="AS178" s="69"/>
    </row>
    <row r="179" spans="1:45" ht="12.75" hidden="1" customHeight="1" x14ac:dyDescent="0.15">
      <c r="A179" s="259">
        <v>38</v>
      </c>
      <c r="B179" s="340" t="s">
        <v>623</v>
      </c>
      <c r="C179" s="21" t="s">
        <v>547</v>
      </c>
      <c r="D179" s="104">
        <f t="shared" si="20"/>
        <v>0</v>
      </c>
      <c r="E179" s="104">
        <f t="shared" si="20"/>
        <v>0</v>
      </c>
      <c r="F179" s="104">
        <f t="shared" si="20"/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</row>
    <row r="180" spans="1:45" ht="12.75" hidden="1" customHeight="1" thickBot="1" x14ac:dyDescent="0.2">
      <c r="A180" s="259">
        <v>39</v>
      </c>
      <c r="B180" s="340" t="s">
        <v>624</v>
      </c>
      <c r="C180" s="21" t="s">
        <v>613</v>
      </c>
      <c r="D180" s="104">
        <f>IF(ISERROR(HLOOKUP(J180,$Q$48:$Y$49,2)),0,HLOOKUP(J180,$Q$48:$Y$49,2))</f>
        <v>0</v>
      </c>
      <c r="E180" s="104">
        <f>IF(ISERROR(HLOOKUP(K180,$Q$48:$Y$49,2)),0,HLOOKUP(K180,$Q$48:$Y$49,2))</f>
        <v>0</v>
      </c>
      <c r="F180" s="104">
        <f>IF(ISERROR(HLOOKUP(L180,$Q$48:$Y$49,2)),0,HLOOKUP(L180,$Q$48:$Y$49,2))</f>
        <v>0</v>
      </c>
      <c r="G180" s="396">
        <f>SUM($F$30:$F$32)</f>
        <v>0</v>
      </c>
      <c r="H180" s="103">
        <f>SUM($F$30:$F$32)+$J$51</f>
        <v>0</v>
      </c>
      <c r="I180" s="103">
        <f>SUM($F$30:$F$32)+$J$51+$J$60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45" ht="12.75" hidden="1" customHeight="1" x14ac:dyDescent="0.15">
      <c r="A181" s="259">
        <v>40</v>
      </c>
      <c r="B181" s="340" t="s">
        <v>625</v>
      </c>
      <c r="C181" s="21" t="s">
        <v>613</v>
      </c>
      <c r="D181" s="104">
        <f>IF(ISERROR(HLOOKUP(J181,$Q$48:$AA$49,2)),0,HLOOKUP(J181,$Q$48:$AA$49,2))</f>
        <v>0</v>
      </c>
      <c r="E181" s="104">
        <f>IF(ISERROR(HLOOKUP(K181,$Q$48:$AA$49,2)),0,HLOOKUP(K181,$Q$48:$AA$49,2))</f>
        <v>0</v>
      </c>
      <c r="F181" s="104">
        <f>IF(ISERROR(HLOOKUP(L181,$Q$48:$AA$49,2)),0,HLOOKUP(L181,$Q$48:$AA$49,2))</f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N181" s="341" t="s">
        <v>613</v>
      </c>
      <c r="O181" s="256">
        <f>IF(ISERROR(HLOOKUP(J182,$Q$63:$AA$64,2)),0,HLOOKUP(J182,$Q$63:$AA$64,2))</f>
        <v>0</v>
      </c>
      <c r="P181" s="144">
        <f>IF(ISERROR(HLOOKUP(K182,$Q$63:$AA$64,2)),0,HLOOKUP(K182,$Q$63:$AA$64,2))</f>
        <v>0</v>
      </c>
      <c r="Q181" s="144">
        <f>IF(ISERROR(HLOOKUP(L182,$Q$63:$AA$64,2)),0,HLOOKUP(L182,$Q$63:$AA$64,2))</f>
        <v>0</v>
      </c>
      <c r="R181" s="342" t="s">
        <v>695</v>
      </c>
    </row>
    <row r="182" spans="1:45" ht="12.75" hidden="1" customHeight="1" thickBot="1" x14ac:dyDescent="0.2">
      <c r="A182" s="259">
        <v>41</v>
      </c>
      <c r="B182" s="340" t="s">
        <v>626</v>
      </c>
      <c r="C182" s="21" t="str">
        <f>IF($N$8&gt;=$R$182,$P$20,$P$19)</f>
        <v>TRIÊNIO</v>
      </c>
      <c r="D182" s="343">
        <f>IF($C$182=$N$181,$O$181,$O$182)</f>
        <v>0</v>
      </c>
      <c r="E182" s="343">
        <f>IF($C$182=$N$181,$P$181,$P$182)</f>
        <v>0</v>
      </c>
      <c r="F182" s="343">
        <f>IF($C$182=$N$181,$Q$181,$Q$182)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N182" s="344" t="s">
        <v>547</v>
      </c>
      <c r="O182" s="257">
        <f>IF(ISERROR(HLOOKUP(J182,$Q$73:$W$74,2)),0,HLOOKUP(J182,$Q$73:$W$74,2))</f>
        <v>0</v>
      </c>
      <c r="P182" s="145">
        <f>IF(ISERROR(HLOOKUP(K182,$Q$73:$W$74,2)),0,HLOOKUP(K182,$Q$73:$W$74,2))</f>
        <v>0</v>
      </c>
      <c r="Q182" s="145">
        <f>IF(ISERROR(HLOOKUP(L182,$Q$73:$W$74,2)),0,HLOOKUP(L182,$Q$73:$W$74,2))</f>
        <v>0</v>
      </c>
      <c r="R182" s="398">
        <v>36539</v>
      </c>
      <c r="S182" s="103"/>
      <c r="T182" s="103"/>
    </row>
    <row r="183" spans="1:45" ht="12.75" hidden="1" customHeight="1" x14ac:dyDescent="0.15">
      <c r="A183" s="259">
        <v>42</v>
      </c>
      <c r="B183" s="340" t="s">
        <v>627</v>
      </c>
      <c r="C183" s="21"/>
      <c r="D183" s="54"/>
      <c r="E183" s="54"/>
      <c r="F183" s="54"/>
      <c r="G183" s="396">
        <f>SUM($F$27:$F$32)</f>
        <v>0</v>
      </c>
      <c r="H183" s="103">
        <f>SUM($F$27:$F$32)+$J$51</f>
        <v>0</v>
      </c>
      <c r="I183" s="103">
        <f>SUM($F$27:$F$32)+$J$51+$J$60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45" ht="12.75" hidden="1" customHeight="1" x14ac:dyDescent="0.15">
      <c r="A184" s="259">
        <v>43</v>
      </c>
      <c r="B184" s="340" t="s">
        <v>628</v>
      </c>
      <c r="C184" s="21" t="s">
        <v>527</v>
      </c>
      <c r="D184" s="104">
        <f>IF(ISERROR(HLOOKUP(J184,$Q$26:$AY$27,2)),0,HLOOKUP(J184,$Q$26:$AY$27,2))</f>
        <v>0</v>
      </c>
      <c r="E184" s="104">
        <f>IF(ISERROR(HLOOKUP(K184,$Q$26:$AY$27,2)),0,HLOOKUP(K184,$Q$26:$AY$27,2))</f>
        <v>0</v>
      </c>
      <c r="F184" s="104">
        <f>IF(ISERROR(HLOOKUP(L184,$Q$26:$AY$27,2)),0,HLOOKUP(L184,$Q$26:$AY$27,2))</f>
        <v>0</v>
      </c>
      <c r="G184" s="396">
        <f>SUM($F$27:$F$33)</f>
        <v>0</v>
      </c>
      <c r="H184" s="103">
        <f>SUM($F$27:$F$33)+$J$51</f>
        <v>0</v>
      </c>
      <c r="I184" s="103">
        <f>SUM($F$27:$F$33)+$J$51+$J$60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45" ht="12.75" hidden="1" customHeight="1" x14ac:dyDescent="0.15">
      <c r="A185" s="259">
        <v>44</v>
      </c>
      <c r="B185" s="340" t="s">
        <v>629</v>
      </c>
      <c r="C185" s="21" t="s">
        <v>547</v>
      </c>
      <c r="D185" s="104">
        <f t="shared" ref="D185:F186" si="21">IF(ISERROR(HLOOKUP(J185,$Q$73:$W$74,2)),0,HLOOKUP(J185,$Q$73:$W$74,2))</f>
        <v>0</v>
      </c>
      <c r="E185" s="104">
        <f t="shared" si="21"/>
        <v>0</v>
      </c>
      <c r="F185" s="104">
        <f t="shared" si="21"/>
        <v>0</v>
      </c>
      <c r="G185" s="396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45" ht="12.75" hidden="1" customHeight="1" x14ac:dyDescent="0.15">
      <c r="A186" s="259">
        <v>45</v>
      </c>
      <c r="B186" s="340" t="s">
        <v>630</v>
      </c>
      <c r="C186" s="21" t="s">
        <v>547</v>
      </c>
      <c r="D186" s="104">
        <f t="shared" si="21"/>
        <v>0</v>
      </c>
      <c r="E186" s="104">
        <f t="shared" si="21"/>
        <v>0</v>
      </c>
      <c r="F186" s="104">
        <f t="shared" si="21"/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45" ht="12.75" hidden="1" customHeight="1" x14ac:dyDescent="0.15">
      <c r="A187" s="259">
        <v>46</v>
      </c>
      <c r="B187" s="340" t="s">
        <v>631</v>
      </c>
      <c r="C187" s="21" t="s">
        <v>527</v>
      </c>
      <c r="D187" s="104">
        <f>IF(ISERROR(HLOOKUP(J187,$Q$26:$AY$27,2)),0,HLOOKUP(J187,$Q$26:$AY$27,2))</f>
        <v>0</v>
      </c>
      <c r="E187" s="104">
        <f>IF(ISERROR(HLOOKUP(K187,$Q$26:$AY$27,2)),0,HLOOKUP(K187,$Q$26:$AY$27,2))</f>
        <v>0</v>
      </c>
      <c r="F187" s="104">
        <f>IF(ISERROR(HLOOKUP(L187,$Q$26:$AY$27,2)),0,HLOOKUP(L187,$Q$26:$AY$27,2))</f>
        <v>0</v>
      </c>
      <c r="G187" s="396">
        <f>SUM($F$27:$F$32)</f>
        <v>0</v>
      </c>
      <c r="H187" s="103">
        <f>SUM($F$27:$F$32)+$J$51</f>
        <v>0</v>
      </c>
      <c r="I187" s="103">
        <f>SUM($F$27:$F$32)+$J$51+$J$60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45" ht="12.75" hidden="1" customHeight="1" x14ac:dyDescent="0.15">
      <c r="A188" s="259">
        <v>47</v>
      </c>
      <c r="B188" s="340" t="s">
        <v>632</v>
      </c>
      <c r="C188" s="21" t="s">
        <v>613</v>
      </c>
      <c r="D188" s="104">
        <f>IF(ISERROR(HLOOKUP(J188,$Q$48:$Z$49,2)),0,HLOOKUP(J188,$Q$48:$Z$49,2))</f>
        <v>0</v>
      </c>
      <c r="E188" s="104">
        <f>IF(ISERROR(HLOOKUP(K188,$Q$48:$Z$49,2)),0,HLOOKUP(K188,$Q$48:$Z$49,2))</f>
        <v>0</v>
      </c>
      <c r="F188" s="104">
        <f>IF(ISERROR(HLOOKUP(L188,$Q$48:$Z$49,2)),0,HLOOKUP(L188,$Q$48:$Z$49,2))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45" ht="12.75" hidden="1" customHeight="1" x14ac:dyDescent="0.15">
      <c r="A189" s="259">
        <v>48</v>
      </c>
      <c r="B189" s="340" t="s">
        <v>633</v>
      </c>
      <c r="C189" s="21" t="s">
        <v>613</v>
      </c>
      <c r="D189" s="104">
        <f>IF(ISERROR(HLOOKUP(J189,$Q$48:$AJ$49,2)),0,HLOOKUP(J189,$Q$48:$AJ$49,2))</f>
        <v>0</v>
      </c>
      <c r="E189" s="104">
        <f>IF(ISERROR(HLOOKUP(K189,$Q$48:$AJ$49,2)),0,HLOOKUP(K189,$Q$48:$AJ$49,2))</f>
        <v>0</v>
      </c>
      <c r="F189" s="104">
        <f>IF(ISERROR(HLOOKUP(L189,$Q$48:$AJ$49,2)),0,HLOOKUP(L189,$Q$48:$AJ$49,2))</f>
        <v>0</v>
      </c>
      <c r="G189" s="396">
        <f>SUM($F$30:$F$33)</f>
        <v>0</v>
      </c>
      <c r="H189" s="103">
        <f>SUM($F$30:$F$33)+$J$51</f>
        <v>0</v>
      </c>
      <c r="I189" s="103">
        <f>SUM($F$30:$F$33)+$J$51+$J$60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45" ht="12.75" hidden="1" customHeight="1" x14ac:dyDescent="0.15">
      <c r="A190" s="259">
        <v>49</v>
      </c>
      <c r="B190" s="340" t="s">
        <v>634</v>
      </c>
      <c r="C190" s="21" t="s">
        <v>613</v>
      </c>
      <c r="D190" s="104">
        <f>IF(ISERROR(HLOOKUP(J190,$Q$48:$Z$49,2)),0,HLOOKUP(J190,$Q$48:$Z$49,2))</f>
        <v>0</v>
      </c>
      <c r="E190" s="104">
        <f>IF(ISERROR(HLOOKUP(K190,$Q$48:$Z$49,2)),0,HLOOKUP(K190,$Q$48:$Z$49,2))</f>
        <v>0</v>
      </c>
      <c r="F190" s="104">
        <f>IF(ISERROR(HLOOKUP(L190,$Q$48:$Z$49,2)),0,HLOOKUP(L190,$Q$48:$Z$49,2))</f>
        <v>0</v>
      </c>
      <c r="G190" s="396">
        <f>SUM($F$30:$F$33)</f>
        <v>0</v>
      </c>
      <c r="H190" s="103">
        <f>SUM($F$30:$F$33)+$J$51</f>
        <v>0</v>
      </c>
      <c r="I190" s="103">
        <f>SUM($F$30:$F$33)+$J$51+$J$60</f>
        <v>0</v>
      </c>
      <c r="J190" s="21">
        <f t="shared" si="14"/>
        <v>0</v>
      </c>
      <c r="K190" s="21">
        <f t="shared" si="15"/>
        <v>0</v>
      </c>
      <c r="L190" s="21">
        <f t="shared" si="16"/>
        <v>0</v>
      </c>
      <c r="M190" s="78" t="s">
        <v>661</v>
      </c>
      <c r="P190" s="44"/>
      <c r="Q190" s="44"/>
    </row>
    <row r="191" spans="1:45" ht="12.75" hidden="1" customHeight="1" x14ac:dyDescent="0.15">
      <c r="A191" s="259">
        <v>50</v>
      </c>
      <c r="B191" s="340" t="s">
        <v>635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14"/>
        <v>0</v>
      </c>
      <c r="K191" s="21">
        <f t="shared" si="15"/>
        <v>0</v>
      </c>
      <c r="L191" s="21">
        <f t="shared" si="16"/>
        <v>0</v>
      </c>
      <c r="M191" s="78" t="s">
        <v>661</v>
      </c>
      <c r="P191" s="44"/>
      <c r="Q191" s="44"/>
    </row>
    <row r="192" spans="1:45" ht="12.75" hidden="1" customHeight="1" x14ac:dyDescent="0.15">
      <c r="A192" s="259">
        <v>51</v>
      </c>
      <c r="B192" s="340" t="s">
        <v>636</v>
      </c>
      <c r="C192" s="21" t="s">
        <v>613</v>
      </c>
      <c r="D192" s="104">
        <f>IF(ISERROR(HLOOKUP(J192,$Q$39:$AA$40,2)),0,HLOOKUP(J192,$Q$39:$AA$40,2))</f>
        <v>0</v>
      </c>
      <c r="E192" s="104">
        <f>IF(ISERROR(HLOOKUP(K192,$Q$39:$AA$40,2)),0,HLOOKUP(K192,$Q$39:$AA$40,2))</f>
        <v>0</v>
      </c>
      <c r="F192" s="104">
        <f>IF(ISERROR(HLOOKUP(L192,$Q$39:$AA$40,2)),0,HLOOKUP(L192,$Q$39:$AA$40,2))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14"/>
        <v>0</v>
      </c>
      <c r="K192" s="21">
        <f t="shared" si="15"/>
        <v>0</v>
      </c>
      <c r="L192" s="21">
        <f t="shared" si="16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52</v>
      </c>
      <c r="B193" s="340" t="s">
        <v>637</v>
      </c>
      <c r="C193" s="21" t="s">
        <v>613</v>
      </c>
      <c r="D193" s="104">
        <f>IF(ISERROR(HLOOKUP(J193,$Q$66:$X$67,2)),0,HLOOKUP(J193,$Q$66:$X$67,2))</f>
        <v>0</v>
      </c>
      <c r="E193" s="104">
        <f>IF(ISERROR(HLOOKUP(K193,$Q$66:$X$67,2)),0,HLOOKUP(K193,$Q$66:$X$67,2))</f>
        <v>0</v>
      </c>
      <c r="F193" s="104">
        <f>IF(ISERROR(HLOOKUP(L193,$Q$66:$X$67,2)),0,HLOOKUP(L193,$Q$66:$X$67,2))</f>
        <v>0</v>
      </c>
      <c r="G193" s="396">
        <f>SUM($F$27:$F$32)</f>
        <v>0</v>
      </c>
      <c r="H193" s="103">
        <f>SUM($F$27:$F$32)+$J$51</f>
        <v>0</v>
      </c>
      <c r="I193" s="103">
        <f>SUM($F$27:$F$32)+$J$51+$J$60</f>
        <v>0</v>
      </c>
      <c r="J193" s="21">
        <f t="shared" si="14"/>
        <v>0</v>
      </c>
      <c r="K193" s="21">
        <f t="shared" si="15"/>
        <v>0</v>
      </c>
      <c r="L193" s="21">
        <f t="shared" si="16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53</v>
      </c>
      <c r="B194" s="340" t="s">
        <v>638</v>
      </c>
      <c r="C194" s="21" t="s">
        <v>613</v>
      </c>
      <c r="D194" s="104">
        <f>IF(ISERROR(HLOOKUP(J194,$Q$48:$AA$49,2)),0,HLOOKUP(J194,$Q$48:$AA$49,2))</f>
        <v>0</v>
      </c>
      <c r="E194" s="104">
        <f>IF(ISERROR(HLOOKUP(K194,$Q$48:$AA$49,2)),0,HLOOKUP(K194,$Q$48:$AA$49,2))</f>
        <v>0</v>
      </c>
      <c r="F194" s="104">
        <f>IF(ISERROR(HLOOKUP(L194,$Q$48:$AA$49,2)),0,HLOOKUP(L194,$Q$48:$AA$49,2))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14"/>
        <v>0</v>
      </c>
      <c r="K194" s="21">
        <f t="shared" si="15"/>
        <v>0</v>
      </c>
      <c r="L194" s="21">
        <f t="shared" si="16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54</v>
      </c>
      <c r="B195" s="340" t="s">
        <v>639</v>
      </c>
      <c r="C195" s="21" t="s">
        <v>613</v>
      </c>
      <c r="D195" s="104">
        <f>IF(ISERROR(HLOOKUP(J195,$Q$39:$AA$40,2)),0,HLOOKUP(J195,$Q$39:$AA$40,2))</f>
        <v>0</v>
      </c>
      <c r="E195" s="104">
        <f>IF(ISERROR(HLOOKUP(K195,$Q$39:$AA$40,2)),0,HLOOKUP(K195,$Q$39:$AA$40,2))</f>
        <v>0</v>
      </c>
      <c r="F195" s="104">
        <f>IF(ISERROR(HLOOKUP(L195,$Q$39:$AA$40,2)),0,HLOOKUP(L195,$Q$39:$AA$40,2))</f>
        <v>0</v>
      </c>
      <c r="G195" s="396">
        <f>SUM($F$27:$F$32)</f>
        <v>0</v>
      </c>
      <c r="H195" s="103">
        <f>SUM($F$27:$F$32)+$J$51</f>
        <v>0</v>
      </c>
      <c r="I195" s="103">
        <f>SUM($F$27:$F$32)+$J$51+$J$60</f>
        <v>0</v>
      </c>
      <c r="J195" s="21">
        <f t="shared" ref="J195:J226" si="22">ROUNDDOWN(G195/365,0)</f>
        <v>0</v>
      </c>
      <c r="K195" s="21">
        <f t="shared" ref="K195:K226" si="23">ROUNDDOWN(H195/365,0)</f>
        <v>0</v>
      </c>
      <c r="L195" s="21">
        <f t="shared" ref="L195:L226" si="24">ROUNDDOWN(I195/365,0)</f>
        <v>0</v>
      </c>
      <c r="M195" s="78" t="s">
        <v>661</v>
      </c>
      <c r="P195" s="44"/>
      <c r="Q195" s="44"/>
    </row>
    <row r="196" spans="1:33" ht="12.75" hidden="1" customHeight="1" x14ac:dyDescent="0.15">
      <c r="A196" s="259">
        <v>55</v>
      </c>
      <c r="B196" s="340" t="s">
        <v>640</v>
      </c>
      <c r="C196" s="21" t="s">
        <v>613</v>
      </c>
      <c r="D196" s="104">
        <f>IF(ISERROR(HLOOKUP(J196,$Q$60:$AA$61,2)),0,HLOOKUP(J196,$Q$60:$AA$61,2))</f>
        <v>0</v>
      </c>
      <c r="E196" s="104">
        <f>IF(ISERROR(HLOOKUP(K196,$Q$60:$AA$61,2)),0,HLOOKUP(K196,$Q$60:$AA$61,2))</f>
        <v>0</v>
      </c>
      <c r="F196" s="104">
        <f>IF(ISERROR(HLOOKUP(L196,$Q$60:$AA$61,2)),0,HLOOKUP(L196,$Q$60:$AA$61,2))</f>
        <v>0</v>
      </c>
      <c r="G196" s="396">
        <f>SUM($F$30:$F$32)</f>
        <v>0</v>
      </c>
      <c r="H196" s="103">
        <f>SUM($F$30:$F$32)+$J$51</f>
        <v>0</v>
      </c>
      <c r="I196" s="103">
        <f>SUM($F$30:$F$32)+$J$51+$J$60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</row>
    <row r="197" spans="1:33" ht="12.75" hidden="1" customHeight="1" x14ac:dyDescent="0.15">
      <c r="A197" s="259">
        <v>56</v>
      </c>
      <c r="B197" s="340" t="s">
        <v>683</v>
      </c>
      <c r="C197" s="21" t="s">
        <v>547</v>
      </c>
      <c r="D197" s="104">
        <f>IF(ISERROR(HLOOKUP(J197,$Q$80:$W$81,2)),0,HLOOKUP(J197,$Q$80:$W$81,2))</f>
        <v>0</v>
      </c>
      <c r="E197" s="104">
        <f>IF(ISERROR(HLOOKUP(K197,$Q$80:$W$81,2)),0,HLOOKUP(K197,$Q$80:$W$81,2))</f>
        <v>0</v>
      </c>
      <c r="F197" s="104">
        <f>IF(ISERROR(HLOOKUP(L197,$Q$80:$W$81,2)),0,HLOOKUP(L197,$Q$80:$W$81,2))</f>
        <v>0</v>
      </c>
      <c r="G197" s="396">
        <f>SUM($F$30:$F$32)</f>
        <v>0</v>
      </c>
      <c r="H197" s="103">
        <f>SUM($F$30:$F$32)+$J$51</f>
        <v>0</v>
      </c>
      <c r="I197" s="103">
        <f>SUM($F$30:$F$32)+$J$51+$J$60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</row>
    <row r="198" spans="1:33" ht="12.75" hidden="1" customHeight="1" x14ac:dyDescent="0.15">
      <c r="A198" s="259">
        <v>57</v>
      </c>
      <c r="B198" s="340" t="s">
        <v>699</v>
      </c>
      <c r="C198" s="21" t="s">
        <v>613</v>
      </c>
      <c r="D198" s="104">
        <f>IF(ISERROR(HLOOKUP(J198,$Q$48:$AA$49,2)),0,HLOOKUP(J198,$Q$48:$AA$49,2))</f>
        <v>0</v>
      </c>
      <c r="E198" s="104">
        <f>IF(ISERROR(HLOOKUP(K198,$Q$48:$AA$49,2)),0,HLOOKUP(K198,$Q$48:$AA$49,2))</f>
        <v>0</v>
      </c>
      <c r="F198" s="104">
        <f>IF(ISERROR(HLOOKUP(L198,$Q$48:$AA$49,2)),0,HLOOKUP(L198,$Q$48:$AA$49,2))</f>
        <v>0</v>
      </c>
      <c r="G198" s="396">
        <f>SUM($F$30:$F$32)</f>
        <v>0</v>
      </c>
      <c r="H198" s="103">
        <f>SUM($F$30:$F$32)+$J$51</f>
        <v>0</v>
      </c>
      <c r="I198" s="103">
        <f>SUM($F$30:$F$32)+$J$51+$J$60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78" t="s">
        <v>661</v>
      </c>
      <c r="P198" s="44"/>
      <c r="Q198" s="44"/>
    </row>
    <row r="199" spans="1:33" ht="12.75" hidden="1" customHeight="1" x14ac:dyDescent="0.15">
      <c r="A199" s="259">
        <v>58</v>
      </c>
      <c r="B199" s="340" t="s">
        <v>641</v>
      </c>
      <c r="C199" s="21" t="s">
        <v>613</v>
      </c>
      <c r="D199" s="104">
        <f>IF(ISERROR(HLOOKUP(J199,$Q$69:$AC$70,2)),0,HLOOKUP(J199,$Q$69:$AC$70,2))</f>
        <v>0</v>
      </c>
      <c r="E199" s="104">
        <f>IF(ISERROR(HLOOKUP(K199,$Q$69:$AC$70,2)),0,HLOOKUP(K199,$Q$69:$AC$70,2))</f>
        <v>0</v>
      </c>
      <c r="F199" s="104">
        <f>IF(ISERROR(HLOOKUP(L199,$Q$69:$AC$70,2)),0,HLOOKUP(L199,$Q$69:$AC$70,2))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78" t="s">
        <v>661</v>
      </c>
      <c r="P199" s="44"/>
      <c r="Q199" s="44"/>
    </row>
    <row r="200" spans="1:33" ht="12.75" hidden="1" customHeight="1" x14ac:dyDescent="0.15">
      <c r="A200" s="259">
        <v>59</v>
      </c>
      <c r="B200" s="340" t="s">
        <v>642</v>
      </c>
      <c r="C200" s="21" t="s">
        <v>613</v>
      </c>
      <c r="D200" s="104">
        <f>IF(ISERROR(HLOOKUP(J200,$Q$39:$AB$40,2)),0,HLOOKUP(J200,$Q$39:$AB$40,2))</f>
        <v>0</v>
      </c>
      <c r="E200" s="104">
        <f>IF(ISERROR(HLOOKUP(K200,$Q$39:$AB$40,2)),0,HLOOKUP(K200,$Q$39:$AB$40,2))</f>
        <v>0</v>
      </c>
      <c r="F200" s="104">
        <f>IF(ISERROR(HLOOKUP(L200,$Q$39:$AB$40,2)),0,HLOOKUP(L200,$Q$39:$AB$40,2))</f>
        <v>0</v>
      </c>
      <c r="G200" s="396">
        <f>SUM($F$27:$F$33)</f>
        <v>0</v>
      </c>
      <c r="H200" s="103">
        <f>SUM($F$27:$F$33)+$J$51</f>
        <v>0</v>
      </c>
      <c r="I200" s="103">
        <f>SUM($F$27:$F$33)+$J$51+$J$60</f>
        <v>0</v>
      </c>
      <c r="J200" s="21">
        <f t="shared" si="22"/>
        <v>0</v>
      </c>
      <c r="K200" s="21">
        <f t="shared" si="23"/>
        <v>0</v>
      </c>
      <c r="L200" s="21">
        <f t="shared" si="24"/>
        <v>0</v>
      </c>
      <c r="M200" s="78" t="s">
        <v>661</v>
      </c>
      <c r="P200" s="44"/>
      <c r="Q200" s="44"/>
      <c r="AC200" s="69"/>
      <c r="AD200" s="69"/>
      <c r="AE200" s="69"/>
      <c r="AF200" s="69"/>
      <c r="AG200" s="69"/>
    </row>
    <row r="201" spans="1:33" ht="12.75" hidden="1" customHeight="1" x14ac:dyDescent="0.15">
      <c r="A201" s="259">
        <v>60</v>
      </c>
      <c r="B201" s="340" t="s">
        <v>643</v>
      </c>
      <c r="C201" s="21" t="s">
        <v>547</v>
      </c>
      <c r="D201" s="104">
        <f>IF(ISERROR(HLOOKUP(J201,$Q$80:$W$81,2)),0,HLOOKUP(J201,$Q$80:$W$81,2))</f>
        <v>0</v>
      </c>
      <c r="E201" s="104">
        <f>IF(ISERROR(HLOOKUP(K201,$Q$80:$W$81,2)),0,HLOOKUP(K201,$Q$80:$W$81,2))</f>
        <v>0</v>
      </c>
      <c r="F201" s="104">
        <f>IF(ISERROR(HLOOKUP(L201,$Q$80:$W$81,2)),0,HLOOKUP(L201,$Q$80:$W$81,2))</f>
        <v>0</v>
      </c>
      <c r="G201" s="396">
        <f>SUM($F$30:$F$33)</f>
        <v>0</v>
      </c>
      <c r="H201" s="103">
        <f>SUM($F$30:$F$33)+$J$51</f>
        <v>0</v>
      </c>
      <c r="I201" s="103">
        <f>SUM($F$30:$F$33)+$J$51+$J$60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78" t="s">
        <v>661</v>
      </c>
      <c r="P201" s="44"/>
      <c r="Q201" s="44"/>
      <c r="AC201" s="69"/>
      <c r="AD201" s="69"/>
      <c r="AE201" s="69"/>
      <c r="AF201" s="69"/>
      <c r="AG201" s="69"/>
    </row>
    <row r="202" spans="1:33" ht="12.75" hidden="1" customHeight="1" x14ac:dyDescent="0.15">
      <c r="A202" s="259">
        <v>61</v>
      </c>
      <c r="B202" s="340" t="s">
        <v>644</v>
      </c>
      <c r="C202" s="21" t="s">
        <v>613</v>
      </c>
      <c r="D202" s="104">
        <f>IF(ISERROR(HLOOKUP(J202,$Q$39:$AA$40,2)),0,HLOOKUP(J202,$Q$39:$AA$40,2))</f>
        <v>0</v>
      </c>
      <c r="E202" s="104">
        <f>IF(ISERROR(HLOOKUP(K202,$Q$39:$AA$40,2)),0,HLOOKUP(K202,$Q$39:$AA$40,2))</f>
        <v>0</v>
      </c>
      <c r="F202" s="104">
        <f>IF(ISERROR(HLOOKUP(L202,$Q$39:$AA$40,2)),0,HLOOKUP(L202,$Q$39:$AA$40,2))</f>
        <v>0</v>
      </c>
      <c r="G202" s="396">
        <f>SUM($F$27:$F$33)</f>
        <v>0</v>
      </c>
      <c r="H202" s="103">
        <f>SUM($F$27:$F$33)+$J$51</f>
        <v>0</v>
      </c>
      <c r="I202" s="103">
        <f>SUM($F$27:$F$33)+$J$51+$J$60</f>
        <v>0</v>
      </c>
      <c r="J202" s="21">
        <f t="shared" si="22"/>
        <v>0</v>
      </c>
      <c r="K202" s="21">
        <f t="shared" si="23"/>
        <v>0</v>
      </c>
      <c r="L202" s="21">
        <f t="shared" si="24"/>
        <v>0</v>
      </c>
      <c r="M202" s="78" t="s">
        <v>661</v>
      </c>
      <c r="P202" s="44"/>
      <c r="Q202" s="44"/>
      <c r="AC202" s="69"/>
      <c r="AD202" s="69"/>
      <c r="AE202" s="69"/>
      <c r="AF202" s="69"/>
      <c r="AG202" s="69"/>
    </row>
    <row r="203" spans="1:33" ht="12.75" hidden="1" customHeight="1" x14ac:dyDescent="0.15">
      <c r="A203" s="259">
        <v>62</v>
      </c>
      <c r="B203" s="345" t="s">
        <v>645</v>
      </c>
      <c r="C203" s="21" t="s">
        <v>527</v>
      </c>
      <c r="D203" s="104">
        <f>IF(ISERROR(HLOOKUP(J203,$Q$26:$AY$27,2)),0,HLOOKUP(J203,$Q$26:$AY$27,2))</f>
        <v>0</v>
      </c>
      <c r="E203" s="104">
        <f>IF(ISERROR(HLOOKUP(K203,$Q$26:$AY$27,2)),0,HLOOKUP(K203,$Q$26:$AY$27,2))</f>
        <v>0</v>
      </c>
      <c r="F203" s="104">
        <f>IF(ISERROR(HLOOKUP(L203,$Q$26:$AY$27,2)),0,HLOOKUP(L203,$Q$26:$AY$27,2))</f>
        <v>0</v>
      </c>
      <c r="G203" s="396">
        <f>SUM($F$30:$F$32)</f>
        <v>0</v>
      </c>
      <c r="H203" s="103">
        <f>SUM($F$27:$F$32)+$J$51</f>
        <v>0</v>
      </c>
      <c r="I203" s="103">
        <f>SUM($F$27:$F$32)+$J$51+$J$60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69"/>
    </row>
    <row r="204" spans="1:33" ht="12.75" hidden="1" customHeight="1" x14ac:dyDescent="0.15">
      <c r="A204" s="259">
        <v>63</v>
      </c>
      <c r="B204" s="345" t="s">
        <v>646</v>
      </c>
      <c r="C204" s="21"/>
      <c r="D204" s="54"/>
      <c r="E204" s="54"/>
      <c r="F204" s="54"/>
      <c r="G204" s="54"/>
      <c r="H204" s="54"/>
      <c r="I204" s="347"/>
      <c r="J204" s="21">
        <f t="shared" si="22"/>
        <v>0</v>
      </c>
      <c r="K204" s="21">
        <f t="shared" si="23"/>
        <v>0</v>
      </c>
      <c r="L204" s="21">
        <f t="shared" si="24"/>
        <v>0</v>
      </c>
      <c r="M204" s="346" t="s">
        <v>662</v>
      </c>
      <c r="P204" s="44"/>
      <c r="Q204" s="44"/>
      <c r="AC204" s="69"/>
      <c r="AD204" s="69"/>
      <c r="AE204" s="69"/>
      <c r="AF204" s="69"/>
      <c r="AG204" s="348"/>
    </row>
    <row r="205" spans="1:33" s="308" customFormat="1" ht="12.75" hidden="1" customHeight="1" x14ac:dyDescent="0.15">
      <c r="A205" s="304">
        <v>64</v>
      </c>
      <c r="B205" s="349" t="s">
        <v>647</v>
      </c>
      <c r="C205" s="308" t="s">
        <v>613</v>
      </c>
      <c r="D205" s="305">
        <f>IF(ISERROR(HLOOKUP(J205,$Q$48:$AB$49,2)),0,HLOOKUP(J205,$Q$48:$AB$49,2))</f>
        <v>0</v>
      </c>
      <c r="E205" s="305">
        <f>IF(ISERROR(HLOOKUP(K205,$Q$48:$AB$49,2)),0,HLOOKUP(K205,$Q$48:$AB$49,2))</f>
        <v>0</v>
      </c>
      <c r="F205" s="305">
        <f>IF(ISERROR(HLOOKUP(L205,$Q$48:$AB$49,2)),0,HLOOKUP(L205,$Q$48:$AB$49,2))</f>
        <v>0</v>
      </c>
      <c r="G205" s="350">
        <f>SUM($F$30:$F$33)+$O$205</f>
        <v>0</v>
      </c>
      <c r="H205" s="350">
        <f>$G$205+$J$51</f>
        <v>0</v>
      </c>
      <c r="I205" s="350">
        <f>$G$205+$J$51+$J$60</f>
        <v>0</v>
      </c>
      <c r="J205" s="351">
        <f t="shared" si="22"/>
        <v>0</v>
      </c>
      <c r="K205" s="351">
        <f t="shared" si="23"/>
        <v>0</v>
      </c>
      <c r="L205" s="351">
        <f t="shared" si="24"/>
        <v>0</v>
      </c>
      <c r="M205" s="352" t="s">
        <v>662</v>
      </c>
      <c r="N205" s="310">
        <f>SUM($F$27:$F$29)</f>
        <v>0</v>
      </c>
      <c r="O205" s="309">
        <f>IF($N$205&gt;365,365,$N$205)</f>
        <v>0</v>
      </c>
      <c r="P205" s="353"/>
      <c r="Q205" s="353"/>
      <c r="AC205" s="354"/>
      <c r="AD205" s="354"/>
      <c r="AE205" s="354"/>
      <c r="AF205" s="354"/>
      <c r="AG205" s="354"/>
    </row>
    <row r="206" spans="1:33" ht="12.75" hidden="1" customHeight="1" x14ac:dyDescent="0.15">
      <c r="A206" s="259">
        <v>65</v>
      </c>
      <c r="B206" s="345" t="s">
        <v>648</v>
      </c>
      <c r="C206" s="21" t="s">
        <v>547</v>
      </c>
      <c r="D206" s="104">
        <f>IF(ISERROR(HLOOKUP(J206,$Q$73:$AB$74,2)),0,HLOOKUP(J206,$Q$73:$AB$74,2))</f>
        <v>0</v>
      </c>
      <c r="E206" s="105">
        <f>IF(ISERROR(HLOOKUP(K206,$Q$73:$AB$74,2)),0,HLOOKUP(K206,$Q$73:$AB$74,2))</f>
        <v>0</v>
      </c>
      <c r="F206" s="106">
        <f>IF(ISERROR(HLOOKUP(L206,$Q$73:$AB$74,2)),0,HLOOKUP(L206,$Q$73:$AB$74,2))</f>
        <v>0</v>
      </c>
      <c r="G206" s="355">
        <f>SUM($F$27:$F$32)</f>
        <v>0</v>
      </c>
      <c r="H206" s="355">
        <f>SUM($F$27:$F$32)+$J$51</f>
        <v>0</v>
      </c>
      <c r="I206" s="355">
        <f>SUM($F$27:$F$32)+$J$51+$J$60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  <c r="AC206" s="69"/>
      <c r="AD206" s="69"/>
      <c r="AE206" s="69"/>
      <c r="AF206" s="69"/>
      <c r="AG206" s="348"/>
    </row>
    <row r="207" spans="1:33" ht="12.75" hidden="1" customHeight="1" x14ac:dyDescent="0.15">
      <c r="A207" s="259">
        <v>66</v>
      </c>
      <c r="B207" s="345" t="s">
        <v>649</v>
      </c>
      <c r="C207" s="21" t="s">
        <v>613</v>
      </c>
      <c r="D207" s="104">
        <f>IF(ISERROR(HLOOKUP(J207,$Q$39:$Z$40,2)),0,HLOOKUP(J207,$Q$39:$Z$40,2))</f>
        <v>0</v>
      </c>
      <c r="E207" s="104">
        <f>IF(ISERROR(HLOOKUP(K207,$Q$39:$Z$40,2)),0,HLOOKUP(K207,$Q$39:$Z$40,2))</f>
        <v>0</v>
      </c>
      <c r="F207" s="104">
        <f>IF(ISERROR(HLOOKUP(L207,$Q$39:$Z$40,2)),0,HLOOKUP(L207,$Q$39:$Z$40,2))</f>
        <v>0</v>
      </c>
      <c r="G207" s="355">
        <f>SUM($F$30:$F$32)</f>
        <v>0</v>
      </c>
      <c r="H207" s="355">
        <f>SUM($F$30:$F$32)+$J$51</f>
        <v>0</v>
      </c>
      <c r="I207" s="355">
        <f>SUM($F$30:$F$32)+$J$51+$J$60</f>
        <v>0</v>
      </c>
      <c r="J207" s="356">
        <f t="shared" si="22"/>
        <v>0</v>
      </c>
      <c r="K207" s="356">
        <f t="shared" si="23"/>
        <v>0</v>
      </c>
      <c r="L207" s="356">
        <f t="shared" si="24"/>
        <v>0</v>
      </c>
      <c r="M207" s="346" t="s">
        <v>662</v>
      </c>
      <c r="P207" s="44"/>
      <c r="Q207" s="44"/>
      <c r="AC207" s="69"/>
      <c r="AD207" s="69"/>
      <c r="AE207" s="69"/>
      <c r="AF207" s="69"/>
      <c r="AG207" s="348"/>
    </row>
    <row r="208" spans="1:33" ht="12.75" hidden="1" customHeight="1" x14ac:dyDescent="0.15">
      <c r="A208" s="259">
        <v>67</v>
      </c>
      <c r="B208" s="345" t="s">
        <v>650</v>
      </c>
      <c r="C208" s="21" t="s">
        <v>613</v>
      </c>
      <c r="D208" s="104">
        <f>IF(ISERROR(HLOOKUP(J208,$Q$51:$Y$52,2)),0,HLOOKUP(J208,$Q$51:$Y$52,2))</f>
        <v>0</v>
      </c>
      <c r="E208" s="104">
        <f>IF(ISERROR(HLOOKUP(K208,$Q$51:$Y$52,2)),0,HLOOKUP(K208,$Q$51:$Y$52,2))</f>
        <v>0</v>
      </c>
      <c r="F208" s="104">
        <f>IF(ISERROR(HLOOKUP(L208,$Q$51:$Y$52,2)),0,HLOOKUP(L208,$Q$51:$Y$52,2))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  <c r="AC208" s="69"/>
      <c r="AD208" s="69"/>
      <c r="AE208" s="69"/>
      <c r="AF208" s="69"/>
      <c r="AG208" s="348"/>
    </row>
    <row r="209" spans="1:33" s="308" customFormat="1" ht="12.75" hidden="1" customHeight="1" x14ac:dyDescent="0.15">
      <c r="A209" s="304">
        <v>68</v>
      </c>
      <c r="B209" s="349" t="s">
        <v>651</v>
      </c>
      <c r="C209" s="308" t="s">
        <v>547</v>
      </c>
      <c r="D209" s="305">
        <f>IF(ISERROR(HLOOKUP(J209,$Q$73:$W$74,2)),0,HLOOKUP(J209,$Q$73:$W$74,2))</f>
        <v>0</v>
      </c>
      <c r="E209" s="305">
        <f>IF(ISERROR(HLOOKUP(K209,$Q$73:$W$74,2)),0,HLOOKUP(K209,$Q$73:$W$74,2))</f>
        <v>0</v>
      </c>
      <c r="F209" s="305">
        <f>IF(ISERROR(HLOOKUP(L209,$Q$73:$W$74,2)),0,HLOOKUP(L209,$Q$73:$W$74,2))</f>
        <v>0</v>
      </c>
      <c r="G209" s="350">
        <f>$N$209</f>
        <v>0</v>
      </c>
      <c r="H209" s="350">
        <f>$G$209+$J$51</f>
        <v>0</v>
      </c>
      <c r="I209" s="350">
        <f>$G$209+$J$51+$J$60</f>
        <v>0</v>
      </c>
      <c r="J209" s="308">
        <f t="shared" si="22"/>
        <v>0</v>
      </c>
      <c r="K209" s="308">
        <f t="shared" si="23"/>
        <v>0</v>
      </c>
      <c r="L209" s="308">
        <f t="shared" si="24"/>
        <v>0</v>
      </c>
      <c r="M209" s="352" t="s">
        <v>662</v>
      </c>
      <c r="N209" s="310">
        <f>SUM(F30:F32)</f>
        <v>0</v>
      </c>
      <c r="O209" s="309"/>
      <c r="P209" s="353"/>
      <c r="Q209" s="353"/>
      <c r="AC209" s="354"/>
      <c r="AD209" s="354"/>
      <c r="AE209" s="354"/>
      <c r="AF209" s="354"/>
      <c r="AG209" s="354"/>
    </row>
    <row r="210" spans="1:33" ht="12.75" hidden="1" customHeight="1" x14ac:dyDescent="0.15">
      <c r="A210" s="259">
        <v>69</v>
      </c>
      <c r="B210" s="345" t="s">
        <v>652</v>
      </c>
      <c r="C210" s="21" t="s">
        <v>613</v>
      </c>
      <c r="D210" s="104">
        <f>IF(ISERROR(HLOOKUP(J210,$Q$39:$Z$40,2)),0,HLOOKUP(J210,$Q$39:$Z$40,2))</f>
        <v>0</v>
      </c>
      <c r="E210" s="104">
        <f>IF(ISERROR(HLOOKUP(K210,$Q$39:$Z$40,2)),0,HLOOKUP(K210,$Q$39:$Z$40,2))</f>
        <v>0</v>
      </c>
      <c r="F210" s="104">
        <f>IF(ISERROR(HLOOKUP(L210,$Q$39:$Z$40,2)),0,HLOOKUP(L210,$Q$39:$Z$40,2))</f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  <c r="AC210" s="69"/>
      <c r="AD210" s="69"/>
      <c r="AE210" s="69"/>
      <c r="AF210" s="69"/>
      <c r="AG210" s="69"/>
    </row>
    <row r="211" spans="1:33" ht="13.5" hidden="1" x14ac:dyDescent="0.15">
      <c r="A211" s="259">
        <v>70</v>
      </c>
      <c r="B211" s="345" t="s">
        <v>653</v>
      </c>
      <c r="C211" s="21" t="s">
        <v>613</v>
      </c>
      <c r="D211" s="104">
        <f>IF(ISERROR(HLOOKUP(J211,$Q$48:$AB$49,2)),0,HLOOKUP(J211,$Q$48:$AB$49,2))</f>
        <v>0</v>
      </c>
      <c r="E211" s="104">
        <f>IF(ISERROR(HLOOKUP(K211,$Q$48:$AB$49,2)),0,HLOOKUP(K211,$Q$48:$AB$49,2))</f>
        <v>0</v>
      </c>
      <c r="F211" s="104">
        <f>IF(ISERROR(HLOOKUP(L211,$Q$48:$AB$49,2)),0,HLOOKUP(L211,$Q$48:$AB$49,2))</f>
        <v>0</v>
      </c>
      <c r="G211" s="396">
        <f>SUM($F$30:$F$32)</f>
        <v>0</v>
      </c>
      <c r="H211" s="103">
        <f>SUM($F$30:$F$32)+$J$51</f>
        <v>0</v>
      </c>
      <c r="I211" s="103">
        <f>SUM($F$30:$F$32)+$J$51+$J$60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3" ht="13.5" hidden="1" x14ac:dyDescent="0.15">
      <c r="A212" s="259">
        <v>71</v>
      </c>
      <c r="B212" s="345" t="s">
        <v>654</v>
      </c>
      <c r="C212" s="21" t="s">
        <v>613</v>
      </c>
      <c r="D212" s="104">
        <f>IF(ISERROR(HLOOKUP(J212,$Q$48:$AA$49,2)),0,HLOOKUP(J212,$Q$48:$AA$49,2))</f>
        <v>0</v>
      </c>
      <c r="E212" s="104">
        <f>IF(ISERROR(HLOOKUP(K212,$Q$48:$AA$49,2)),0,HLOOKUP(K212,$Q$48:$AA$49,2))</f>
        <v>0</v>
      </c>
      <c r="F212" s="104">
        <f>IF(ISERROR(HLOOKUP(L212,$Q$48:$AA$49,2)),0,HLOOKUP(L212,$Q$48:$AA$49,2))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3" ht="13.5" hidden="1" x14ac:dyDescent="0.15">
      <c r="A213" s="259">
        <v>72</v>
      </c>
      <c r="B213" s="345" t="s">
        <v>655</v>
      </c>
      <c r="C213" s="21" t="s">
        <v>527</v>
      </c>
      <c r="D213" s="104">
        <f>IF(ISERROR(HLOOKUP(J213,$Q$54:$AR$55,2)),0,HLOOKUP(J213,$Q$54:$AR$55,2))</f>
        <v>0</v>
      </c>
      <c r="E213" s="104">
        <f>IF(ISERROR(HLOOKUP(K213,$Q$54:$AR$55,2)),0,HLOOKUP(K213,$Q$54:$AR$55,2))</f>
        <v>0</v>
      </c>
      <c r="F213" s="104">
        <f>IF(ISERROR(HLOOKUP(L213,$Q$54:$AR$55,2)),0,HLOOKUP(L213,$Q$54:$AR$55,2))</f>
        <v>0</v>
      </c>
      <c r="G213" s="396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3" ht="13.5" hidden="1" x14ac:dyDescent="0.15">
      <c r="A214" s="259">
        <v>73</v>
      </c>
      <c r="B214" s="345" t="s">
        <v>663</v>
      </c>
      <c r="C214" s="21" t="s">
        <v>527</v>
      </c>
      <c r="D214" s="104">
        <f t="shared" ref="D214:F215" si="25">IF(ISERROR(HLOOKUP(J214,$Q$26:$AY$27,2)),0,HLOOKUP(J214,$Q$26:$AY$27,2))</f>
        <v>0</v>
      </c>
      <c r="E214" s="104">
        <f t="shared" si="25"/>
        <v>0</v>
      </c>
      <c r="F214" s="104">
        <f t="shared" si="25"/>
        <v>0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3" ht="13.5" hidden="1" x14ac:dyDescent="0.15">
      <c r="A215" s="259">
        <v>74</v>
      </c>
      <c r="B215" s="345" t="s">
        <v>664</v>
      </c>
      <c r="C215" s="21" t="s">
        <v>527</v>
      </c>
      <c r="D215" s="104">
        <f t="shared" si="25"/>
        <v>0</v>
      </c>
      <c r="E215" s="104">
        <f t="shared" si="25"/>
        <v>0</v>
      </c>
      <c r="F215" s="104">
        <f t="shared" si="25"/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22"/>
        <v>0</v>
      </c>
      <c r="K215" s="21">
        <f t="shared" si="23"/>
        <v>0</v>
      </c>
      <c r="L215" s="21">
        <f t="shared" si="24"/>
        <v>0</v>
      </c>
      <c r="M215" s="346" t="s">
        <v>662</v>
      </c>
      <c r="P215" s="44"/>
      <c r="Q215" s="44"/>
    </row>
    <row r="216" spans="1:33" ht="13.5" hidden="1" x14ac:dyDescent="0.15">
      <c r="A216" s="259">
        <v>75</v>
      </c>
      <c r="B216" s="345" t="s">
        <v>665</v>
      </c>
      <c r="C216" s="21" t="s">
        <v>547</v>
      </c>
      <c r="D216" s="104">
        <f>IF(ISERROR(HLOOKUP(J216,$Q$73:$W$74,2)),0,HLOOKUP(J216,$Q$73:$W$74,2))</f>
        <v>0</v>
      </c>
      <c r="E216" s="104">
        <f>IF(ISERROR(HLOOKUP(K216,$Q$73:$W$74,2)),0,HLOOKUP(K216,$Q$73:$W$74,2))</f>
        <v>0</v>
      </c>
      <c r="F216" s="104">
        <f>IF(ISERROR(HLOOKUP(L216,$Q$73:$W$74,2)),0,HLOOKUP(L216,$Q$73:$W$74,2))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3" ht="13.5" hidden="1" x14ac:dyDescent="0.15">
      <c r="A217" s="259">
        <v>76</v>
      </c>
      <c r="B217" s="345" t="s">
        <v>689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3" ht="13.5" hidden="1" x14ac:dyDescent="0.15">
      <c r="A218" s="259">
        <v>77</v>
      </c>
      <c r="B218" s="345" t="s">
        <v>666</v>
      </c>
      <c r="C218" s="21" t="s">
        <v>613</v>
      </c>
      <c r="D218" s="104">
        <f>IF(ISERROR(HLOOKUP(J218,$Q$48:$AA$49,2)),0,HLOOKUP(J218,$Q$48:$AA$49,2))</f>
        <v>0</v>
      </c>
      <c r="E218" s="104">
        <f>IF(ISERROR(HLOOKUP(K218,$Q$48:$AA$49,2)),0,HLOOKUP(K218,$Q$48:$AA$49,2))</f>
        <v>0</v>
      </c>
      <c r="F218" s="104">
        <f>IF(ISERROR(HLOOKUP(L218,$Q$48:$AA$49,2)),0,HLOOKUP(L218,$Q$48:$AA$49,2))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3" ht="13.5" hidden="1" x14ac:dyDescent="0.15">
      <c r="A219" s="259">
        <v>78</v>
      </c>
      <c r="B219" s="345" t="s">
        <v>667</v>
      </c>
      <c r="C219" s="21" t="s">
        <v>613</v>
      </c>
      <c r="D219" s="104">
        <f>IF(ISERROR(HLOOKUP(J219,$Q$57:$AA$58,2)),0,HLOOKUP(J219,$Q$57:$AA$58,2))</f>
        <v>0</v>
      </c>
      <c r="E219" s="104">
        <f>IF(ISERROR(HLOOKUP(K219,$Q$57:$AA$58,2)),0,HLOOKUP(K219,$Q$57:$AA$58,2))</f>
        <v>0</v>
      </c>
      <c r="F219" s="104">
        <f>IF(ISERROR(HLOOKUP(L219,$Q$57:$AA$58,2)),0,HLOOKUP(L219,$Q$57:$AA$58,2))</f>
        <v>0</v>
      </c>
      <c r="G219" s="396">
        <f>SUM($F$29:$F$32)</f>
        <v>0</v>
      </c>
      <c r="H219" s="103">
        <f>SUM($F$29:$F$32)+$J$51</f>
        <v>0</v>
      </c>
      <c r="I219" s="103">
        <f>SUM($F$29:$F$32)+$J$51+$J$60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3" s="308" customFormat="1" ht="13.5" hidden="1" x14ac:dyDescent="0.15">
      <c r="A220" s="304">
        <v>79</v>
      </c>
      <c r="B220" s="349" t="s">
        <v>668</v>
      </c>
      <c r="C220" s="308" t="s">
        <v>613</v>
      </c>
      <c r="D220" s="305">
        <f>IF(ISERROR(HLOOKUP(J220,$Q$39:$AA$40,2)),0,HLOOKUP(J220,$Q$39:$AA$40,2))</f>
        <v>0</v>
      </c>
      <c r="E220" s="305">
        <f>IF(ISERROR(HLOOKUP(K220,$Q$39:$AA$40,2)),0,HLOOKUP(K220,$Q$39:$AA$40,2))</f>
        <v>0</v>
      </c>
      <c r="F220" s="305">
        <f>IF(ISERROR(HLOOKUP(L220,$Q$39:$AA$40,2)),0,HLOOKUP(L220,$Q$39:$AA$40,2))</f>
        <v>0</v>
      </c>
      <c r="G220" s="399">
        <f>$N$220+$F$33</f>
        <v>0</v>
      </c>
      <c r="H220" s="307">
        <f>$G$220+$J$51</f>
        <v>0</v>
      </c>
      <c r="I220" s="307">
        <f>$N$220+$J$51+$J$60</f>
        <v>0</v>
      </c>
      <c r="J220" s="308">
        <f t="shared" si="22"/>
        <v>0</v>
      </c>
      <c r="K220" s="308">
        <f t="shared" si="23"/>
        <v>0</v>
      </c>
      <c r="L220" s="308">
        <f t="shared" si="24"/>
        <v>0</v>
      </c>
      <c r="M220" s="352" t="s">
        <v>662</v>
      </c>
      <c r="N220" s="308">
        <f>IF($C$30&gt;=$A$36,$E$30-$C$30+1,IF($C$31&gt;=$A$36,$E$31-$C$31+1,IF($C$32&gt;=$A$36,$E$32-$C$32+1,IF($E$30&lt;&gt;0,$E$30-$A$36+1,IF($E$31&lt;&gt;0,$E$31-$A$36+1,IF($E$32&lt;&gt;0,$E$32-$A$36+1,0))))))</f>
        <v>0</v>
      </c>
      <c r="O220" s="309"/>
      <c r="P220" s="353"/>
      <c r="Q220" s="353"/>
      <c r="AD220" s="310"/>
      <c r="AE220" s="310"/>
      <c r="AF220" s="310"/>
    </row>
    <row r="221" spans="1:33" ht="13.5" hidden="1" x14ac:dyDescent="0.15">
      <c r="A221" s="259">
        <v>80</v>
      </c>
      <c r="B221" s="345" t="s">
        <v>669</v>
      </c>
      <c r="C221" s="21" t="s">
        <v>547</v>
      </c>
      <c r="D221" s="104">
        <f>IF(ISERROR(HLOOKUP(J221,$Q$73:$V$74,2)),0,HLOOKUP(J221,$Q$73:$V$74,2))</f>
        <v>0</v>
      </c>
      <c r="E221" s="104">
        <f>IF(ISERROR(HLOOKUP(K221,$Q$73:$V$74,2)),0,HLOOKUP(K221,$Q$73:$V$74,2))</f>
        <v>0</v>
      </c>
      <c r="F221" s="104">
        <f>IF(ISERROR(HLOOKUP(L221,$Q$73:$V$74,2)),0,HLOOKUP(L221,$Q$73:$V$74,2))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P221" s="44"/>
      <c r="Q221" s="44"/>
    </row>
    <row r="222" spans="1:33" ht="13.5" hidden="1" x14ac:dyDescent="0.15">
      <c r="A222" s="259" t="s">
        <v>703</v>
      </c>
      <c r="B222" s="345" t="s">
        <v>701</v>
      </c>
      <c r="C222" s="21" t="s">
        <v>702</v>
      </c>
      <c r="D222" s="148">
        <f>IF(J222&lt;=10,0.1,IF(J222&lt;=20,0.2,0.3))</f>
        <v>0.1</v>
      </c>
      <c r="E222" s="148">
        <f>IF(K222&lt;=10,0.1,IF(K222&lt;=20,0.2,0.3))</f>
        <v>0.1</v>
      </c>
      <c r="F222" s="148">
        <f>IF(L222&lt;=10,0.1,IF(L222&lt;=20,0.2,0.3))</f>
        <v>0.1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22"/>
        <v>0</v>
      </c>
      <c r="K222" s="21">
        <f t="shared" si="23"/>
        <v>0</v>
      </c>
      <c r="L222" s="21">
        <f t="shared" si="24"/>
        <v>0</v>
      </c>
      <c r="M222" s="346" t="s">
        <v>662</v>
      </c>
      <c r="P222" s="44"/>
      <c r="Q222" s="44"/>
    </row>
    <row r="223" spans="1:33" ht="13.5" hidden="1" x14ac:dyDescent="0.15">
      <c r="A223" s="259">
        <v>81</v>
      </c>
      <c r="B223" s="345" t="s">
        <v>670</v>
      </c>
      <c r="C223" s="21" t="s">
        <v>547</v>
      </c>
      <c r="D223" s="104">
        <f>IF(ISERROR(HLOOKUP(J223,$Q$73:$W$74,2)),0,HLOOKUP(J223,$Q$73:$W$74,2))</f>
        <v>0</v>
      </c>
      <c r="E223" s="104">
        <f>IF(ISERROR(HLOOKUP(K223,$Q$73:$W$74,2)),0,HLOOKUP(K223,$Q$73:$W$74,2))</f>
        <v>0</v>
      </c>
      <c r="F223" s="104">
        <f>IF(ISERROR(HLOOKUP(L223,$Q$73:$W$74,2)),0,HLOOKUP(L223,$Q$73:$W$74,2))</f>
        <v>0</v>
      </c>
      <c r="G223" s="396">
        <f>SUM($F$27:$F$33)</f>
        <v>0</v>
      </c>
      <c r="H223" s="103">
        <f>SUM($F$27:$F$33)+$J$51</f>
        <v>0</v>
      </c>
      <c r="I223" s="103">
        <f>SUM($F$27:$F$33)+$J$51+$J$60</f>
        <v>0</v>
      </c>
      <c r="J223" s="21">
        <f t="shared" si="22"/>
        <v>0</v>
      </c>
      <c r="K223" s="21">
        <f t="shared" si="23"/>
        <v>0</v>
      </c>
      <c r="L223" s="21">
        <f t="shared" si="24"/>
        <v>0</v>
      </c>
      <c r="M223" s="346" t="s">
        <v>662</v>
      </c>
      <c r="P223" s="44"/>
      <c r="Q223" s="44"/>
    </row>
    <row r="224" spans="1:33" ht="13.5" hidden="1" x14ac:dyDescent="0.15">
      <c r="A224" s="259">
        <v>82</v>
      </c>
      <c r="B224" s="345" t="s">
        <v>671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22"/>
        <v>0</v>
      </c>
      <c r="K224" s="21">
        <f t="shared" si="23"/>
        <v>0</v>
      </c>
      <c r="L224" s="21">
        <f t="shared" si="24"/>
        <v>0</v>
      </c>
      <c r="M224" s="346" t="s">
        <v>662</v>
      </c>
      <c r="P224" s="44"/>
      <c r="Q224" s="44"/>
    </row>
    <row r="225" spans="1:17" ht="13.5" hidden="1" x14ac:dyDescent="0.15">
      <c r="A225" s="259">
        <v>83</v>
      </c>
      <c r="B225" s="345" t="s">
        <v>672</v>
      </c>
      <c r="C225" s="21"/>
      <c r="E225" s="40"/>
      <c r="J225" s="21">
        <f t="shared" si="22"/>
        <v>0</v>
      </c>
      <c r="K225" s="21">
        <f t="shared" si="23"/>
        <v>0</v>
      </c>
      <c r="L225" s="21">
        <f t="shared" si="24"/>
        <v>0</v>
      </c>
      <c r="M225" s="346" t="s">
        <v>662</v>
      </c>
      <c r="P225" s="44"/>
      <c r="Q225" s="44"/>
    </row>
    <row r="226" spans="1:17" ht="13.5" hidden="1" x14ac:dyDescent="0.15">
      <c r="A226" s="259">
        <v>84</v>
      </c>
      <c r="B226" s="108" t="s">
        <v>673</v>
      </c>
      <c r="C226" s="21" t="s">
        <v>613</v>
      </c>
      <c r="D226" s="104">
        <f>IF(ISERROR(HLOOKUP(J226,$Q$48:$AB$49,2)),0,HLOOKUP(J226,$Q$48:$AB$49,2))</f>
        <v>0</v>
      </c>
      <c r="E226" s="104">
        <f>IF(ISERROR(HLOOKUP(K226,$Q$48:$AB$49,2)),0,HLOOKUP(K226,$Q$48:$AB$49,2))</f>
        <v>0</v>
      </c>
      <c r="F226" s="104">
        <f>IF(ISERROR(HLOOKUP(L226,$Q$48:$AB$49,2)),0,HLOOKUP(L226,$Q$48:$AB$49,2))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2"/>
        <v>0</v>
      </c>
      <c r="K226" s="21">
        <f t="shared" si="23"/>
        <v>0</v>
      </c>
      <c r="L226" s="21">
        <f t="shared" si="24"/>
        <v>0</v>
      </c>
      <c r="M226" s="346" t="s">
        <v>662</v>
      </c>
      <c r="N226" s="104">
        <f>IF(ISERROR(HLOOKUP(L226,$Q$48:$AB$49,2)),0,HLOOKUP(L226,$Q$48:$AB$49,2))</f>
        <v>0</v>
      </c>
      <c r="P226" s="44"/>
      <c r="Q226" s="44"/>
    </row>
    <row r="227" spans="1:17" ht="13.5" hidden="1" x14ac:dyDescent="0.15">
      <c r="A227" s="259">
        <v>85</v>
      </c>
      <c r="B227" s="108" t="s">
        <v>674</v>
      </c>
      <c r="C227" s="21" t="s">
        <v>527</v>
      </c>
      <c r="D227" s="104">
        <f>IF(ISERROR(HLOOKUP(J227,$Q$35:$AY$36,2)),0,HLOOKUP(J227,$Q$35:$AY$36,2))</f>
        <v>0</v>
      </c>
      <c r="E227" s="104">
        <f>IF(ISERROR(HLOOKUP(K227,$Q$35:$AY$36,2)),0,HLOOKUP(K227,$Q$35:$AY$36,2))</f>
        <v>0</v>
      </c>
      <c r="F227" s="104">
        <f>IF(ISERROR(HLOOKUP(L227,$Q$35:$AY$36,2)),0,HLOOKUP(L227,$Q$35:$AY$36,2))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ref="J227:J234" si="26">ROUNDDOWN(G227/365,0)</f>
        <v>0</v>
      </c>
      <c r="K227" s="21">
        <f t="shared" ref="K227:K234" si="27">ROUNDDOWN(H227/365,0)</f>
        <v>0</v>
      </c>
      <c r="L227" s="21">
        <f t="shared" ref="L227:L234" si="28">ROUNDDOWN(I227/365,0)</f>
        <v>0</v>
      </c>
      <c r="M227" s="346" t="s">
        <v>662</v>
      </c>
      <c r="P227" s="44"/>
      <c r="Q227" s="44"/>
    </row>
    <row r="228" spans="1:17" ht="13.5" hidden="1" x14ac:dyDescent="0.15">
      <c r="A228" s="259">
        <v>86</v>
      </c>
      <c r="B228" s="108" t="s">
        <v>675</v>
      </c>
      <c r="C228" s="21" t="s">
        <v>613</v>
      </c>
      <c r="D228" s="104">
        <f>IF(ISERROR(HLOOKUP(J228,$Q$60:$AC$61,2)),0,HLOOKUP(J228,$Q$60:$AC$61,2))</f>
        <v>0</v>
      </c>
      <c r="E228" s="104">
        <f>IF(ISERROR(HLOOKUP(K228,$Q$60:$AC$61,2)),0,HLOOKUP(K228,$Q$60:$AC$61,2))</f>
        <v>0</v>
      </c>
      <c r="F228" s="104">
        <f>IF(ISERROR(HLOOKUP(L228,$Q$60:$AC$61,2)),0,HLOOKUP(L228,$Q$60:$AC$61,2))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87</v>
      </c>
      <c r="B229" s="108" t="s">
        <v>677</v>
      </c>
      <c r="C229" s="21"/>
      <c r="D229" s="21"/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A230" s="259">
        <v>88</v>
      </c>
      <c r="B230" s="108" t="s">
        <v>678</v>
      </c>
      <c r="C230" s="21" t="s">
        <v>613</v>
      </c>
      <c r="D230" s="104">
        <f>IF(ISERROR(HLOOKUP(J230,$Q$39:$AA$40,2)),0,HLOOKUP(J230,$Q$39:$AA$40,2))</f>
        <v>0</v>
      </c>
      <c r="E230" s="104">
        <f>IF(ISERROR(HLOOKUP(K230,$Q$39:$AA$40,2)),0,HLOOKUP(K230,$Q$39:$AA$40,2))</f>
        <v>0</v>
      </c>
      <c r="F230" s="104">
        <f>IF(ISERROR(HLOOKUP(L230,$Q$39:$AA$40,2)),0,HLOOKUP(L230,$Q$39:$AA$40,2))</f>
        <v>0</v>
      </c>
      <c r="G230" s="396">
        <f>SUM($F$27:$F$32)</f>
        <v>0</v>
      </c>
      <c r="H230" s="103">
        <f>SUM($F$27:$F$32)+$J$51</f>
        <v>0</v>
      </c>
      <c r="I230" s="103">
        <f>SUM($F$27:$F$32)+$J$51+$J$60</f>
        <v>0</v>
      </c>
      <c r="J230" s="21">
        <f t="shared" si="26"/>
        <v>0</v>
      </c>
      <c r="K230" s="21">
        <f t="shared" si="27"/>
        <v>0</v>
      </c>
      <c r="L230" s="21">
        <f t="shared" si="28"/>
        <v>0</v>
      </c>
      <c r="M230" s="346" t="s">
        <v>662</v>
      </c>
      <c r="P230" s="44"/>
      <c r="Q230" s="44"/>
    </row>
    <row r="231" spans="1:17" ht="13.5" hidden="1" x14ac:dyDescent="0.15">
      <c r="A231" s="259">
        <v>89</v>
      </c>
      <c r="B231" s="108" t="s">
        <v>679</v>
      </c>
      <c r="C231" s="21" t="s">
        <v>613</v>
      </c>
      <c r="D231" s="104">
        <f>IF(ISERROR(HLOOKUP(J231,$Q$48:$V$49,2)),0,HLOOKUP(J231,$Q$48:$V$49,2))</f>
        <v>0</v>
      </c>
      <c r="E231" s="104">
        <f>IF(ISERROR(HLOOKUP(K231,$Q$48:$V$49,2)),0,HLOOKUP(K231,$Q$48:$V$49,2))</f>
        <v>0</v>
      </c>
      <c r="F231" s="104">
        <f>IF(ISERROR(HLOOKUP(L231,$Q$48:$V$49,2)),0,HLOOKUP(L231,$Q$48:$V$49,2))</f>
        <v>0</v>
      </c>
      <c r="G231" s="396">
        <f>SUM($F$30:$F$32)</f>
        <v>0</v>
      </c>
      <c r="H231" s="103">
        <f>SUM($F$30:$F$32)+$J$51</f>
        <v>0</v>
      </c>
      <c r="I231" s="103">
        <f>SUM($F$30:$F$32)+$J$51+$J$60</f>
        <v>0</v>
      </c>
      <c r="J231" s="21">
        <f t="shared" si="26"/>
        <v>0</v>
      </c>
      <c r="K231" s="21">
        <f t="shared" si="27"/>
        <v>0</v>
      </c>
      <c r="L231" s="21">
        <f t="shared" si="28"/>
        <v>0</v>
      </c>
      <c r="M231" s="346" t="s">
        <v>662</v>
      </c>
      <c r="P231" s="44"/>
      <c r="Q231" s="44"/>
    </row>
    <row r="232" spans="1:17" ht="13.5" hidden="1" x14ac:dyDescent="0.15">
      <c r="A232" s="259">
        <v>90</v>
      </c>
      <c r="B232" s="108" t="s">
        <v>680</v>
      </c>
      <c r="C232" s="21" t="s">
        <v>527</v>
      </c>
      <c r="D232" s="104">
        <f>IF(ISERROR(HLOOKUP(J232,$Q$26:$AY$27,2)),0,HLOOKUP(J232,$Q$26:$AY$27,2))</f>
        <v>0</v>
      </c>
      <c r="E232" s="104">
        <f>IF(ISERROR(HLOOKUP(K232,$Q$26:$AY$27,2)),0,HLOOKUP(K232,$Q$26:$AY$27,2))</f>
        <v>0</v>
      </c>
      <c r="F232" s="104">
        <f>IF(ISERROR(HLOOKUP(L232,$Q$26:$AY$27,2)),0,HLOOKUP(L232,$Q$26:$AY$27,2))</f>
        <v>0</v>
      </c>
      <c r="G232" s="396">
        <f>SUM($F$30:$F$32)</f>
        <v>0</v>
      </c>
      <c r="H232" s="103">
        <f>SUM($F$30:$F$32)+$J$51</f>
        <v>0</v>
      </c>
      <c r="I232" s="103">
        <f>SUM($F$30:$F$32)+$J$51+$J$60</f>
        <v>0</v>
      </c>
      <c r="J232" s="21">
        <f t="shared" si="26"/>
        <v>0</v>
      </c>
      <c r="K232" s="21">
        <f t="shared" si="27"/>
        <v>0</v>
      </c>
      <c r="L232" s="21">
        <f t="shared" si="28"/>
        <v>0</v>
      </c>
      <c r="M232" s="346" t="s">
        <v>662</v>
      </c>
      <c r="P232" s="44"/>
      <c r="Q232" s="44"/>
    </row>
    <row r="233" spans="1:17" ht="13.5" hidden="1" x14ac:dyDescent="0.15">
      <c r="A233" s="259">
        <v>91</v>
      </c>
      <c r="B233" s="108" t="s">
        <v>681</v>
      </c>
      <c r="C233" s="21" t="s">
        <v>613</v>
      </c>
      <c r="D233" s="104">
        <f>IF(ISERROR(HLOOKUP(J233,$Q$42:$AA$43,2)),0,HLOOKUP(J233,$Q$42:$AA$43,2))</f>
        <v>0</v>
      </c>
      <c r="E233" s="104">
        <f>IF(ISERROR(HLOOKUP(K233,$Q$42:$AA$43,2)),0,HLOOKUP(K233,$Q$42:$AA$43,2))</f>
        <v>0</v>
      </c>
      <c r="F233" s="104">
        <f>IF(ISERROR(HLOOKUP(L233,$Q$42:$AA$43,2)),0,HLOOKUP(L233,$Q$42:$AA$43,2))</f>
        <v>0</v>
      </c>
      <c r="G233" s="396">
        <f>SUM($F$30:$F$32)</f>
        <v>0</v>
      </c>
      <c r="H233" s="103">
        <f>SUM($F$30:$F$32)+$J$51</f>
        <v>0</v>
      </c>
      <c r="I233" s="103">
        <f>SUM($F$30:$F$32)+$J$51+$J$60</f>
        <v>0</v>
      </c>
      <c r="J233" s="21">
        <f t="shared" si="26"/>
        <v>0</v>
      </c>
      <c r="K233" s="21">
        <f t="shared" si="27"/>
        <v>0</v>
      </c>
      <c r="L233" s="21">
        <f t="shared" si="28"/>
        <v>0</v>
      </c>
      <c r="M233" s="346" t="s">
        <v>662</v>
      </c>
      <c r="P233" s="44"/>
      <c r="Q233" s="44"/>
    </row>
    <row r="234" spans="1:17" ht="13.5" hidden="1" x14ac:dyDescent="0.15">
      <c r="A234" s="259">
        <v>92</v>
      </c>
      <c r="B234" s="108" t="s">
        <v>682</v>
      </c>
      <c r="C234" s="21" t="s">
        <v>613</v>
      </c>
      <c r="D234" s="104">
        <f>IF(ISERROR(HLOOKUP(J234,$Q$42:$Z$43,2)),0,HLOOKUP(J234,$Q$42:$Z$43,2))</f>
        <v>0</v>
      </c>
      <c r="E234" s="104">
        <f>IF(ISERROR(HLOOKUP(K234,$Q$42:$Z$43,2)),0,HLOOKUP(K234,$Q$42:$Z$43,2))</f>
        <v>0</v>
      </c>
      <c r="F234" s="104">
        <f>IF(ISERROR(HLOOKUP(L234,$Q$42:$Z$43,2)),0,HLOOKUP(L234,$Q$42:$Z$43,2))</f>
        <v>0</v>
      </c>
      <c r="G234" s="396">
        <f>SUM($F$30:$F$32)</f>
        <v>0</v>
      </c>
      <c r="H234" s="103">
        <f>SUM($F$30:$F$32)+$J$51</f>
        <v>0</v>
      </c>
      <c r="I234" s="103">
        <f>SUM($F$30:$F$32)+$J$51+$J$60</f>
        <v>0</v>
      </c>
      <c r="J234" s="21">
        <f t="shared" si="26"/>
        <v>0</v>
      </c>
      <c r="K234" s="21">
        <f t="shared" si="27"/>
        <v>0</v>
      </c>
      <c r="L234" s="21">
        <f t="shared" si="28"/>
        <v>0</v>
      </c>
      <c r="M234" s="346" t="s">
        <v>662</v>
      </c>
      <c r="P234" s="44"/>
      <c r="Q234" s="44"/>
    </row>
    <row r="235" spans="1:17" ht="13.5" hidden="1" x14ac:dyDescent="0.15">
      <c r="B235" s="10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357"/>
      <c r="N235" s="54"/>
      <c r="O235" s="258"/>
      <c r="P235" s="44"/>
      <c r="Q235" s="44"/>
    </row>
    <row r="236" spans="1:17" ht="13.5" hidden="1" x14ac:dyDescent="0.15">
      <c r="B236" s="248" t="s">
        <v>720</v>
      </c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258"/>
    </row>
    <row r="237" spans="1:17" ht="13.5" hidden="1" x14ac:dyDescent="0.15">
      <c r="A237" s="259">
        <v>1</v>
      </c>
      <c r="B237" s="51" t="s">
        <v>550</v>
      </c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258"/>
    </row>
    <row r="238" spans="1:17" ht="13.5" hidden="1" x14ac:dyDescent="0.15">
      <c r="A238" s="259" t="s">
        <v>721</v>
      </c>
      <c r="B238" s="51" t="s">
        <v>615</v>
      </c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58"/>
    </row>
    <row r="239" spans="1:17" ht="13.5" hidden="1" x14ac:dyDescent="0.15">
      <c r="A239" s="259">
        <v>2</v>
      </c>
      <c r="B239" s="338" t="s">
        <v>617</v>
      </c>
      <c r="C239" s="109"/>
      <c r="D239" s="109"/>
      <c r="E239" s="110"/>
      <c r="F239" s="358"/>
      <c r="G239" s="111"/>
      <c r="H239" s="111"/>
      <c r="I239" s="111"/>
      <c r="J239" s="46"/>
      <c r="K239" s="46"/>
      <c r="L239" s="46"/>
      <c r="M239" s="46"/>
      <c r="N239" s="9"/>
      <c r="O239" s="258"/>
    </row>
    <row r="240" spans="1:17" ht="13.5" hidden="1" x14ac:dyDescent="0.15">
      <c r="A240" s="259">
        <v>3</v>
      </c>
      <c r="B240" s="345" t="s">
        <v>645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4</v>
      </c>
      <c r="B241" s="338" t="s">
        <v>618</v>
      </c>
      <c r="C241" s="104"/>
      <c r="D241" s="104"/>
      <c r="E241" s="104"/>
      <c r="F241" s="112"/>
      <c r="G241" s="112"/>
      <c r="H241" s="112"/>
      <c r="I241" s="112"/>
      <c r="J241" s="46"/>
      <c r="K241" s="46"/>
      <c r="L241" s="46"/>
      <c r="M241" s="46"/>
      <c r="N241" s="46"/>
      <c r="O241" s="258"/>
    </row>
    <row r="242" spans="1:40" ht="13.5" hidden="1" x14ac:dyDescent="0.15">
      <c r="A242" s="259">
        <v>5</v>
      </c>
      <c r="B242" s="345" t="s">
        <v>646</v>
      </c>
      <c r="C242" s="104"/>
      <c r="D242" s="104"/>
      <c r="E242" s="104"/>
      <c r="F242" s="112"/>
      <c r="G242" s="112"/>
      <c r="H242" s="112"/>
      <c r="I242" s="112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6</v>
      </c>
      <c r="B243" s="345" t="s">
        <v>647</v>
      </c>
      <c r="C243" s="104"/>
      <c r="D243" s="104"/>
      <c r="E243" s="104"/>
      <c r="F243" s="112"/>
      <c r="G243" s="112"/>
      <c r="H243" s="112"/>
      <c r="I243" s="112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7</v>
      </c>
      <c r="B244" s="51" t="s">
        <v>551</v>
      </c>
      <c r="C244" s="104"/>
      <c r="D244" s="104"/>
      <c r="E244" s="104"/>
      <c r="F244" s="112"/>
      <c r="G244" s="112"/>
      <c r="H244" s="112"/>
      <c r="I244" s="112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8</v>
      </c>
      <c r="B245" s="51" t="s">
        <v>552</v>
      </c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9</v>
      </c>
      <c r="B246" s="51" t="s">
        <v>553</v>
      </c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58"/>
      <c r="AH246" s="69"/>
      <c r="AI246" s="69"/>
      <c r="AJ246" s="69"/>
      <c r="AK246" s="69"/>
      <c r="AL246" s="69"/>
      <c r="AM246" s="69"/>
      <c r="AN246" s="69"/>
    </row>
    <row r="247" spans="1:40" ht="13.5" hidden="1" x14ac:dyDescent="0.15">
      <c r="A247" s="259" t="s">
        <v>722</v>
      </c>
      <c r="B247" s="51" t="s">
        <v>616</v>
      </c>
      <c r="C247" s="109"/>
      <c r="D247" s="109"/>
      <c r="E247" s="110"/>
      <c r="F247" s="358"/>
      <c r="G247" s="111"/>
      <c r="H247" s="111"/>
      <c r="I247" s="111"/>
      <c r="J247" s="46"/>
      <c r="K247" s="46"/>
      <c r="L247" s="46"/>
      <c r="M247" s="46"/>
      <c r="N247" s="9"/>
      <c r="O247" s="258"/>
      <c r="AH247" s="69"/>
      <c r="AI247" s="69"/>
      <c r="AJ247" s="69"/>
      <c r="AK247" s="69"/>
      <c r="AL247" s="69"/>
      <c r="AM247" s="69"/>
      <c r="AN247" s="69"/>
    </row>
    <row r="248" spans="1:40" ht="13.5" hidden="1" x14ac:dyDescent="0.15">
      <c r="A248" s="259">
        <v>10</v>
      </c>
      <c r="B248" s="338" t="s">
        <v>619</v>
      </c>
      <c r="C248" s="104"/>
      <c r="D248" s="105"/>
      <c r="E248" s="106"/>
      <c r="F248" s="46"/>
      <c r="G248" s="46"/>
      <c r="H248" s="46"/>
      <c r="I248" s="46"/>
      <c r="J248" s="46"/>
      <c r="K248" s="46"/>
      <c r="L248" s="46"/>
      <c r="M248" s="46"/>
      <c r="N248" s="46"/>
      <c r="O248" s="258"/>
      <c r="AH248" s="69"/>
      <c r="AI248" s="69"/>
      <c r="AJ248" s="69"/>
      <c r="AK248" s="69"/>
      <c r="AL248" s="69"/>
      <c r="AM248" s="69"/>
      <c r="AN248" s="69"/>
    </row>
    <row r="249" spans="1:40" ht="13.5" hidden="1" x14ac:dyDescent="0.15">
      <c r="A249" s="259">
        <v>11</v>
      </c>
      <c r="B249" s="345" t="s">
        <v>648</v>
      </c>
      <c r="C249" s="104"/>
      <c r="D249" s="105"/>
      <c r="E249" s="106"/>
      <c r="F249" s="47"/>
      <c r="G249" s="47"/>
      <c r="H249" s="47"/>
      <c r="I249" s="47"/>
      <c r="J249" s="46"/>
      <c r="K249" s="46"/>
      <c r="L249" s="46"/>
      <c r="M249" s="46"/>
      <c r="N249" s="46"/>
      <c r="O249" s="258"/>
      <c r="AH249" s="69"/>
      <c r="AI249" s="69"/>
      <c r="AJ249" s="69"/>
      <c r="AK249" s="69"/>
      <c r="AL249" s="69"/>
      <c r="AM249" s="69"/>
      <c r="AN249" s="69"/>
    </row>
    <row r="250" spans="1:40" ht="13.5" hidden="1" x14ac:dyDescent="0.15">
      <c r="A250" s="259">
        <v>12</v>
      </c>
      <c r="B250" s="345" t="s">
        <v>649</v>
      </c>
      <c r="C250" s="104"/>
      <c r="D250" s="105"/>
      <c r="E250" s="106"/>
      <c r="F250" s="47"/>
      <c r="G250" s="111"/>
      <c r="H250" s="47"/>
      <c r="I250" s="47"/>
      <c r="J250" s="46"/>
      <c r="K250" s="46"/>
      <c r="L250" s="46"/>
      <c r="M250" s="46"/>
      <c r="N250" s="46"/>
      <c r="O250" s="258"/>
      <c r="AH250" s="69"/>
      <c r="AI250" s="69"/>
      <c r="AJ250" s="69"/>
      <c r="AK250" s="69"/>
      <c r="AL250" s="69"/>
      <c r="AM250" s="69"/>
      <c r="AN250" s="69"/>
    </row>
    <row r="251" spans="1:40" ht="13.5" hidden="1" x14ac:dyDescent="0.15">
      <c r="A251" s="259">
        <v>13</v>
      </c>
      <c r="B251" s="338" t="s">
        <v>620</v>
      </c>
      <c r="C251" s="104"/>
      <c r="D251" s="105"/>
      <c r="E251" s="106"/>
      <c r="F251" s="47"/>
      <c r="G251" s="111"/>
      <c r="H251" s="47"/>
      <c r="I251" s="47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14</v>
      </c>
      <c r="B252" s="345" t="s">
        <v>650</v>
      </c>
      <c r="C252" s="104"/>
      <c r="D252" s="105"/>
      <c r="E252" s="106"/>
      <c r="F252" s="47"/>
      <c r="G252" s="111"/>
      <c r="H252" s="47"/>
      <c r="I252" s="47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15</v>
      </c>
      <c r="B253" s="345" t="s">
        <v>651</v>
      </c>
      <c r="C253" s="104"/>
      <c r="D253" s="105"/>
      <c r="E253" s="106"/>
      <c r="F253" s="47"/>
      <c r="G253" s="111"/>
      <c r="H253" s="47"/>
      <c r="I253" s="47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16</v>
      </c>
      <c r="B254" s="339" t="s">
        <v>621</v>
      </c>
      <c r="C254" s="104"/>
      <c r="D254" s="105"/>
      <c r="E254" s="106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17</v>
      </c>
      <c r="B255" s="345" t="s">
        <v>652</v>
      </c>
      <c r="C255" s="104"/>
      <c r="D255" s="105"/>
      <c r="E255" s="106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18</v>
      </c>
      <c r="B256" s="345" t="s">
        <v>653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19</v>
      </c>
      <c r="B257" s="340" t="s">
        <v>622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20</v>
      </c>
      <c r="B258" s="345" t="s">
        <v>654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21</v>
      </c>
      <c r="B259" s="340" t="s">
        <v>623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22</v>
      </c>
      <c r="B260" s="345" t="s">
        <v>655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23</v>
      </c>
      <c r="B261" s="340" t="s">
        <v>624</v>
      </c>
      <c r="C261" s="104"/>
      <c r="D261" s="104"/>
      <c r="E261" s="104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24</v>
      </c>
      <c r="B262" s="340" t="s">
        <v>625</v>
      </c>
      <c r="C262" s="104"/>
      <c r="D262" s="104"/>
      <c r="E262" s="104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25</v>
      </c>
      <c r="B263" s="340" t="s">
        <v>626</v>
      </c>
      <c r="C263" s="104"/>
      <c r="D263" s="104"/>
      <c r="E263" s="104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26</v>
      </c>
      <c r="B264" s="51" t="s">
        <v>556</v>
      </c>
      <c r="C264" s="104"/>
      <c r="D264" s="104"/>
      <c r="E264" s="104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27</v>
      </c>
      <c r="B265" s="107" t="s">
        <v>549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28</v>
      </c>
      <c r="B266" s="340" t="s">
        <v>627</v>
      </c>
      <c r="C266" s="359"/>
      <c r="D266" s="111"/>
      <c r="E266" s="360"/>
      <c r="F266" s="112"/>
      <c r="G266" s="112"/>
      <c r="H266" s="112"/>
      <c r="I266" s="112"/>
      <c r="J266" s="46"/>
      <c r="K266" s="46"/>
      <c r="L266" s="46"/>
      <c r="M266" s="46"/>
      <c r="N266" s="361"/>
      <c r="O266" s="258"/>
    </row>
    <row r="267" spans="1:15" ht="13.5" hidden="1" x14ac:dyDescent="0.15">
      <c r="A267" s="259">
        <v>29</v>
      </c>
      <c r="B267" s="345" t="s">
        <v>663</v>
      </c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58"/>
    </row>
    <row r="268" spans="1:15" ht="13.5" hidden="1" x14ac:dyDescent="0.15">
      <c r="A268" s="259">
        <v>30</v>
      </c>
      <c r="B268" s="340" t="s">
        <v>628</v>
      </c>
      <c r="C268" s="109"/>
      <c r="D268" s="109"/>
      <c r="E268" s="110"/>
      <c r="F268" s="358"/>
      <c r="G268" s="111"/>
      <c r="H268" s="111"/>
      <c r="I268" s="111"/>
      <c r="J268" s="46"/>
      <c r="K268" s="46"/>
      <c r="L268" s="46"/>
      <c r="M268" s="46"/>
      <c r="N268" s="9"/>
      <c r="O268" s="258"/>
    </row>
    <row r="269" spans="1:15" ht="13.5" hidden="1" x14ac:dyDescent="0.15">
      <c r="A269" s="259">
        <v>31</v>
      </c>
      <c r="B269" s="51" t="s">
        <v>557</v>
      </c>
      <c r="C269" s="104"/>
      <c r="D269" s="105"/>
      <c r="E269" s="106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 t="s">
        <v>723</v>
      </c>
      <c r="B270" s="51" t="s">
        <v>614</v>
      </c>
      <c r="C270" s="104"/>
      <c r="D270" s="105"/>
      <c r="E270" s="106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32</v>
      </c>
      <c r="B271" s="345" t="s">
        <v>664</v>
      </c>
      <c r="C271" s="104"/>
      <c r="D271" s="105"/>
      <c r="E271" s="106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33</v>
      </c>
      <c r="B272" s="340" t="s">
        <v>629</v>
      </c>
      <c r="C272" s="104"/>
      <c r="D272" s="105"/>
      <c r="E272" s="106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34</v>
      </c>
      <c r="B273" s="345" t="s">
        <v>665</v>
      </c>
      <c r="C273" s="104"/>
      <c r="D273" s="105"/>
      <c r="E273" s="106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35</v>
      </c>
      <c r="B274" s="51" t="s">
        <v>559</v>
      </c>
      <c r="C274" s="104"/>
      <c r="D274" s="104"/>
      <c r="E274" s="104"/>
      <c r="F274" s="112"/>
      <c r="G274" s="112"/>
      <c r="H274" s="112"/>
      <c r="I274" s="112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36</v>
      </c>
      <c r="B275" s="51" t="s">
        <v>560</v>
      </c>
      <c r="C275" s="104"/>
      <c r="D275" s="104"/>
      <c r="E275" s="104"/>
      <c r="F275" s="112"/>
      <c r="G275" s="112"/>
      <c r="H275" s="112"/>
      <c r="I275" s="112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37</v>
      </c>
      <c r="B276" s="345" t="s">
        <v>689</v>
      </c>
      <c r="C276" s="104"/>
      <c r="D276" s="104"/>
      <c r="E276" s="104"/>
      <c r="F276" s="112"/>
      <c r="G276" s="112"/>
      <c r="H276" s="112"/>
      <c r="I276" s="112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38</v>
      </c>
      <c r="B277" s="345" t="s">
        <v>666</v>
      </c>
      <c r="C277" s="104"/>
      <c r="D277" s="104"/>
      <c r="E277" s="104"/>
      <c r="F277" s="112"/>
      <c r="G277" s="112"/>
      <c r="H277" s="112"/>
      <c r="I277" s="112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39</v>
      </c>
      <c r="B278" s="340" t="s">
        <v>630</v>
      </c>
      <c r="C278" s="104"/>
      <c r="D278" s="104"/>
      <c r="E278" s="104"/>
      <c r="F278" s="112"/>
      <c r="G278" s="112"/>
      <c r="H278" s="112"/>
      <c r="I278" s="112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40</v>
      </c>
      <c r="B279" s="340" t="s">
        <v>631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41</v>
      </c>
      <c r="B280" s="51" t="s">
        <v>561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42</v>
      </c>
      <c r="B281" s="345" t="s">
        <v>667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43</v>
      </c>
      <c r="B282" s="51" t="s">
        <v>562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44</v>
      </c>
      <c r="B283" s="51" t="s">
        <v>563</v>
      </c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45</v>
      </c>
      <c r="B284" s="51" t="s">
        <v>686</v>
      </c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46</v>
      </c>
      <c r="B285" s="345" t="s">
        <v>668</v>
      </c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47</v>
      </c>
      <c r="B286" s="345" t="s">
        <v>669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 t="s">
        <v>724</v>
      </c>
      <c r="B287" s="345" t="s">
        <v>701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48</v>
      </c>
      <c r="B288" s="51" t="s">
        <v>564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49</v>
      </c>
      <c r="B289" s="345" t="s">
        <v>670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50</v>
      </c>
      <c r="B290" s="340" t="s">
        <v>632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51</v>
      </c>
      <c r="B291" s="51" t="s">
        <v>565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52</v>
      </c>
      <c r="B292" s="51" t="s">
        <v>566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53</v>
      </c>
      <c r="B293" s="51" t="s">
        <v>567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54</v>
      </c>
      <c r="B294" s="51" t="s">
        <v>568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55</v>
      </c>
      <c r="B295" s="51" t="s">
        <v>569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56</v>
      </c>
      <c r="B296" s="340" t="s">
        <v>633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57</v>
      </c>
      <c r="B297" s="51" t="s">
        <v>570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58</v>
      </c>
      <c r="B298" s="51" t="s">
        <v>571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59</v>
      </c>
      <c r="B299" s="345" t="s">
        <v>671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60</v>
      </c>
      <c r="B300" s="51" t="s">
        <v>572</v>
      </c>
      <c r="C300" s="9"/>
      <c r="D300" s="9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58"/>
    </row>
    <row r="301" spans="1:15" ht="13.5" hidden="1" x14ac:dyDescent="0.15">
      <c r="A301" s="259">
        <v>61</v>
      </c>
      <c r="B301" s="51" t="s">
        <v>573</v>
      </c>
      <c r="C301" s="9"/>
      <c r="D301" s="9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258"/>
    </row>
    <row r="302" spans="1:15" ht="13.5" hidden="1" x14ac:dyDescent="0.15">
      <c r="A302" s="259">
        <v>62</v>
      </c>
      <c r="B302" s="51" t="s">
        <v>574</v>
      </c>
      <c r="C302" s="9"/>
      <c r="D302" s="9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258"/>
    </row>
    <row r="303" spans="1:15" ht="13.5" hidden="1" x14ac:dyDescent="0.15">
      <c r="A303" s="259">
        <v>63</v>
      </c>
      <c r="B303" s="345" t="s">
        <v>672</v>
      </c>
      <c r="C303" s="9"/>
      <c r="D303" s="9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258"/>
    </row>
    <row r="304" spans="1:15" ht="13.5" hidden="1" x14ac:dyDescent="0.15">
      <c r="A304" s="259">
        <v>64</v>
      </c>
      <c r="B304" s="51" t="s">
        <v>580</v>
      </c>
      <c r="C304" s="9"/>
      <c r="D304" s="9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258"/>
    </row>
    <row r="305" spans="1:15" ht="13.5" hidden="1" x14ac:dyDescent="0.15">
      <c r="A305" s="259">
        <v>65</v>
      </c>
      <c r="B305" s="51" t="s">
        <v>583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66</v>
      </c>
      <c r="B306" s="340" t="s">
        <v>634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67</v>
      </c>
      <c r="B307" s="51" t="s">
        <v>581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 t="s">
        <v>725</v>
      </c>
      <c r="B308" s="51" t="s">
        <v>684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68</v>
      </c>
      <c r="B309" s="108" t="s">
        <v>673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69</v>
      </c>
      <c r="B310" s="340" t="s">
        <v>635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70</v>
      </c>
      <c r="B311" s="108" t="s">
        <v>674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71</v>
      </c>
      <c r="B312" s="108" t="s">
        <v>675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72</v>
      </c>
      <c r="B313" s="108" t="s">
        <v>677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73</v>
      </c>
      <c r="B314" s="340" t="s">
        <v>636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74</v>
      </c>
      <c r="B315" s="108" t="s">
        <v>678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75</v>
      </c>
      <c r="B316" s="340" t="s">
        <v>637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76</v>
      </c>
      <c r="B317" s="108" t="s">
        <v>679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77</v>
      </c>
      <c r="B318" s="340" t="s">
        <v>638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78</v>
      </c>
      <c r="B319" s="108" t="s">
        <v>680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79</v>
      </c>
      <c r="B320" s="340" t="s">
        <v>639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80</v>
      </c>
      <c r="B321" s="340" t="s">
        <v>640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81</v>
      </c>
      <c r="B322" s="108" t="s">
        <v>681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82</v>
      </c>
      <c r="B323" s="51" t="s">
        <v>584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83</v>
      </c>
      <c r="B324" s="340" t="s">
        <v>683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84</v>
      </c>
      <c r="B325" s="340" t="s">
        <v>699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85</v>
      </c>
      <c r="B326" s="340" t="s">
        <v>641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86</v>
      </c>
      <c r="B327" s="340" t="s">
        <v>642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>
        <v>87</v>
      </c>
      <c r="B328" s="340" t="s">
        <v>643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88</v>
      </c>
      <c r="B329" s="340" t="s">
        <v>644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A330" s="259">
        <v>89</v>
      </c>
      <c r="B330" s="51" t="s">
        <v>585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A331" s="259">
        <v>90</v>
      </c>
      <c r="B331" s="108" t="s">
        <v>682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A332" s="259">
        <v>91</v>
      </c>
      <c r="B332" s="51" t="s">
        <v>586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A333" s="259" t="s">
        <v>726</v>
      </c>
      <c r="B333" s="51" t="s">
        <v>685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A334" s="259">
        <v>92</v>
      </c>
      <c r="B334" s="51" t="s">
        <v>588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  <row r="825" spans="2:15" ht="13.5" hidden="1" x14ac:dyDescent="0.15">
      <c r="B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258"/>
    </row>
    <row r="826" spans="2:15" ht="13.5" hidden="1" x14ac:dyDescent="0.15">
      <c r="B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258"/>
    </row>
    <row r="827" spans="2:15" ht="13.5" hidden="1" x14ac:dyDescent="0.15">
      <c r="B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258"/>
    </row>
    <row r="828" spans="2:15" ht="13.5" hidden="1" x14ac:dyDescent="0.15">
      <c r="B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258"/>
    </row>
    <row r="829" spans="2:15" ht="13.5" hidden="1" x14ac:dyDescent="0.15">
      <c r="B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106:E106"/>
    <mergeCell ref="B135:N135"/>
    <mergeCell ref="C128:E128"/>
    <mergeCell ref="F128:H128"/>
    <mergeCell ref="K115:S115"/>
    <mergeCell ref="B115:J115"/>
    <mergeCell ref="I128:J128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J105">
    <cfRule type="cellIs" dxfId="77" priority="1" stopIfTrue="1" operator="equal">
      <formula>"ATENDE TEMPO NO CARGO"</formula>
    </cfRule>
    <cfRule type="cellIs" dxfId="76" priority="2" stopIfTrue="1" operator="equal">
      <formula>"NÃO CUMPRE TEMPO NO CARGO"</formula>
    </cfRule>
  </conditionalFormatting>
  <conditionalFormatting sqref="M248:M266 M238:M244 M269:M292 C226:C228 C137:C182 N181:N182 C184:C203 C223:C224 C230:C234 C205:C221">
    <cfRule type="cellIs" dxfId="75" priority="3" stopIfTrue="1" operator="equal">
      <formula>"ANUÊNIO"</formula>
    </cfRule>
    <cfRule type="cellIs" dxfId="74" priority="4" stopIfTrue="1" operator="equal">
      <formula>"TRIÊNIO"</formula>
    </cfRule>
    <cfRule type="cellIs" dxfId="73" priority="5" stopIfTrue="1" operator="equal">
      <formula>"QUINQUÊNIO"</formula>
    </cfRule>
  </conditionalFormatting>
  <conditionalFormatting sqref="F72:F74">
    <cfRule type="cellIs" dxfId="72" priority="6" stopIfTrue="1" operator="equal">
      <formula>"NADA A CUMPRIR"</formula>
    </cfRule>
    <cfRule type="cellIs" dxfId="71" priority="7" stopIfTrue="1" operator="equal">
      <formula>"NÃO CABE"</formula>
    </cfRule>
    <cfRule type="cellIs" dxfId="70" priority="8" stopIfTrue="1" operator="greaterThanOrEqual">
      <formula>0</formula>
    </cfRule>
  </conditionalFormatting>
  <conditionalFormatting sqref="E71">
    <cfRule type="cellIs" dxfId="69" priority="9" stopIfTrue="1" operator="equal">
      <formula>"NÃO ATENDE LIMITE MÍNIMO DE IDADE"</formula>
    </cfRule>
    <cfRule type="cellIs" dxfId="68" priority="10" stopIfTrue="1" operator="equal">
      <formula>"REANALISAR FUNDAMENTAÇÃO E/OU MODALIDADE"</formula>
    </cfRule>
    <cfRule type="cellIs" dxfId="67" priority="11" stopIfTrue="1" operator="equal">
      <formula>"ATENDE LIMITE MÍNIMO DE IDADE"</formula>
    </cfRule>
  </conditionalFormatting>
  <conditionalFormatting sqref="N69 N71">
    <cfRule type="cellIs" dxfId="66" priority="12" stopIfTrue="1" operator="equal">
      <formula>0</formula>
    </cfRule>
  </conditionalFormatting>
  <conditionalFormatting sqref="K8">
    <cfRule type="expression" dxfId="65" priority="13" stopIfTrue="1">
      <formula>"SE($N$8=0)"</formula>
    </cfRule>
  </conditionalFormatting>
  <conditionalFormatting sqref="C73">
    <cfRule type="cellIs" dxfId="64" priority="14" stopIfTrue="1" operator="equal">
      <formula>"FALTA DATA"</formula>
    </cfRule>
  </conditionalFormatting>
  <conditionalFormatting sqref="M74">
    <cfRule type="cellIs" dxfId="63" priority="15" stopIfTrue="1" operator="equal">
      <formula>"ATENDE"</formula>
    </cfRule>
    <cfRule type="cellIs" dxfId="62" priority="16" stopIfTrue="1" operator="equal">
      <formula>"NÃO ATENDE"</formula>
    </cfRule>
    <cfRule type="cellIs" dxfId="61" priority="17" stopIfTrue="1" operator="equal">
      <formula>"NÃO CABE"</formula>
    </cfRule>
  </conditionalFormatting>
  <conditionalFormatting sqref="M73">
    <cfRule type="cellIs" dxfId="60" priority="18" stopIfTrue="1" operator="equal">
      <formula>"ATENDE"</formula>
    </cfRule>
    <cfRule type="cellIs" dxfId="59" priority="19" stopIfTrue="1" operator="equal">
      <formula>"NÃO ATENDE"</formula>
    </cfRule>
    <cfRule type="cellIs" dxfId="58" priority="20" stopIfTrue="1" operator="equal">
      <formula>"NÃO CABE"</formula>
    </cfRule>
  </conditionalFormatting>
  <conditionalFormatting sqref="M75:M76 L78:L86 L77:M77 L88:L91">
    <cfRule type="cellIs" dxfId="57" priority="21" stopIfTrue="1" operator="equal">
      <formula>"ATENDE"</formula>
    </cfRule>
    <cfRule type="cellIs" dxfId="56" priority="22" stopIfTrue="1" operator="equal">
      <formula>"NÃO ATENDE"</formula>
    </cfRule>
    <cfRule type="cellIs" dxfId="55" priority="23" stopIfTrue="1" operator="equal">
      <formula>"OK"</formula>
    </cfRule>
  </conditionalFormatting>
  <conditionalFormatting sqref="K42">
    <cfRule type="expression" dxfId="54" priority="24" stopIfTrue="1">
      <formula>$E$42&lt;=0</formula>
    </cfRule>
  </conditionalFormatting>
  <conditionalFormatting sqref="M42">
    <cfRule type="expression" dxfId="53" priority="25" stopIfTrue="1">
      <formula>$E$42&lt;=0</formula>
    </cfRule>
  </conditionalFormatting>
  <conditionalFormatting sqref="O70 I67">
    <cfRule type="cellIs" dxfId="52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1300-000000000000}">
      <formula1>$O$2:$O$7</formula1>
    </dataValidation>
    <dataValidation type="list" allowBlank="1" showInputMessage="1" showErrorMessage="1" sqref="E2:I2" xr:uid="{00000000-0002-0000-1300-000001000000}">
      <formula1>$B$95:$B$103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L829"/>
  <sheetViews>
    <sheetView showGridLines="0" zoomScale="75" zoomScaleNormal="75" workbookViewId="0" xr3:uid="{731C365F-4EDE-5636-9D2D-917179ED8537}">
      <selection activeCell="O9" sqref="O9"/>
    </sheetView>
  </sheetViews>
  <sheetFormatPr defaultColWidth="0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8.898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6.449218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0" style="21" hidden="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455</v>
      </c>
      <c r="F2" s="1850"/>
      <c r="G2" s="1850"/>
      <c r="H2" s="1850"/>
      <c r="I2" s="1850"/>
      <c r="J2" s="652" t="s">
        <v>462</v>
      </c>
      <c r="K2" s="1939" t="s">
        <v>485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IF(OR($E$2=$B$95,$E$2=$B$96,E2=B97),IF($M$13&gt;=5,"ATENDE","NÃO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IF(OR($E$2=$B$95,$E$2=$B$96,E2=B97),IF($M$15&gt;=10,"ATENDE","NÃO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54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54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 t="s">
        <v>744</v>
      </c>
      <c r="E14" s="1835" t="s">
        <v>728</v>
      </c>
      <c r="F14" s="1872"/>
      <c r="G14" s="656"/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">
        <v>613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168" t="s">
        <v>335</v>
      </c>
      <c r="C26" s="674">
        <f>CRÍTICA_IGP1!C26</f>
        <v>0</v>
      </c>
      <c r="D26" s="169" t="s">
        <v>336</v>
      </c>
      <c r="E26" s="674">
        <f>CRÍTICA_IGP1!E26</f>
        <v>0</v>
      </c>
      <c r="F26" s="171">
        <f>CRÍTICA_IGP1!F26</f>
        <v>0</v>
      </c>
      <c r="G26" s="149" t="s">
        <v>337</v>
      </c>
      <c r="H26" s="5"/>
      <c r="I26" s="5"/>
      <c r="J26" s="740">
        <f>CRÍTICA_IGP1!J26</f>
        <v>0</v>
      </c>
      <c r="K26" s="150"/>
      <c r="L26" s="150" t="s">
        <v>524</v>
      </c>
      <c r="M26" s="5"/>
      <c r="N26" s="740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149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0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149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0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149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676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149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298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149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0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149" t="s">
        <v>606</v>
      </c>
      <c r="C32" s="674">
        <f>CRÍTICA_IGP1!C32</f>
        <v>0</v>
      </c>
      <c r="D32" s="170" t="s">
        <v>336</v>
      </c>
      <c r="E32" s="677">
        <f>IF(CRÍTICA_IGP1!$E$32&lt;36145,CRÍTICA_IGP1!$E$32,0)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243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149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32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149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1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37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IF(E2=B103,IF(D12="X",IF(G10="X",ROUNDDOWN(SUM(F26:F34)*0.2,0),ROUNDDOWN(SUM(F26:F34)*0.17,0)),0),0)</f>
        <v>0</v>
      </c>
      <c r="N35" s="380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IF($E$37&lt;=$A$37,IF($F$38&lt;&gt;0,SUM($F$26:$F$35),0),0)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1302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IF(E41&gt;0,IF(E2=B95,E41,IF(E2=B96,E41,IF(E2=B102,E41,))),0)</f>
        <v>12775</v>
      </c>
      <c r="D41" s="178" t="b">
        <f>IF(E41&gt;0,IF(K2=O5,IF(E2=B103,E41,0)),0)</f>
        <v>0</v>
      </c>
      <c r="E41" s="179">
        <f>IF($E$2=B102,IF($G$10="X",(25*365)-$F$37,(30*365)-$F$37),IF($G$10="X",(30*365)-$F$37,(35*365)-$F$37))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CUMPRIR",IF(K2=O5,IF(E2=B103,"HÁ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IF(E42&gt;0,IF(E2=B102,ROUNDUP(E42*0.4,0),ROUNDUP(E42*0.2,0)),0)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IF(K2=O2,0,IF(K2=O3,A42,IF(K2=O4,A43,A44)))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18" customHeight="1" thickBot="1" x14ac:dyDescent="0.2">
      <c r="A46" s="376"/>
      <c r="B46" s="234"/>
      <c r="C46" s="1066"/>
      <c r="D46" s="1262"/>
      <c r="F46" s="1257">
        <f>IF(AND(C45&lt;&gt;"rever",E45&lt;&gt;"rever"),SUM(F47:F50),0)</f>
        <v>0</v>
      </c>
      <c r="G46" s="1305" t="str">
        <f>IF(AND($E$51&gt;=36145,$E$51&lt;=37985),$E$51,"REVER")</f>
        <v>REVER</v>
      </c>
      <c r="H46" s="1306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151" t="s">
        <v>335</v>
      </c>
      <c r="C47" s="674">
        <f>CRÍTICA_IGP1!C47</f>
        <v>0</v>
      </c>
      <c r="D47" s="170" t="s">
        <v>336</v>
      </c>
      <c r="E47" s="1248">
        <f>CRÍTICA_IGP1!E47</f>
        <v>0</v>
      </c>
      <c r="F47" s="171">
        <f>CRÍTICA_IGP1!F47</f>
        <v>0</v>
      </c>
      <c r="G47" s="296" t="s">
        <v>337</v>
      </c>
      <c r="H47" s="118"/>
      <c r="I47" s="118"/>
      <c r="J47" s="740">
        <f>CRÍTICA_IGP1!J47</f>
        <v>0</v>
      </c>
      <c r="K47" s="180"/>
      <c r="L47" s="180" t="s">
        <v>524</v>
      </c>
      <c r="M47" s="118"/>
      <c r="N47" s="740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149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298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149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298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x14ac:dyDescent="0.15">
      <c r="A50" s="376"/>
      <c r="B50" s="251" t="s">
        <v>606</v>
      </c>
      <c r="C50" s="674">
        <f>CRÍTICA_IGP1!C50</f>
        <v>0</v>
      </c>
      <c r="D50" s="271" t="s">
        <v>336</v>
      </c>
      <c r="E50" s="741">
        <f>CRÍTICA_IGP1!$E$50</f>
        <v>25567</v>
      </c>
      <c r="F50" s="171">
        <f>IF(C50=0,0,IF(E50=0,0,E50-C50+1))-N50</f>
        <v>0</v>
      </c>
      <c r="G50" s="251"/>
      <c r="H50" s="131"/>
      <c r="I50" s="131"/>
      <c r="J50" s="287" t="s">
        <v>704</v>
      </c>
      <c r="K50" s="162"/>
      <c r="L50" s="162"/>
      <c r="M50" s="297"/>
      <c r="N50" s="740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24.75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18" customHeight="1" x14ac:dyDescent="0.15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151" t="s">
        <v>335</v>
      </c>
      <c r="C54" s="674">
        <f>CRÍTICA_IGP1!C54</f>
        <v>0</v>
      </c>
      <c r="D54" s="170" t="s">
        <v>336</v>
      </c>
      <c r="E54" s="674">
        <f>CRÍTICA_IGP1!E54</f>
        <v>0</v>
      </c>
      <c r="F54" s="171">
        <f>CRÍTICA_IGP1!F54</f>
        <v>0</v>
      </c>
      <c r="G54" s="296" t="s">
        <v>337</v>
      </c>
      <c r="H54" s="118"/>
      <c r="I54" s="118"/>
      <c r="J54" s="740">
        <f>CRÍTICA_IGP1!J54</f>
        <v>0</v>
      </c>
      <c r="K54" s="180"/>
      <c r="L54" s="180" t="s">
        <v>524</v>
      </c>
      <c r="M54" s="118"/>
      <c r="N54" s="740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149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298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149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298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x14ac:dyDescent="0.15">
      <c r="A57" s="376"/>
      <c r="B57" s="251" t="s">
        <v>606</v>
      </c>
      <c r="C57" s="677">
        <f>CRÍTICA_IGP1!C57</f>
        <v>0</v>
      </c>
      <c r="D57" s="271" t="s">
        <v>336</v>
      </c>
      <c r="E57" s="674">
        <f>CRÍTICA_IGP1!E57</f>
        <v>0</v>
      </c>
      <c r="F57" s="171">
        <f>IF(C57=0,0,IF(E57=0,0,E57-C57+1))-N57</f>
        <v>0</v>
      </c>
      <c r="G57" s="251"/>
      <c r="H57" s="131"/>
      <c r="I57" s="131"/>
      <c r="J57" s="287" t="s">
        <v>704</v>
      </c>
      <c r="K57" s="162"/>
      <c r="L57" s="162"/>
      <c r="M57" s="297"/>
      <c r="N57" s="740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6" customHeight="1" thickBot="1" x14ac:dyDescent="0.2">
      <c r="A58" s="295"/>
      <c r="B58" s="685"/>
      <c r="C58" s="277" t="str">
        <f>IF(C54&gt;0,C54,IF(C55&gt;0,C55,IF(C56&gt;0,C56,IF(C57&gt;0,C57,"REVER"))))</f>
        <v>REVER</v>
      </c>
      <c r="D58" s="22"/>
      <c r="E58" s="289" t="str">
        <f>IF(E57&gt;0,E57,IF(E56&gt;0,E56,IF(E55&gt;0,E55,IF(E54&gt;0,E54,"REVER"))))</f>
        <v>REVER</v>
      </c>
      <c r="F58" s="302"/>
      <c r="G58" s="303"/>
      <c r="H58" s="303"/>
      <c r="I58" s="12"/>
      <c r="J58" s="5"/>
      <c r="K58" s="13"/>
      <c r="L58" s="14"/>
      <c r="M58" s="15"/>
      <c r="N58" s="1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6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 t="b">
        <f>IF(E2=B97,"NÃO CABE",IF(E2=B99,"NÃO CABE",IF(E2=B100,"NÃO CABE",IF(E2=B101,"NÃO CABE",IF(C65&gt;0,C65,"NADA A CUMPRIR")))))</f>
        <v>0</v>
      </c>
      <c r="D64" s="198"/>
      <c r="E64" s="199"/>
      <c r="F64" s="200"/>
      <c r="G64" s="198"/>
      <c r="H64" s="201">
        <f>IF($C$64="NÃO CABE",0,IF($C$65&gt;0,ROUNDDOWN($C$65/365,0),0))</f>
        <v>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 t="b">
        <f>IF(K2=O2,IF(E2=B102,R128,R127),IF(K2=O3,Q126,IF(K2=O6,Q126,IF(K2=O4,Q125,IF(K2=O5,Q125,IF($K$2=O7,Q129,0))))))</f>
        <v>0</v>
      </c>
      <c r="D65" s="205"/>
      <c r="E65" s="206"/>
      <c r="F65" s="207"/>
      <c r="G65" s="205"/>
      <c r="H65" s="207">
        <f>IF($C$64="NÃO CABE",0,IF($C$65&gt;0,ROUNDDOWN($C$65/365,0),0))</f>
        <v>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IF($O$10&lt;$D$136,VLOOKUP($E$6,$B$137:$Q$234,3,FALSE),IF($O$10&lt;$E$136,VLOOKUP($E$6,$B$137:$Q$234,4,FALSE),VLOOKUP($E$6,$B$137:$Q$234,5,FALSE)))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$95&lt;=$BC$93,VLOOKUP($C$8,$BB$96:$BH$135,2,FALSE),IF($BC$95&lt;=$BD$93,VLOOKUP($C$8,$BB$96:$BH$135,3,FALSE),IF($BC$95&lt;=$BE$93,VLOOKUP($C$8,$BB$96:$BH$135,4,FALSE),IF($BC$95&lt;=$BF$93,VLOOKUP($C$8,$BB$96:$BH$135,5,FALSE),IF($BC$95&lt;=$BG$93,VLOOKUP($C$8,$BB$96:$BH$135,6,FALSE),VLOOKUP($C$8,$BB$96:$BH$135,7,FALSE))))))</f>
        <v>#N/A</v>
      </c>
      <c r="F68" s="150"/>
      <c r="G68" s="150"/>
      <c r="H68" s="150"/>
      <c r="I68" s="221"/>
      <c r="J68" s="222" t="e">
        <f>IF($BC$92&lt;=$BC$93,VLOOKUP($C$8,$BB$96:$BH$135,2,FALSE),IF($BC$92&lt;=$BD$93,VLOOKUP($C$8,$BB$96:$BH$135,3,FALSE),IF($BC$92&lt;=$BE$93,VLOOKUP($C$8,$BB$96:$BH$135,4,FALSE),IF($BC$92&lt;=$BF$93,VLOOKUP($C$8,$BB$96:$BH$135,5,FALSE),IF($BC$92&lt;=$BG$93,VLOOKUP($C$8,$BB$96:$BH$135,6,FALSE),VLOOKUP($C$8,$BB$96:$BH$135,7,FALSE))))))</f>
        <v>#N/A</v>
      </c>
      <c r="K68" s="150" t="s">
        <v>448</v>
      </c>
      <c r="L68" s="153"/>
      <c r="M68" s="150"/>
      <c r="N68" s="223" t="str">
        <f>IF($K$2=$O$2,J107,IF($K$2=$O$3,J108,IF($K$2=$O$4,J109,IF($K$2=$O$5,J110,"NÃO CABE"))))</f>
        <v>NÃO CABE</v>
      </c>
      <c r="O68" s="254" t="str">
        <f>VLOOKUP($E$6,$B$137:$C$234,2,FALSE)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REGRA PERMANENTE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ESPECIAL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IF(K2=O3,IF(M109&gt;=N109,N108,"NÃO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IF($E$2=$L$116,$O$116,IF($E$2=$L$117,$O$117,IF($E$2=$L$118,$O$118,IF($E$2=$L$119,$O$119,IF($E$2=$L$120,$O$120,$O$121)))))</f>
        <v>REANALISAR FUNDAMENTAÇÃO E/OU MODALIDADE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 t="b">
        <f>C64</f>
        <v>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IF(OR(E6=B205,E6=B217,E6=B228),IF(L217&gt;=25,"FAZ JUS A 1/6 DA REMUNERAÇÃO",IF(L228&gt;=25,"FAZ JUS A 1/6 DA REMUNERAÇÃO",IF(L205&gt;=25,"FAZ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IF(ISERROR(HLOOKUP($J$182,$Q$73:$W$74,2)),0,HLOOKUP($J$182,$Q$73:$W$74,2))</f>
        <v>0</v>
      </c>
      <c r="T75" s="133" t="s">
        <v>451</v>
      </c>
      <c r="U75" s="132"/>
      <c r="V75" s="133"/>
      <c r="W75" s="132">
        <f>IF(ISERROR(HLOOKUP($K$182,$Q$73:$W$74,2)),0,HLOOKUP($K$182,$Q$73:$W$74,2))</f>
        <v>0</v>
      </c>
      <c r="X75" s="134" t="s">
        <v>507</v>
      </c>
      <c r="Y75" s="135"/>
      <c r="Z75" s="136"/>
      <c r="AA75" s="134"/>
      <c r="AB75" s="137">
        <f>IF(ISERROR(HLOOKUP($L$182,$Q$73:$W$74,2)),0,HLOOKUP($L$182,$Q$73:$W$74,2))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x14ac:dyDescent="0.15">
      <c r="A76" s="295"/>
      <c r="B76" s="394"/>
      <c r="C76" s="150"/>
      <c r="D76" s="395"/>
      <c r="E76" s="150"/>
      <c r="F76" s="150"/>
      <c r="G76" s="150"/>
      <c r="H76" s="150"/>
      <c r="I76" s="150"/>
      <c r="J76" s="153"/>
      <c r="K76" s="150"/>
      <c r="L76" s="150"/>
      <c r="M76" s="234"/>
      <c r="N76" s="260"/>
      <c r="O76" s="391" t="str">
        <f>IF($F$72="NADA A CUMPRIR","OK",IF($F$72="NÃO CABE","NÃO CABE","NÃO CUMPRE"))</f>
        <v>NÃO CUMPRE</v>
      </c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7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7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7" si="2">IF(OR($M$73="NÃO CABE",$M$73="ATENDE"),"SIM","NÃO")</f>
        <v>NÃO</v>
      </c>
      <c r="K78" s="414" t="str">
        <f t="shared" ref="K78:K87" si="3">IF(OR($M$74="NÃO CABE",$M$74="ATENDE"),"SIM","NÃO")</f>
        <v>SIM</v>
      </c>
      <c r="L78" s="412"/>
      <c r="M78" s="414" t="str">
        <f t="shared" ref="M78:M87" si="4">IF(OR($M$75="ATENDE",$M$75="OK"),"SIM","NÃO")</f>
        <v>NÃO</v>
      </c>
      <c r="N78" s="414" t="str">
        <f t="shared" ref="N78:N87" si="5"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NÃO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55"/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NÃO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5"/>
      <c r="Y80" s="5"/>
      <c r="Z80" s="5"/>
      <c r="AA80" s="5"/>
      <c r="AB80" s="5"/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NÃO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26"/>
      <c r="Y81" s="26"/>
      <c r="Z81" s="26"/>
      <c r="AA81" s="26"/>
      <c r="AB81" s="26"/>
      <c r="AC81" s="69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NÃO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1"/>
      <c r="AC82" s="69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X82" s="11"/>
      <c r="AY82" s="11"/>
      <c r="AZ82" s="11"/>
      <c r="BA82" s="85"/>
    </row>
    <row r="83" spans="1:64" ht="13.5" hidden="1" x14ac:dyDescent="0.15"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NÃO</v>
      </c>
      <c r="I83" s="413" t="str">
        <f t="shared" si="6"/>
        <v>NÃO</v>
      </c>
      <c r="J83" s="414" t="str">
        <f t="shared" si="2"/>
        <v>NÃO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1"/>
      <c r="AC83" s="69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X83" s="11"/>
      <c r="AY83" s="11"/>
      <c r="AZ83" s="11"/>
      <c r="BA83" s="85"/>
    </row>
    <row r="84" spans="1:64" ht="13.5" hidden="1" x14ac:dyDescent="0.15">
      <c r="B84" s="616" t="s">
        <v>487</v>
      </c>
      <c r="C84" s="414" t="str">
        <f t="shared" si="0"/>
        <v>NÃO</v>
      </c>
      <c r="D84" s="415"/>
      <c r="E84" s="18" t="s">
        <v>754</v>
      </c>
      <c r="F84" s="631"/>
      <c r="G84" s="18"/>
      <c r="H84" s="414" t="str">
        <f t="shared" si="1"/>
        <v>NÃO</v>
      </c>
      <c r="I84" s="413" t="str">
        <f t="shared" si="6"/>
        <v>NÃO</v>
      </c>
      <c r="J84" s="414" t="str">
        <f t="shared" si="2"/>
        <v>NÃO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1"/>
      <c r="AC84" s="69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X84" s="11"/>
      <c r="AY84" s="11"/>
      <c r="AZ84" s="11"/>
      <c r="BA84" s="85"/>
    </row>
    <row r="85" spans="1:64" ht="13.5" hidden="1" x14ac:dyDescent="0.15">
      <c r="B85" s="412" t="s">
        <v>467</v>
      </c>
      <c r="C85" s="414" t="str">
        <f t="shared" si="0"/>
        <v>NÃO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NÃO</v>
      </c>
      <c r="K85" s="414" t="str">
        <f t="shared" si="3"/>
        <v>SIM</v>
      </c>
      <c r="L85" s="412"/>
      <c r="M85" s="414" t="str">
        <f t="shared" si="4"/>
        <v>NÃO</v>
      </c>
      <c r="N85" s="414" t="str">
        <f t="shared" si="5"/>
        <v>NÃO</v>
      </c>
      <c r="O85" s="21"/>
      <c r="AC85" s="69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X85" s="11"/>
      <c r="AY85" s="11"/>
      <c r="AZ85" s="11"/>
      <c r="BA85" s="85"/>
    </row>
    <row r="86" spans="1:64" ht="13.5" hidden="1" x14ac:dyDescent="0.15">
      <c r="B86" s="412" t="s">
        <v>467</v>
      </c>
      <c r="C86" s="414" t="str">
        <f t="shared" si="0"/>
        <v>NÃO</v>
      </c>
      <c r="D86" s="415"/>
      <c r="E86" s="18" t="s">
        <v>485</v>
      </c>
      <c r="F86" s="631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NÃO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1"/>
      <c r="AC86" s="69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X86" s="11"/>
      <c r="AY86" s="11"/>
      <c r="AZ86" s="11"/>
      <c r="BA86" s="85"/>
    </row>
    <row r="87" spans="1:64" hidden="1" x14ac:dyDescent="0.15">
      <c r="B87" s="616" t="s">
        <v>484</v>
      </c>
      <c r="C87" s="414" t="str">
        <f t="shared" si="0"/>
        <v>NÃO</v>
      </c>
      <c r="D87" s="546"/>
      <c r="E87" s="33" t="s">
        <v>464</v>
      </c>
      <c r="F87" s="416"/>
      <c r="G87" s="185"/>
      <c r="H87" s="414" t="str">
        <f t="shared" si="1"/>
        <v>NÃO</v>
      </c>
      <c r="I87" s="413" t="str">
        <f>IF($D$14="X",IF($N$79="SIM","SIM","NÃO"),"NÃO")</f>
        <v>NÃO</v>
      </c>
      <c r="J87" s="414" t="str">
        <f t="shared" si="2"/>
        <v>NÃO</v>
      </c>
      <c r="K87" s="414" t="str">
        <f t="shared" si="3"/>
        <v>SIM</v>
      </c>
      <c r="L87" s="185"/>
      <c r="M87" s="414" t="str">
        <f t="shared" si="4"/>
        <v>NÃO</v>
      </c>
      <c r="N87" s="414" t="str">
        <f t="shared" si="5"/>
        <v>NÃO</v>
      </c>
      <c r="O87" s="21"/>
      <c r="AC87" s="69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X87" s="11"/>
      <c r="AY87" s="11"/>
      <c r="AZ87" s="11"/>
      <c r="BA87" s="85"/>
    </row>
    <row r="88" spans="1:64" ht="13.5" hidden="1" x14ac:dyDescent="0.15">
      <c r="B88" s="18" t="s">
        <v>455</v>
      </c>
      <c r="C88" s="414" t="str">
        <f>IF(OR($E$71="NADA A CRITICAR",$E$71="ATENDE LIMITE MÍNIMO DE IDADE"),"SIM","NÃO")</f>
        <v>NÃO</v>
      </c>
      <c r="D88" s="415"/>
      <c r="E88" s="18" t="s">
        <v>463</v>
      </c>
      <c r="F88" s="416"/>
      <c r="G88" s="18"/>
      <c r="H88" s="414" t="str">
        <f>IF(OR($F$72="NADA A CUMPRIR",$F$72="NÃO CABE"),"SIM","NÃO")</f>
        <v>NÃO</v>
      </c>
      <c r="I88" s="413" t="str">
        <f>IF(N88="SIM","SIM","NÃO")</f>
        <v>NÃO</v>
      </c>
      <c r="J88" s="414" t="str">
        <f>IF(OR($M$73="NÃO CABE",$M$73="ATENDE"),"SIM","NÃO")</f>
        <v>NÃO</v>
      </c>
      <c r="K88" s="414" t="str">
        <f>IF(OR($M$74="NÃO CABE",$M$74="ATENDE"),"SIM","NÃO")</f>
        <v>SIM</v>
      </c>
      <c r="L88" s="412"/>
      <c r="M88" s="414" t="str">
        <f>IF(OR($M$75="ATENDE",$M$75="OK"),"SIM","NÃO")</f>
        <v>NÃO</v>
      </c>
      <c r="N88" s="414" t="str">
        <f>IF(AND(C88="SIM",H88="SIM",J88="SIM",K88="SIM",M88="SIM"),"SIM","NÃO")</f>
        <v>NÃO</v>
      </c>
      <c r="O88" s="21"/>
      <c r="AC88" s="69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X88" s="11"/>
      <c r="AY88" s="11"/>
      <c r="AZ88" s="11"/>
      <c r="BA88" s="85"/>
    </row>
    <row r="89" spans="1:64" hidden="1" x14ac:dyDescent="0.15">
      <c r="B89" s="18" t="s">
        <v>455</v>
      </c>
      <c r="C89" s="414" t="str">
        <f>IF(OR($E$71="NADA A CRITICAR",$E$71="ATENDE LIMITE MÍNIMO DE IDADE"),"SIM","NÃO")</f>
        <v>NÃO</v>
      </c>
      <c r="D89" s="546"/>
      <c r="E89" s="18" t="s">
        <v>752</v>
      </c>
      <c r="F89" s="416"/>
      <c r="G89" s="18"/>
      <c r="H89" s="414" t="str">
        <f>IF(OR($F$72="NADA A CUMPRIR",$F$72="NÃO CABE"),"SIM","NÃO")</f>
        <v>NÃO</v>
      </c>
      <c r="I89" s="413" t="str">
        <f>IF(N89="SIM","SIM","NÃO")</f>
        <v>NÃO</v>
      </c>
      <c r="J89" s="414" t="str">
        <f>IF(OR($M$73="NÃO CABE",$M$73="ATENDE"),"SIM","NÃO")</f>
        <v>NÃO</v>
      </c>
      <c r="K89" s="414" t="str">
        <f>IF(OR($M$74="NÃO CABE",$M$74="ATENDE"),"SIM","NÃO")</f>
        <v>SIM</v>
      </c>
      <c r="L89" s="412"/>
      <c r="M89" s="414" t="str">
        <f>IF(OR($M$75="ATENDE",$M$75="OK"),"SIM","NÃO")</f>
        <v>NÃO</v>
      </c>
      <c r="N89" s="414" t="str">
        <f>IF(AND(C89="SIM",H89="SIM",J89="SIM",K89="SIM",M89="SIM"),"SIM","NÃO")</f>
        <v>NÃO</v>
      </c>
      <c r="O89" s="21"/>
      <c r="AC89" s="69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X89" s="11"/>
      <c r="AY89" s="11"/>
      <c r="AZ89" s="11"/>
      <c r="BA89" s="85"/>
    </row>
    <row r="90" spans="1:64" hidden="1" x14ac:dyDescent="0.15">
      <c r="B90" s="18" t="s">
        <v>455</v>
      </c>
      <c r="C90" s="414" t="str">
        <f>IF(OR($E$71="NADA A CRITICAR",$E$71="ATENDE LIMITE MÍNIMO DE IDADE"),"SIM","NÃO")</f>
        <v>NÃO</v>
      </c>
      <c r="D90" s="546"/>
      <c r="E90" s="18" t="s">
        <v>754</v>
      </c>
      <c r="F90" s="416"/>
      <c r="G90" s="18"/>
      <c r="H90" s="414" t="str">
        <f>IF(OR($F$72="NADA A CUMPRIR",$F$72="NÃO CABE"),"SIM","NÃO")</f>
        <v>NÃO</v>
      </c>
      <c r="I90" s="413" t="str">
        <f>IF(N90="SIM","SIM","NÃO")</f>
        <v>NÃO</v>
      </c>
      <c r="J90" s="414" t="str">
        <f>IF(OR($M$73="NÃO CABE",$M$73="ATENDE"),"SIM","NÃO")</f>
        <v>NÃO</v>
      </c>
      <c r="K90" s="414" t="str">
        <f>IF(OR($M$74="NÃO CABE",$M$74="ATENDE"),"SIM","NÃO")</f>
        <v>SIM</v>
      </c>
      <c r="L90" s="412"/>
      <c r="M90" s="414" t="str">
        <f>IF(OR($M$75="ATENDE",$M$75="OK"),"SIM","NÃO")</f>
        <v>NÃO</v>
      </c>
      <c r="N90" s="414" t="str">
        <f>IF(AND(C90="SIM",H90="SIM",J90="SIM",K90="SIM",M90="SIM"),"SIM","NÃO")</f>
        <v>NÃO</v>
      </c>
      <c r="O90" s="21"/>
      <c r="AC90" s="69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X90" s="11"/>
      <c r="AY90" s="11"/>
      <c r="AZ90" s="11"/>
      <c r="BA90" s="85"/>
    </row>
    <row r="91" spans="1:64" hidden="1" thickBot="1" x14ac:dyDescent="0.2">
      <c r="B91" s="617" t="s">
        <v>455</v>
      </c>
      <c r="C91" s="641" t="str">
        <f>IF(OR($E$71="NADA A CRITICAR",$E$71="ATENDE LIMITE MÍNIMO DE IDADE"),"SIM","NÃO")</f>
        <v>NÃO</v>
      </c>
      <c r="D91" s="646"/>
      <c r="E91" s="617" t="s">
        <v>485</v>
      </c>
      <c r="F91" s="643">
        <f>I67</f>
        <v>0</v>
      </c>
      <c r="G91" s="617"/>
      <c r="H91" s="641" t="str">
        <f>IF(OR($F$72="NADA A CUMPRIR",$F$72="NÃO CABE"),"SIM","NÃO")</f>
        <v>NÃO</v>
      </c>
      <c r="I91" s="644" t="str">
        <f>IF($D$14="X",IF($N$79="SIM","SIM","NÃO"),"NÃO")</f>
        <v>NÃO</v>
      </c>
      <c r="J91" s="641" t="str">
        <f>IF(OR($M$73="NÃO CABE",$M$73="ATENDE"),"SIM","NÃO")</f>
        <v>NÃO</v>
      </c>
      <c r="K91" s="641" t="str">
        <f>IF(OR($M$74="NÃO CABE",$M$74="ATENDE"),"SIM","NÃO")</f>
        <v>SIM</v>
      </c>
      <c r="L91" s="645"/>
      <c r="M91" s="641" t="str">
        <f>IF(OR($M$75="ATENDE",$M$75="OK"),"SIM","NÃO")</f>
        <v>NÃO</v>
      </c>
      <c r="N91" s="619" t="str">
        <f>IF($N$8&gt;=37986,"NÃO",IF(AND(C91="SIM",H91="SIM",J91="SIM",K91="SIM",M91="SIM"),"SIM","NÃO"))</f>
        <v>NÃO</v>
      </c>
      <c r="O91" s="21"/>
      <c r="AC91" s="69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X91" s="11"/>
      <c r="AY91" s="11"/>
      <c r="AZ91" s="11"/>
      <c r="BA91" s="85"/>
    </row>
    <row r="92" spans="1:64" ht="15.95" hidden="1" customHeight="1" thickTop="1" x14ac:dyDescent="0.15">
      <c r="C92" s="21"/>
      <c r="D92" s="21"/>
      <c r="F92" s="5"/>
      <c r="G92" s="5"/>
      <c r="H92" s="5"/>
      <c r="I92" s="5"/>
      <c r="J92" s="5"/>
      <c r="K92" s="5"/>
      <c r="L92" s="5"/>
      <c r="M92" s="2"/>
      <c r="N92" s="5"/>
      <c r="O92" s="21"/>
      <c r="AC92" s="69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Z92" s="11"/>
      <c r="BA92" s="85"/>
      <c r="BB92" s="686"/>
      <c r="BC92" s="687">
        <f>SUM(F30:F32)</f>
        <v>0</v>
      </c>
      <c r="BD92" s="687"/>
      <c r="BE92" s="687"/>
      <c r="BF92" s="688"/>
      <c r="BG92" s="688"/>
      <c r="BH92" s="688"/>
      <c r="BI92" s="688" t="s">
        <v>361</v>
      </c>
      <c r="BJ92" s="689" t="s">
        <v>362</v>
      </c>
      <c r="BK92" s="690" t="s">
        <v>362</v>
      </c>
      <c r="BL92" s="691" t="s">
        <v>363</v>
      </c>
    </row>
    <row r="93" spans="1:64" ht="15.95" hidden="1" customHeight="1" thickBot="1" x14ac:dyDescent="0.2">
      <c r="C93" s="21"/>
      <c r="D93" s="21"/>
      <c r="G93" s="5"/>
      <c r="H93" s="5"/>
      <c r="I93" s="5"/>
      <c r="J93" s="5"/>
      <c r="K93" s="5"/>
      <c r="L93" s="5"/>
      <c r="M93" s="2"/>
      <c r="N93" s="5"/>
      <c r="O93" s="21"/>
      <c r="AC93" s="69"/>
      <c r="AD93" s="70"/>
      <c r="AE93" s="70"/>
      <c r="AF93" s="70"/>
      <c r="AG93" s="69"/>
      <c r="AZ93" s="11"/>
      <c r="BA93" s="85"/>
      <c r="BB93" s="692" t="s">
        <v>364</v>
      </c>
      <c r="BC93" s="693">
        <v>5</v>
      </c>
      <c r="BD93" s="693">
        <v>10</v>
      </c>
      <c r="BE93" s="693">
        <v>15</v>
      </c>
      <c r="BF93" s="693">
        <v>20</v>
      </c>
      <c r="BG93" s="694">
        <v>25</v>
      </c>
      <c r="BH93" s="694" t="s">
        <v>365</v>
      </c>
      <c r="BI93" s="695" t="s">
        <v>366</v>
      </c>
      <c r="BJ93" s="696" t="s">
        <v>367</v>
      </c>
      <c r="BK93" s="697">
        <v>34820</v>
      </c>
      <c r="BL93" s="698">
        <v>34851</v>
      </c>
    </row>
    <row r="94" spans="1:64" ht="15.95" hidden="1" customHeight="1" thickBot="1" x14ac:dyDescent="0.2">
      <c r="B94" s="88" t="s">
        <v>449</v>
      </c>
      <c r="C94" s="89"/>
      <c r="D94" s="97" t="s">
        <v>546</v>
      </c>
      <c r="E94" s="98"/>
      <c r="F94" s="99"/>
      <c r="G94" s="5"/>
      <c r="H94" s="5"/>
      <c r="I94" s="5"/>
      <c r="J94" s="5"/>
      <c r="K94" s="5"/>
      <c r="L94" s="5"/>
      <c r="M94" s="2"/>
      <c r="N94" s="5"/>
      <c r="O94" s="21"/>
      <c r="AC94" s="69"/>
      <c r="AD94" s="70"/>
      <c r="AE94" s="70"/>
      <c r="AF94" s="70"/>
      <c r="AG94" s="69"/>
      <c r="AZ94" s="11"/>
      <c r="BA94" s="85"/>
      <c r="BB94" s="692"/>
      <c r="BC94" s="693"/>
      <c r="BD94" s="693"/>
      <c r="BE94" s="693"/>
      <c r="BF94" s="693"/>
      <c r="BG94" s="694"/>
      <c r="BH94" s="694"/>
      <c r="BI94" s="695"/>
      <c r="BJ94" s="696"/>
      <c r="BK94" s="697"/>
      <c r="BL94" s="698"/>
    </row>
    <row r="95" spans="1:64" ht="15.95" hidden="1" customHeight="1" thickBot="1" x14ac:dyDescent="0.2">
      <c r="B95" s="91" t="s">
        <v>450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1"/>
      <c r="AC95" s="69"/>
      <c r="AD95" s="21"/>
      <c r="AE95" s="21"/>
      <c r="AF95" s="21"/>
      <c r="AZ95" s="11"/>
      <c r="BA95" s="85"/>
      <c r="BB95" s="699"/>
      <c r="BC95" s="700">
        <f>(BC92+F45+F59)/365</f>
        <v>0</v>
      </c>
      <c r="BD95" s="701"/>
      <c r="BE95" s="701"/>
      <c r="BF95" s="701"/>
      <c r="BG95" s="701"/>
      <c r="BH95" s="701"/>
      <c r="BI95" s="702">
        <v>0.45</v>
      </c>
      <c r="BJ95" s="703"/>
      <c r="BK95" s="704"/>
      <c r="BL95" s="705" t="s">
        <v>368</v>
      </c>
    </row>
    <row r="96" spans="1:64" ht="15.95" hidden="1" customHeight="1" x14ac:dyDescent="0.15">
      <c r="B96" s="91" t="s">
        <v>455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06" t="s">
        <v>369</v>
      </c>
      <c r="BC96" s="707" t="s">
        <v>370</v>
      </c>
      <c r="BD96" s="708" t="s">
        <v>371</v>
      </c>
      <c r="BE96" s="708" t="s">
        <v>372</v>
      </c>
      <c r="BF96" s="708" t="s">
        <v>373</v>
      </c>
      <c r="BG96" s="708" t="s">
        <v>374</v>
      </c>
      <c r="BH96" s="709" t="s">
        <v>375</v>
      </c>
      <c r="BI96" s="710" t="e">
        <f>#REF!*1.45</f>
        <v>#REF!</v>
      </c>
      <c r="BJ96" s="711">
        <v>80.64</v>
      </c>
      <c r="BK96" s="712">
        <v>100</v>
      </c>
      <c r="BL96" s="713">
        <v>112</v>
      </c>
    </row>
    <row r="97" spans="2:64" ht="15.95" hidden="1" customHeight="1" x14ac:dyDescent="0.15">
      <c r="B97" s="91" t="s">
        <v>467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376</v>
      </c>
      <c r="BC97" s="715" t="s">
        <v>370</v>
      </c>
      <c r="BD97" s="716" t="s">
        <v>371</v>
      </c>
      <c r="BE97" s="716" t="s">
        <v>372</v>
      </c>
      <c r="BF97" s="716" t="s">
        <v>373</v>
      </c>
      <c r="BG97" s="716" t="s">
        <v>374</v>
      </c>
      <c r="BH97" s="717" t="s">
        <v>375</v>
      </c>
      <c r="BI97" s="718" t="e">
        <f>#REF!*1.45</f>
        <v>#REF!</v>
      </c>
      <c r="BJ97" s="719">
        <v>90.32</v>
      </c>
      <c r="BK97" s="720">
        <v>100</v>
      </c>
      <c r="BL97" s="721">
        <v>125.44</v>
      </c>
    </row>
    <row r="98" spans="2:64" ht="15.95" hidden="1" customHeight="1" x14ac:dyDescent="0.15">
      <c r="B98" s="91" t="s">
        <v>468</v>
      </c>
      <c r="C98" s="90"/>
      <c r="D98" s="90"/>
      <c r="E98" s="90"/>
      <c r="F98" s="92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377</v>
      </c>
      <c r="BC98" s="715" t="s">
        <v>371</v>
      </c>
      <c r="BD98" s="716" t="s">
        <v>372</v>
      </c>
      <c r="BE98" s="716" t="s">
        <v>373</v>
      </c>
      <c r="BF98" s="716" t="s">
        <v>374</v>
      </c>
      <c r="BG98" s="716" t="s">
        <v>375</v>
      </c>
      <c r="BH98" s="717" t="s">
        <v>378</v>
      </c>
      <c r="BI98" s="718" t="e">
        <f>#REF!*1.45</f>
        <v>#REF!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91" t="s">
        <v>470</v>
      </c>
      <c r="C99" s="90"/>
      <c r="D99" s="90"/>
      <c r="E99" s="90"/>
      <c r="F99" s="92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379</v>
      </c>
      <c r="BC99" s="715" t="s">
        <v>371</v>
      </c>
      <c r="BD99" s="716" t="s">
        <v>372</v>
      </c>
      <c r="BE99" s="716" t="s">
        <v>373</v>
      </c>
      <c r="BF99" s="716" t="s">
        <v>374</v>
      </c>
      <c r="BG99" s="716" t="s">
        <v>375</v>
      </c>
      <c r="BH99" s="717" t="s">
        <v>378</v>
      </c>
      <c r="BI99" s="718" t="e">
        <f>#REF!*1.45</f>
        <v>#REF!</v>
      </c>
      <c r="BJ99" s="719">
        <v>113.29</v>
      </c>
      <c r="BK99" s="720">
        <v>113.29</v>
      </c>
      <c r="BL99" s="721">
        <v>157.35</v>
      </c>
    </row>
    <row r="100" spans="2:64" ht="15.95" hidden="1" customHeight="1" x14ac:dyDescent="0.15">
      <c r="B100" s="91" t="s">
        <v>471</v>
      </c>
      <c r="C100" s="90"/>
      <c r="D100" s="90"/>
      <c r="E100" s="90"/>
      <c r="F100" s="92"/>
      <c r="G100" s="5"/>
      <c r="H100" s="5"/>
      <c r="I100" s="5"/>
      <c r="J100" s="5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380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 t="e">
        <f>#REF!*1.45</f>
        <v>#REF!</v>
      </c>
      <c r="BJ100" s="719">
        <v>126.89</v>
      </c>
      <c r="BK100" s="720">
        <v>129.88999999999999</v>
      </c>
      <c r="BL100" s="721">
        <v>176.23</v>
      </c>
    </row>
    <row r="101" spans="2:64" ht="15.95" hidden="1" customHeight="1" x14ac:dyDescent="0.15">
      <c r="B101" s="93" t="s">
        <v>472</v>
      </c>
      <c r="C101" s="90"/>
      <c r="D101" s="90"/>
      <c r="E101" s="90"/>
      <c r="F101" s="92"/>
      <c r="G101" s="5"/>
      <c r="H101" s="5"/>
      <c r="I101" s="5"/>
      <c r="J101" s="5"/>
      <c r="K101" s="5"/>
      <c r="L101" s="5"/>
      <c r="M101" s="2"/>
      <c r="N101" s="5"/>
      <c r="O101" s="255"/>
      <c r="AD101" s="70"/>
      <c r="AE101" s="70"/>
      <c r="AF101" s="70"/>
      <c r="AG101" s="69"/>
      <c r="AZ101" s="11"/>
      <c r="BA101" s="85"/>
      <c r="BB101" s="714" t="s">
        <v>328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A134*1.45</f>
        <v>0</v>
      </c>
      <c r="BJ101" s="719">
        <v>80.64</v>
      </c>
      <c r="BK101" s="720">
        <v>100</v>
      </c>
      <c r="BL101" s="721">
        <v>112</v>
      </c>
    </row>
    <row r="102" spans="2:64" ht="15.95" hidden="1" customHeight="1" x14ac:dyDescent="0.15">
      <c r="B102" s="93" t="s">
        <v>487</v>
      </c>
      <c r="C102" s="90"/>
      <c r="D102" s="90"/>
      <c r="E102" s="90"/>
      <c r="F102" s="92"/>
      <c r="G102" s="5"/>
      <c r="H102" s="5"/>
      <c r="I102" s="5"/>
      <c r="J102" s="5"/>
      <c r="K102" s="5"/>
      <c r="L102" s="5"/>
      <c r="M102" s="2"/>
      <c r="N102" s="5"/>
      <c r="O102" s="255"/>
      <c r="AD102" s="70"/>
      <c r="AE102" s="70"/>
      <c r="AF102" s="70"/>
      <c r="AG102" s="69"/>
      <c r="AZ102" s="11"/>
      <c r="BA102" s="85"/>
      <c r="BB102" s="714" t="s">
        <v>382</v>
      </c>
      <c r="BC102" s="715" t="s">
        <v>372</v>
      </c>
      <c r="BD102" s="716" t="s">
        <v>373</v>
      </c>
      <c r="BE102" s="716" t="s">
        <v>374</v>
      </c>
      <c r="BF102" s="716" t="s">
        <v>375</v>
      </c>
      <c r="BG102" s="716" t="s">
        <v>378</v>
      </c>
      <c r="BH102" s="717" t="s">
        <v>381</v>
      </c>
      <c r="BI102" s="718">
        <f>A135*1.45</f>
        <v>0</v>
      </c>
      <c r="BJ102" s="719">
        <v>90.32</v>
      </c>
      <c r="BK102" s="720">
        <v>100</v>
      </c>
      <c r="BL102" s="721">
        <v>125.44</v>
      </c>
    </row>
    <row r="103" spans="2:64" ht="15.95" hidden="1" customHeight="1" thickBot="1" x14ac:dyDescent="0.2">
      <c r="B103" s="94" t="s">
        <v>484</v>
      </c>
      <c r="C103" s="95"/>
      <c r="D103" s="95"/>
      <c r="E103" s="95"/>
      <c r="F103" s="96"/>
      <c r="G103" s="5"/>
      <c r="H103" s="5"/>
      <c r="I103" s="5"/>
      <c r="J103" s="5"/>
      <c r="K103" s="5"/>
      <c r="L103" s="5"/>
      <c r="M103" s="2"/>
      <c r="N103" s="5"/>
      <c r="O103" s="255"/>
      <c r="AD103" s="70"/>
      <c r="AE103" s="70"/>
      <c r="AF103" s="70"/>
      <c r="AG103" s="69"/>
      <c r="AZ103" s="11"/>
      <c r="BA103" s="85"/>
      <c r="BB103" s="714" t="s">
        <v>383</v>
      </c>
      <c r="BC103" s="715" t="s">
        <v>372</v>
      </c>
      <c r="BD103" s="716" t="s">
        <v>373</v>
      </c>
      <c r="BE103" s="716" t="s">
        <v>374</v>
      </c>
      <c r="BF103" s="716" t="s">
        <v>375</v>
      </c>
      <c r="BG103" s="716" t="s">
        <v>378</v>
      </c>
      <c r="BH103" s="717" t="s">
        <v>381</v>
      </c>
      <c r="BI103" s="718">
        <f>A136*1.45</f>
        <v>0</v>
      </c>
      <c r="BJ103" s="719">
        <v>101.15</v>
      </c>
      <c r="BK103" s="720">
        <v>101.15</v>
      </c>
      <c r="BL103" s="721">
        <v>140.4</v>
      </c>
    </row>
    <row r="104" spans="2:64" ht="15.95" hidden="1" customHeight="1" x14ac:dyDescent="0.15">
      <c r="B104" s="3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2"/>
      <c r="N104" s="5"/>
      <c r="O104" s="255"/>
      <c r="AD104" s="70"/>
      <c r="AE104" s="70"/>
      <c r="AF104" s="70"/>
      <c r="AG104" s="69"/>
      <c r="AZ104" s="11"/>
      <c r="BA104" s="85"/>
      <c r="BB104" s="714" t="s">
        <v>384</v>
      </c>
      <c r="BC104" s="715" t="s">
        <v>372</v>
      </c>
      <c r="BD104" s="716" t="s">
        <v>373</v>
      </c>
      <c r="BE104" s="716" t="s">
        <v>374</v>
      </c>
      <c r="BF104" s="716" t="s">
        <v>375</v>
      </c>
      <c r="BG104" s="716" t="s">
        <v>378</v>
      </c>
      <c r="BH104" s="717" t="s">
        <v>381</v>
      </c>
      <c r="BI104" s="718">
        <f>A137*1.45</f>
        <v>1.45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30"/>
      <c r="C105" s="5"/>
      <c r="D105" s="5"/>
      <c r="E105" s="5"/>
      <c r="F105" s="5"/>
      <c r="G105" s="5"/>
      <c r="H105" s="5"/>
      <c r="I105" s="5"/>
      <c r="J105" s="74"/>
      <c r="K105" s="5"/>
      <c r="L105" s="5"/>
      <c r="M105" s="2"/>
      <c r="N105" s="5"/>
      <c r="O105" s="255"/>
      <c r="AD105" s="70"/>
      <c r="AE105" s="70"/>
      <c r="AF105" s="70"/>
      <c r="AG105" s="69"/>
      <c r="AZ105" s="11"/>
      <c r="BA105" s="85"/>
      <c r="BB105" s="714" t="s">
        <v>385</v>
      </c>
      <c r="BC105" s="715" t="s">
        <v>372</v>
      </c>
      <c r="BD105" s="716" t="s">
        <v>373</v>
      </c>
      <c r="BE105" s="716" t="s">
        <v>374</v>
      </c>
      <c r="BF105" s="716" t="s">
        <v>375</v>
      </c>
      <c r="BG105" s="716" t="s">
        <v>378</v>
      </c>
      <c r="BH105" s="717" t="s">
        <v>381</v>
      </c>
      <c r="BI105" s="718">
        <f>A137*1.45</f>
        <v>1.45</v>
      </c>
      <c r="BJ105" s="719">
        <v>126.89</v>
      </c>
      <c r="BK105" s="720">
        <v>126.89</v>
      </c>
      <c r="BL105" s="721">
        <v>176.23</v>
      </c>
    </row>
    <row r="106" spans="2:64" ht="13.5" hidden="1" x14ac:dyDescent="0.15">
      <c r="B106" s="1849" t="s">
        <v>508</v>
      </c>
      <c r="C106" s="1849"/>
      <c r="D106" s="1849"/>
      <c r="E106" s="1849"/>
      <c r="H106" s="5"/>
      <c r="I106" s="37"/>
      <c r="J106" s="5"/>
      <c r="K106" s="27"/>
      <c r="L106" s="6"/>
      <c r="M106" s="27"/>
      <c r="N106" s="60"/>
      <c r="O106" s="255"/>
      <c r="AD106" s="70"/>
      <c r="AE106" s="70"/>
      <c r="AF106" s="70"/>
      <c r="AG106" s="69"/>
      <c r="AZ106" s="11"/>
      <c r="BA106" s="85"/>
      <c r="BB106" s="714" t="s">
        <v>386</v>
      </c>
      <c r="BC106" s="715" t="s">
        <v>372</v>
      </c>
      <c r="BD106" s="716" t="s">
        <v>373</v>
      </c>
      <c r="BE106" s="716" t="s">
        <v>374</v>
      </c>
      <c r="BF106" s="716" t="s">
        <v>375</v>
      </c>
      <c r="BG106" s="716" t="s">
        <v>378</v>
      </c>
      <c r="BH106" s="717" t="s">
        <v>381</v>
      </c>
      <c r="BI106" s="718">
        <f>A138*1.45</f>
        <v>2.9</v>
      </c>
      <c r="BJ106" s="719">
        <v>126.89</v>
      </c>
      <c r="BK106" s="720">
        <v>126.89</v>
      </c>
      <c r="BL106" s="721">
        <v>176.23</v>
      </c>
    </row>
    <row r="107" spans="2:64" hidden="1" thickBot="1" x14ac:dyDescent="0.2">
      <c r="B107" s="34" t="s">
        <v>463</v>
      </c>
      <c r="C107" s="17"/>
      <c r="D107" s="21"/>
      <c r="E107" s="36"/>
      <c r="F107" s="5"/>
      <c r="G107" s="28"/>
      <c r="H107" s="5"/>
      <c r="I107" s="17" t="s">
        <v>463</v>
      </c>
      <c r="J107" s="5" t="str">
        <f>IF(E2=B97,H108,IF(E2=B99,H108,IF(E2=B101,H108,IF(E2=B102,H108,"NÃO CABE"))))</f>
        <v>NÃO CABE</v>
      </c>
      <c r="K107" s="27"/>
      <c r="L107" s="6" t="s">
        <v>510</v>
      </c>
      <c r="M107" s="27"/>
      <c r="N107" s="60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Z107" s="11"/>
      <c r="BA107" s="85"/>
      <c r="BB107" s="714" t="s">
        <v>387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 t="e">
        <f>A139*1.45</f>
        <v>#VALUE!</v>
      </c>
      <c r="BJ107" s="719">
        <v>142.12</v>
      </c>
      <c r="BK107" s="720">
        <v>142.12</v>
      </c>
      <c r="BL107" s="721">
        <v>197.38</v>
      </c>
    </row>
    <row r="108" spans="2:64" hidden="1" thickBot="1" x14ac:dyDescent="0.2">
      <c r="B108" s="34" t="s">
        <v>485</v>
      </c>
      <c r="C108" s="17"/>
      <c r="D108" s="16"/>
      <c r="E108" s="57" t="str">
        <f>IF($F$108="NÃO CABE","NÃO CABE",IF($G$10="X",$F$108/30,$F$108/35))</f>
        <v>NÃO CABE</v>
      </c>
      <c r="F108" s="10" t="str">
        <f>IF(E2="VOLUNTÁRIA ESPECIAL","NÃO CABE",IF(E2="VOLUNTÁRIA INTEGRAL","NÃO CABE",IF(E2="COMPULSÓRIA INTEGRAL","NÃO CABE",IF(E2="INVALIDEZ INTEGRAL","NÃO CABE",ROUNDDOWN(F61/365,0)))))</f>
        <v>NÃO CABE</v>
      </c>
      <c r="G108" s="28"/>
      <c r="H108" s="14">
        <f>IF(E108&gt;1,1,E108)</f>
        <v>1</v>
      </c>
      <c r="I108" s="17" t="s">
        <v>485</v>
      </c>
      <c r="J108" s="5" t="str">
        <f>IF($E$2=$B$97,H108,IF($E$2=$B$99,H108,IF($E$2=$B$101,H108,"NÃO CABE")))</f>
        <v>NÃO CABE</v>
      </c>
      <c r="K108" s="27"/>
      <c r="L108" s="57" t="str">
        <f>IF($F$108="NÃO CABE","NÃO CABE",IF($G$10="X",$F$61/10950,$F$61/12775))</f>
        <v>NÃO CABE</v>
      </c>
      <c r="M108" s="14">
        <f>IF(L108&gt;1,1,L108)</f>
        <v>1</v>
      </c>
      <c r="N108" s="5" t="str">
        <f>IF($E$2=$B$97,M108,IF($E$2=$B$99,M108,IF($E$2=$B$101,M108,"NÃO CABE")))</f>
        <v>NÃO CABE</v>
      </c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Z108" s="11"/>
      <c r="BA108" s="85"/>
      <c r="BB108" s="714" t="s">
        <v>389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A141*1.45</f>
        <v>5.8</v>
      </c>
      <c r="BJ108" s="719">
        <v>90.32</v>
      </c>
      <c r="BK108" s="720">
        <v>100</v>
      </c>
      <c r="BL108" s="721">
        <v>125.44</v>
      </c>
    </row>
    <row r="109" spans="2:64" hidden="1" thickBot="1" x14ac:dyDescent="0.2">
      <c r="B109" s="34" t="s">
        <v>476</v>
      </c>
      <c r="C109" s="17"/>
      <c r="D109" s="16"/>
      <c r="E109" s="58" t="str">
        <f>IF(E2=B102,IF(C65&gt;0,"TEMPO A CUMPRIR",IF(F109=1,75%,IF(F109=2,80%,IF(F109=3,85%,IF(F109=4,90%,IF(F109=5,95%,IF(F109&gt;=6,100%,70%))))))),"NÃO CABE")</f>
        <v>NÃO CABE</v>
      </c>
      <c r="F109" s="10">
        <f>IF(G10="X",ROUNDDOWN((F61-(25*365+E43))/365,0),ROUNDDOWN((F61-(30*365+E43))/365,0))</f>
        <v>-30</v>
      </c>
      <c r="G109" s="28"/>
      <c r="I109" s="17" t="s">
        <v>476</v>
      </c>
      <c r="J109" s="5" t="str">
        <f>IF(E2=B102,E109,"NÃO CABE")</f>
        <v>NÃO CABE</v>
      </c>
      <c r="K109" s="27"/>
      <c r="L109" s="65"/>
      <c r="M109" s="66">
        <f>O10</f>
        <v>0</v>
      </c>
      <c r="N109" s="60">
        <v>38037</v>
      </c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Z109" s="11"/>
      <c r="BA109" s="85"/>
      <c r="BB109" s="714" t="s">
        <v>390</v>
      </c>
      <c r="BC109" s="715" t="s">
        <v>373</v>
      </c>
      <c r="BD109" s="716" t="s">
        <v>374</v>
      </c>
      <c r="BE109" s="716" t="s">
        <v>375</v>
      </c>
      <c r="BF109" s="716" t="s">
        <v>378</v>
      </c>
      <c r="BG109" s="716" t="s">
        <v>381</v>
      </c>
      <c r="BH109" s="717" t="s">
        <v>388</v>
      </c>
      <c r="BI109" s="718"/>
      <c r="BJ109" s="719"/>
      <c r="BK109" s="720"/>
      <c r="BL109" s="721"/>
    </row>
    <row r="110" spans="2:64" hidden="1" thickBot="1" x14ac:dyDescent="0.2">
      <c r="B110" s="35" t="s">
        <v>464</v>
      </c>
      <c r="C110" s="33"/>
      <c r="D110" s="16"/>
      <c r="E110" s="36" t="s">
        <v>457</v>
      </c>
      <c r="F110" s="5">
        <f>IF($D$12="X",50-$N$11,55-$N$11)</f>
        <v>55</v>
      </c>
      <c r="G110" s="28"/>
      <c r="H110" s="59" t="str">
        <f>IF($G$10="X",IF($O$9&gt;=17532,IF($O$10&gt;=38718,1-($F$110*0.05),1-($F$110*0.035)),"NÃO CABE"),IF($O$9&gt;=19359,IF($O$10&gt;=38718,1-($F$111*0.05),1-($F$111*0.035)),"NÃO CABE"))</f>
        <v>NÃO CABE</v>
      </c>
      <c r="I110" s="33" t="s">
        <v>464</v>
      </c>
      <c r="J110" s="61" t="str">
        <f>IF(E2=B103,H111,"NÃO CABE")</f>
        <v>NÃO CABE</v>
      </c>
      <c r="K110" s="27"/>
      <c r="L110" s="6"/>
      <c r="M110" s="27"/>
      <c r="N110" s="60"/>
      <c r="O110" s="255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391</v>
      </c>
      <c r="BC110" s="715" t="s">
        <v>373</v>
      </c>
      <c r="BD110" s="716" t="s">
        <v>374</v>
      </c>
      <c r="BE110" s="716" t="s">
        <v>375</v>
      </c>
      <c r="BF110" s="716" t="s">
        <v>378</v>
      </c>
      <c r="BG110" s="716" t="s">
        <v>381</v>
      </c>
      <c r="BH110" s="717" t="s">
        <v>388</v>
      </c>
      <c r="BI110" s="718" t="e">
        <f>A143*1.45</f>
        <v>#VALUE!</v>
      </c>
      <c r="BJ110" s="719">
        <v>101.15</v>
      </c>
      <c r="BK110" s="720">
        <v>101.15</v>
      </c>
      <c r="BL110" s="721">
        <v>140.4</v>
      </c>
    </row>
    <row r="111" spans="2:64" ht="13.5" hidden="1" x14ac:dyDescent="0.15">
      <c r="B111" s="39">
        <v>38717</v>
      </c>
      <c r="C111" s="11">
        <v>38717</v>
      </c>
      <c r="D111" s="16"/>
      <c r="E111" s="36" t="s">
        <v>456</v>
      </c>
      <c r="F111" s="5">
        <f>IF($D$12="X",55-$N$11,60-$N$11)</f>
        <v>60</v>
      </c>
      <c r="G111" s="28"/>
      <c r="H111" s="14">
        <f>IF(H110="NÃO CABE",0,IF(H110&gt;1,1,H110))</f>
        <v>0</v>
      </c>
      <c r="I111" s="18"/>
      <c r="J111" s="5"/>
      <c r="K111" s="27"/>
      <c r="L111" s="6"/>
      <c r="M111" s="27"/>
      <c r="N111" s="60"/>
      <c r="O111" s="255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S111" s="69"/>
      <c r="AX111" s="11"/>
      <c r="AY111" s="11"/>
      <c r="AZ111" s="11"/>
      <c r="BA111" s="85"/>
      <c r="BB111" s="714" t="s">
        <v>392</v>
      </c>
      <c r="BC111" s="715" t="s">
        <v>373</v>
      </c>
      <c r="BD111" s="716" t="s">
        <v>374</v>
      </c>
      <c r="BE111" s="716" t="s">
        <v>375</v>
      </c>
      <c r="BF111" s="716" t="s">
        <v>378</v>
      </c>
      <c r="BG111" s="716" t="s">
        <v>381</v>
      </c>
      <c r="BH111" s="717" t="s">
        <v>388</v>
      </c>
      <c r="BI111" s="718"/>
      <c r="BJ111" s="719"/>
      <c r="BK111" s="720"/>
      <c r="BL111" s="721"/>
    </row>
    <row r="112" spans="2:64" ht="13.5" hidden="1" x14ac:dyDescent="0.15">
      <c r="B112" s="39">
        <v>38718</v>
      </c>
      <c r="C112" s="11">
        <v>38718</v>
      </c>
      <c r="D112" s="8"/>
      <c r="E112" s="63"/>
      <c r="F112" s="6"/>
      <c r="G112" s="6"/>
      <c r="H112" s="6"/>
      <c r="I112" s="18"/>
      <c r="J112" s="9"/>
      <c r="K112" s="5"/>
      <c r="L112" s="6"/>
      <c r="M112" s="10"/>
      <c r="N112" s="11"/>
      <c r="O112" s="255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393</v>
      </c>
      <c r="BC112" s="715" t="s">
        <v>373</v>
      </c>
      <c r="BD112" s="716" t="s">
        <v>374</v>
      </c>
      <c r="BE112" s="716" t="s">
        <v>375</v>
      </c>
      <c r="BF112" s="716" t="s">
        <v>378</v>
      </c>
      <c r="BG112" s="716" t="s">
        <v>381</v>
      </c>
      <c r="BH112" s="717" t="s">
        <v>388</v>
      </c>
      <c r="BI112" s="718">
        <f>A144*1.45</f>
        <v>8.6999999999999993</v>
      </c>
      <c r="BJ112" s="719">
        <v>113.29</v>
      </c>
      <c r="BK112" s="720">
        <v>113.29</v>
      </c>
      <c r="BL112" s="721">
        <v>157.35</v>
      </c>
    </row>
    <row r="113" spans="2:64" ht="13.5" hidden="1" x14ac:dyDescent="0.15">
      <c r="B113" s="62"/>
      <c r="C113" s="38">
        <v>38097</v>
      </c>
      <c r="D113" s="8"/>
      <c r="E113" s="5"/>
      <c r="F113" s="6"/>
      <c r="G113" s="6"/>
      <c r="H113" s="6"/>
      <c r="I113" s="6"/>
      <c r="J113" s="9"/>
      <c r="K113" s="5"/>
      <c r="L113" s="6"/>
      <c r="M113" s="10"/>
      <c r="N113" s="11"/>
      <c r="O113" s="255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394</v>
      </c>
      <c r="BC113" s="715" t="s">
        <v>373</v>
      </c>
      <c r="BD113" s="716" t="s">
        <v>374</v>
      </c>
      <c r="BE113" s="716" t="s">
        <v>375</v>
      </c>
      <c r="BF113" s="716" t="s">
        <v>378</v>
      </c>
      <c r="BG113" s="716" t="s">
        <v>381</v>
      </c>
      <c r="BH113" s="717" t="s">
        <v>388</v>
      </c>
      <c r="BI113" s="718">
        <f>A145*1.45</f>
        <v>10.15</v>
      </c>
      <c r="BJ113" s="719">
        <v>113.29</v>
      </c>
      <c r="BK113" s="720">
        <v>113.29</v>
      </c>
      <c r="BL113" s="721">
        <v>157.35</v>
      </c>
    </row>
    <row r="114" spans="2:64" ht="13.5" hidden="1" x14ac:dyDescent="0.15">
      <c r="B114" s="6"/>
      <c r="C114" s="38"/>
      <c r="D114" s="8"/>
      <c r="E114" s="5"/>
      <c r="F114" s="6"/>
      <c r="G114" s="6"/>
      <c r="H114" s="6"/>
      <c r="I114" s="6"/>
      <c r="J114" s="9"/>
      <c r="K114" s="5"/>
      <c r="L114" s="6"/>
      <c r="M114" s="10"/>
      <c r="N114" s="11"/>
      <c r="O114" s="255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395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1849" t="s">
        <v>477</v>
      </c>
      <c r="C115" s="1849"/>
      <c r="D115" s="1849"/>
      <c r="E115" s="1849"/>
      <c r="F115" s="1849"/>
      <c r="G115" s="1849"/>
      <c r="H115" s="1849"/>
      <c r="I115" s="1849"/>
      <c r="J115" s="1849"/>
      <c r="K115" s="1849" t="s">
        <v>477</v>
      </c>
      <c r="L115" s="1849"/>
      <c r="M115" s="1849"/>
      <c r="N115" s="1849"/>
      <c r="O115" s="1849"/>
      <c r="P115" s="1849"/>
      <c r="Q115" s="1849"/>
      <c r="R115" s="1849"/>
      <c r="S115" s="1849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399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13.049999999999999</v>
      </c>
      <c r="BJ115" s="719">
        <v>126.89</v>
      </c>
      <c r="BK115" s="720">
        <v>126.89</v>
      </c>
      <c r="BL115" s="721">
        <v>176.23</v>
      </c>
    </row>
    <row r="116" spans="2:64" ht="13.5" hidden="1" x14ac:dyDescent="0.15">
      <c r="B116" s="19" t="s">
        <v>480</v>
      </c>
      <c r="C116" s="8"/>
      <c r="D116" s="8"/>
      <c r="E116" s="5"/>
      <c r="F116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6" s="6"/>
      <c r="H116" s="6"/>
      <c r="I116" s="6"/>
      <c r="J116" s="9"/>
      <c r="K116" s="5"/>
      <c r="L116" s="41" t="s">
        <v>450</v>
      </c>
      <c r="M116" s="10"/>
      <c r="N116" s="11"/>
      <c r="O116" s="255" t="b">
        <f>IF(E2=L116,IF(K2=O3,F116,IF(K2=O4,F118,IF(K2=O6,F116,IF(K2=O7,F117,IF(K2=O2,"NADA A CRITICAR","REANALISAR FUNDAMENTAÇÃO E/OU MODALIDADE"))))))</f>
        <v>0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400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6" t="s">
        <v>481</v>
      </c>
      <c r="D117" s="10"/>
      <c r="E117" s="11"/>
      <c r="F117" s="6" t="str">
        <f>IF(G10="X",IF(O9&gt;=I130,"ATENDE LIMITE MÍNIMO DE IDADE","NÃO ATENDE LIMITE MÍNIMO DE IDADE"),IF(O9&gt;=J130,"ATENDE LIMITE MÍNIMO DE IDADE","NÃO ATENDE LIMITE MÍNIMO DE IDADE"))</f>
        <v>NÃO ATENDE LIMITE MÍNIMO DE IDADE</v>
      </c>
      <c r="G117" s="6"/>
      <c r="H117" s="6"/>
      <c r="I117" s="6"/>
      <c r="J117" s="9"/>
      <c r="L117" s="41" t="s">
        <v>455</v>
      </c>
      <c r="O117" s="255" t="str">
        <f>IF(E2=L117,IF(K2=O3,F119,IF(K2=O4,F122,IF(K2=O6,F119,IF(K2=O2,"NADA A CRITICAR","REANALISAR FUNDAMENTAÇÃO E/OU MODALIDADE")))),"REANALISAR FUNDAMENTAÇÃO E/OU MODALIDADE")</f>
        <v>REANALISAR FUNDAMENTAÇÃO E/OU MODALIDADE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14" t="s">
        <v>401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>
        <f>A150*1.45</f>
        <v>15.95</v>
      </c>
      <c r="BJ117" s="719">
        <v>142.12</v>
      </c>
      <c r="BK117" s="720">
        <v>142.12</v>
      </c>
      <c r="BL117" s="721">
        <v>197.38</v>
      </c>
    </row>
    <row r="118" spans="2:64" ht="13.5" hidden="1" x14ac:dyDescent="0.15">
      <c r="B118" s="20" t="s">
        <v>482</v>
      </c>
      <c r="F118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8" s="5"/>
      <c r="L118" s="41" t="s">
        <v>467</v>
      </c>
      <c r="O118" s="254" t="str">
        <f>IF(E2=L118,IF(K2=O3,F120,IF(K2=O2,F120,"REANALISAR FUNDAMENTAÇÃO E/OU MODALIDADE")),"REANALISAR FUNDAMENTAÇÃO E/OU MODALIDADE")</f>
        <v>REANALISAR FUNDAMENTAÇÃO E/OU MODALIDADE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2" t="s">
        <v>402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6" t="s">
        <v>478</v>
      </c>
      <c r="C119" s="8"/>
      <c r="D119" s="8"/>
      <c r="E119" s="5"/>
      <c r="F119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9" s="6"/>
      <c r="H119" s="6"/>
      <c r="I119" s="6"/>
      <c r="J119" s="9"/>
      <c r="K119" s="5"/>
      <c r="L119" s="11" t="s">
        <v>487</v>
      </c>
      <c r="M119" s="10"/>
      <c r="N119" s="11"/>
      <c r="O119" s="255" t="str">
        <f>IF(E2=L119,IF(K2=O4,F121,IF(K2=O2,"NADA A CRITICAR","REANALISAR FUNDAMENTAÇÃO E/OU MODALIDADE")),"REANALISAR FUNDAMENTAÇÃO E/OU MODALIDADE")</f>
        <v>REANALISAR FUNDAMENTAÇÃO E/OU MODALIDADE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14" t="s">
        <v>403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>
        <f>A152*1.45</f>
        <v>18.849999999999998</v>
      </c>
      <c r="BJ119" s="719">
        <v>159.16999999999999</v>
      </c>
      <c r="BK119" s="720">
        <v>159.16999999999999</v>
      </c>
      <c r="BL119" s="721">
        <v>221.06</v>
      </c>
    </row>
    <row r="120" spans="2:64" ht="13.5" hidden="1" x14ac:dyDescent="0.15">
      <c r="B120" s="6" t="s">
        <v>479</v>
      </c>
      <c r="C120" s="8"/>
      <c r="D120" s="8"/>
      <c r="E120" s="5"/>
      <c r="F120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20" s="6"/>
      <c r="H120" s="6"/>
      <c r="I120" s="6"/>
      <c r="J120" s="9"/>
      <c r="K120" s="5"/>
      <c r="L120" s="42" t="s">
        <v>484</v>
      </c>
      <c r="M120" s="10"/>
      <c r="N120" s="11"/>
      <c r="O120" s="255" t="str">
        <f>IF(E2=L120,IF(K2=O5,F118,"REANALISAR FUNDAMENTAÇÃO E/OU MODALIDADE"),"REANALISAR FUNDAMENTAÇÃO E/OU MODALIDADE")</f>
        <v>REANALISAR FUNDAMENTAÇÃO E/OU MODALIDADE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14" t="s">
        <v>404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>
        <f>A153*1.45</f>
        <v>20.3</v>
      </c>
      <c r="BJ120" s="719">
        <v>101.15</v>
      </c>
      <c r="BK120" s="720">
        <v>101.15</v>
      </c>
      <c r="BL120" s="721">
        <v>140.4</v>
      </c>
    </row>
    <row r="121" spans="2:64" hidden="1" x14ac:dyDescent="0.15">
      <c r="B121" s="20" t="s">
        <v>483</v>
      </c>
      <c r="C121" s="43"/>
      <c r="D121" s="43"/>
      <c r="E121" s="44"/>
      <c r="F121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21" s="44"/>
      <c r="H121" s="44"/>
      <c r="I121" s="44"/>
      <c r="J121" s="44"/>
      <c r="K121" s="45"/>
      <c r="L121" s="46" t="s">
        <v>488</v>
      </c>
      <c r="M121" s="46"/>
      <c r="N121" s="47"/>
      <c r="O121" s="255" t="str">
        <f>IF($K$2=$O$2,IF($E$2=$B$98,$F$123,IF(E2=$B$99,$F$123,IF($E$2=$B$100,"EX OFFICIO",IF($E$2=$B$101,"EX OFFICIO","REANALISAR FUNDAMENTAÇÃO E/OU MODALIDADE")))),IF($K$2=$O$3,IF($E$2=$B$98,$F$123,IF($E$2=$B$99,$F$123,IF($E$2=$B$100,"EX OFFICIO",IF($E$2=$B$101,"EX OFFICIO","REANALISAR FUNDAMENTAÇÃO E/OU MODADALIDADE"))))))</f>
        <v>REANALISAR FUNDAMENTAÇÃO E/OU MODADALIDADE</v>
      </c>
      <c r="P121" s="3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14" t="s">
        <v>405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20" t="s">
        <v>486</v>
      </c>
      <c r="C122" s="43"/>
      <c r="D122" s="43"/>
      <c r="E122" s="44"/>
      <c r="F122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22" s="44"/>
      <c r="H122" s="44"/>
      <c r="I122" s="44"/>
      <c r="J122" s="44"/>
      <c r="K122" s="46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69"/>
      <c r="AD122" s="70"/>
      <c r="AE122" s="70"/>
      <c r="AF122" s="70"/>
      <c r="AG122" s="69"/>
      <c r="AX122" s="11"/>
      <c r="AY122" s="11"/>
      <c r="AZ122" s="11"/>
      <c r="BA122" s="85"/>
      <c r="BB122" s="723" t="s">
        <v>406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x14ac:dyDescent="0.15">
      <c r="B123" s="44" t="s">
        <v>503</v>
      </c>
      <c r="C123" s="43"/>
      <c r="D123" s="43"/>
      <c r="E123" s="44"/>
      <c r="F123" s="44" t="str">
        <f>IF($N$11&gt;=70,"ATENDE LIMITE MÍNIMO DE IDADE","NÃO ATENDE LIMITE MÍNIMO DE IDADE")</f>
        <v>NÃO ATENDE LIMITE MÍNIMO DE IDADE</v>
      </c>
      <c r="G123" s="44"/>
      <c r="H123" s="44"/>
      <c r="I123" s="44"/>
      <c r="J123" s="44"/>
      <c r="K123" s="46"/>
      <c r="L123" s="48"/>
      <c r="M123" s="48"/>
      <c r="N123" s="47"/>
      <c r="O123" s="255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69"/>
      <c r="AD123" s="70"/>
      <c r="AE123" s="70"/>
      <c r="AF123" s="70"/>
      <c r="AG123" s="69"/>
      <c r="AX123" s="11"/>
      <c r="AY123" s="11"/>
      <c r="AZ123" s="11"/>
      <c r="BA123" s="85"/>
      <c r="BB123" s="723" t="s">
        <v>407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3.5" hidden="1" x14ac:dyDescent="0.15">
      <c r="B124" s="44"/>
      <c r="C124" s="43"/>
      <c r="D124" s="43"/>
      <c r="E124" s="44"/>
      <c r="F124" s="44"/>
      <c r="G124" s="44"/>
      <c r="H124" s="44"/>
      <c r="I124" s="44"/>
      <c r="J124" s="44"/>
      <c r="K124" s="46"/>
      <c r="L124" s="49" t="s">
        <v>498</v>
      </c>
      <c r="M124" s="11"/>
      <c r="N124" s="11"/>
      <c r="O124" s="255"/>
      <c r="P124" s="79"/>
      <c r="Q124" s="79"/>
      <c r="R124" s="79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69"/>
      <c r="AD124" s="70"/>
      <c r="AE124" s="70"/>
      <c r="AF124" s="70"/>
      <c r="AG124" s="69"/>
      <c r="AX124" s="11"/>
      <c r="AY124" s="11"/>
      <c r="AZ124" s="11"/>
      <c r="BA124" s="85"/>
      <c r="BB124" s="723" t="s">
        <v>408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x14ac:dyDescent="0.15">
      <c r="B125" s="50"/>
      <c r="C125" s="50"/>
      <c r="D125" s="50"/>
      <c r="E125" s="50"/>
      <c r="F125" s="50"/>
      <c r="G125" s="50"/>
      <c r="H125" s="50"/>
      <c r="I125" s="50"/>
      <c r="J125" s="50"/>
      <c r="K125" s="51"/>
      <c r="L125" s="11" t="s">
        <v>499</v>
      </c>
      <c r="M125" s="11"/>
      <c r="N125" s="11"/>
      <c r="O125" s="255"/>
      <c r="P125" s="79"/>
      <c r="Q125" s="86" t="b">
        <f>IF(K2=O4,IF(E2=B95,R125,IF(E2=B96,R125,IF(E2=B102,R125,IF(G10="X",(30*365)-F61,(35*365)-F61)))),IF(K2=O5,IF(E2=B103,R125,IF(G10="X",(30*365)-F61,(35*365)-F61))))</f>
        <v>0</v>
      </c>
      <c r="R125" s="86" t="b">
        <f>IF($K$2=$O$4,IF($F$61&gt;=($F$37+$E$44),0,($F$37+$E$44)-$F$61),IF($K$2=$O$5,IF($F$61&gt;=($F$37+$E$44),0,($F$37+$E$44)-$F$61)))</f>
        <v>0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69"/>
      <c r="AD125" s="70"/>
      <c r="AE125" s="70"/>
      <c r="AF125" s="70"/>
      <c r="AG125" s="69"/>
      <c r="AX125" s="11"/>
      <c r="AY125" s="11"/>
      <c r="AZ125" s="11"/>
      <c r="BA125" s="85"/>
      <c r="BB125" s="723" t="s">
        <v>409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3.5" hidden="1" x14ac:dyDescent="0.15">
      <c r="B126" s="52"/>
      <c r="C126" s="52"/>
      <c r="D126" s="52"/>
      <c r="E126" s="52"/>
      <c r="F126" s="52"/>
      <c r="G126" s="52"/>
      <c r="H126" s="52"/>
      <c r="I126" s="52"/>
      <c r="J126" s="52"/>
      <c r="K126" s="53"/>
      <c r="L126" s="42" t="s">
        <v>500</v>
      </c>
      <c r="M126" s="11"/>
      <c r="N126" s="11"/>
      <c r="O126" s="255"/>
      <c r="P126" s="79"/>
      <c r="Q126" s="86" t="b">
        <f>IF(E2="VOLUNTÁRIA ESPECIAL",IF(D12="X",IF(G10="X",(25*365)-F61,(30*365)-F61)),IF(G10="X",(30*365)-F61,(35*365)-F61))</f>
        <v>0</v>
      </c>
      <c r="R126" s="79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69"/>
      <c r="AD126" s="70"/>
      <c r="AE126" s="70"/>
      <c r="AF126" s="70"/>
      <c r="AG126" s="69"/>
      <c r="AX126" s="11"/>
      <c r="AY126" s="11"/>
      <c r="AZ126" s="11"/>
      <c r="BA126" s="85"/>
      <c r="BB126" s="723" t="s">
        <v>410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3.5" hidden="1" x14ac:dyDescent="0.15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17" t="s">
        <v>463</v>
      </c>
      <c r="M127" s="11"/>
      <c r="N127" s="11"/>
      <c r="O127" s="255" t="s">
        <v>504</v>
      </c>
      <c r="P127" s="79"/>
      <c r="Q127" s="87"/>
      <c r="R127" s="86" t="b">
        <f>IF(E2="VOLUNTÁRIA ESPECIAL",IF(D12="X",IF(G10="X",(25*365)-$F$37,(30*365)-$F$37)),IF(G10="X",(30*365)-$F$37,(35*365)-$F$37))</f>
        <v>0</v>
      </c>
      <c r="S127" s="11"/>
      <c r="T127" s="5"/>
      <c r="U127" s="5"/>
      <c r="V127" s="5"/>
      <c r="W127" s="5"/>
      <c r="X127" s="5"/>
      <c r="Y127" s="5"/>
      <c r="Z127" s="5"/>
      <c r="AA127" s="5"/>
      <c r="AB127" s="5"/>
      <c r="AC127" s="69"/>
      <c r="AD127" s="70"/>
      <c r="AE127" s="70"/>
      <c r="AF127" s="70"/>
      <c r="AG127" s="69"/>
      <c r="AX127" s="11"/>
      <c r="AY127" s="11"/>
      <c r="AZ127" s="5"/>
      <c r="BA127" s="724"/>
      <c r="BB127" s="723" t="s">
        <v>411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3.5" hidden="1" customHeight="1" x14ac:dyDescent="0.15">
      <c r="B128" s="6"/>
      <c r="C128" s="1943" t="s">
        <v>459</v>
      </c>
      <c r="D128" s="1943"/>
      <c r="E128" s="1943"/>
      <c r="F128" s="1943" t="s">
        <v>460</v>
      </c>
      <c r="G128" s="1943"/>
      <c r="H128" s="1943"/>
      <c r="I128" s="1943" t="s">
        <v>461</v>
      </c>
      <c r="J128" s="1943"/>
      <c r="K128" s="51"/>
      <c r="L128" s="51"/>
      <c r="M128" s="54"/>
      <c r="N128" s="54"/>
      <c r="O128" s="255" t="s">
        <v>487</v>
      </c>
      <c r="P128" s="78"/>
      <c r="Q128" s="78"/>
      <c r="R128" s="86">
        <f>IF(E2=B102,IF(G10="X",(25*365)-$F$37,(30*365)-$F$37),IF(G10="X",(30*365)-$F$37,(35*365)-$F$37))</f>
        <v>12775</v>
      </c>
      <c r="AX128" s="11"/>
      <c r="AY128" s="11"/>
      <c r="BB128" s="723" t="s">
        <v>412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40" t="s">
        <v>454</v>
      </c>
      <c r="C129" s="40" t="s">
        <v>457</v>
      </c>
      <c r="D129" s="8"/>
      <c r="E129" s="5" t="s">
        <v>456</v>
      </c>
      <c r="F129" s="6" t="s">
        <v>457</v>
      </c>
      <c r="G129" s="6"/>
      <c r="H129" s="6" t="s">
        <v>456</v>
      </c>
      <c r="I129" s="8" t="s">
        <v>457</v>
      </c>
      <c r="J129" s="8" t="s">
        <v>456</v>
      </c>
      <c r="K129" s="51"/>
      <c r="L129" s="18" t="s">
        <v>466</v>
      </c>
      <c r="M129" s="54"/>
      <c r="N129" s="54"/>
      <c r="O129" s="255" t="s">
        <v>509</v>
      </c>
      <c r="P129" s="78"/>
      <c r="Q129" s="86">
        <f>IF(K2=O7,IF($E$2=B95,IF($G$10="X",(30*365)-$F$61,(35*365)-$F$61)),IF($G$10="X",(30*365)-$F$61,(35*365)-$F$61))</f>
        <v>12775</v>
      </c>
      <c r="R129" s="78"/>
      <c r="AX129" s="11"/>
      <c r="AY129" s="11"/>
      <c r="BB129" s="723" t="s">
        <v>413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3.5" hidden="1" customHeight="1" x14ac:dyDescent="0.15">
      <c r="B130" s="16" t="s">
        <v>450</v>
      </c>
      <c r="C130" s="55">
        <f>30*365</f>
        <v>10950</v>
      </c>
      <c r="D130" s="55"/>
      <c r="E130" s="55">
        <f>35*365</f>
        <v>12775</v>
      </c>
      <c r="F130" s="55">
        <v>20089</v>
      </c>
      <c r="G130" s="55"/>
      <c r="H130" s="55">
        <v>21914</v>
      </c>
      <c r="I130" s="55">
        <f>F130-C133</f>
        <v>31039</v>
      </c>
      <c r="J130" s="55">
        <f>H130-E133</f>
        <v>34689</v>
      </c>
      <c r="K130" s="51"/>
      <c r="L130" s="51"/>
      <c r="M130" s="54"/>
      <c r="N130" s="54"/>
      <c r="P130" s="78"/>
      <c r="Q130" s="78"/>
      <c r="R130" s="78"/>
      <c r="AX130" s="11"/>
      <c r="AY130" s="11"/>
      <c r="BB130" s="723" t="s">
        <v>414</v>
      </c>
      <c r="BC130" s="715" t="s">
        <v>396</v>
      </c>
      <c r="BD130" s="716" t="s">
        <v>397</v>
      </c>
      <c r="BE130" s="716" t="s">
        <v>397</v>
      </c>
      <c r="BF130" s="716" t="s">
        <v>398</v>
      </c>
      <c r="BG130" s="716" t="s">
        <v>398</v>
      </c>
      <c r="BH130" s="716" t="s">
        <v>398</v>
      </c>
      <c r="BI130" s="718"/>
      <c r="BJ130" s="719"/>
      <c r="BK130" s="720"/>
      <c r="BL130" s="721"/>
    </row>
    <row r="131" spans="1:64" ht="12.75" hidden="1" customHeight="1" x14ac:dyDescent="0.15">
      <c r="B131" s="16" t="s">
        <v>455</v>
      </c>
      <c r="C131" s="47">
        <f>25*365</f>
        <v>9125</v>
      </c>
      <c r="D131" s="47"/>
      <c r="E131" s="47">
        <f>30*365</f>
        <v>10950</v>
      </c>
      <c r="F131" s="55">
        <v>18264</v>
      </c>
      <c r="G131" s="55"/>
      <c r="H131" s="55">
        <v>20089</v>
      </c>
      <c r="I131" s="47">
        <f>ROUNDDOWN(I130/365,0)</f>
        <v>85</v>
      </c>
      <c r="J131" s="47">
        <f>ROUNDDOWN(J130/365,0)</f>
        <v>95</v>
      </c>
      <c r="K131" s="51"/>
      <c r="L131" s="51"/>
      <c r="M131" s="54"/>
      <c r="N131" s="54"/>
      <c r="P131" s="78"/>
      <c r="Q131" s="78"/>
      <c r="R131" s="78"/>
      <c r="AX131" s="11"/>
      <c r="AY131" s="11"/>
      <c r="BB131" s="723" t="s">
        <v>415</v>
      </c>
      <c r="BC131" s="715" t="s">
        <v>396</v>
      </c>
      <c r="BD131" s="716" t="s">
        <v>397</v>
      </c>
      <c r="BE131" s="716" t="s">
        <v>397</v>
      </c>
      <c r="BF131" s="716" t="s">
        <v>398</v>
      </c>
      <c r="BG131" s="716" t="s">
        <v>398</v>
      </c>
      <c r="BH131" s="716" t="s">
        <v>398</v>
      </c>
      <c r="BI131" s="718"/>
      <c r="BJ131" s="719"/>
      <c r="BK131" s="720"/>
      <c r="BL131" s="721"/>
    </row>
    <row r="132" spans="1:64" ht="12.75" hidden="1" customHeight="1" x14ac:dyDescent="0.15">
      <c r="B132" s="48"/>
      <c r="C132" s="48"/>
      <c r="D132" s="48"/>
      <c r="E132" s="46"/>
      <c r="F132" s="48"/>
      <c r="G132" s="48"/>
      <c r="H132" s="48"/>
      <c r="I132" s="48"/>
      <c r="J132" s="46"/>
      <c r="K132" s="51"/>
      <c r="L132" s="51"/>
      <c r="M132" s="54"/>
      <c r="N132" s="54"/>
      <c r="AX132" s="5"/>
      <c r="AY132" s="5"/>
      <c r="BB132" s="723" t="s">
        <v>416</v>
      </c>
      <c r="BC132" s="715" t="s">
        <v>396</v>
      </c>
      <c r="BD132" s="716" t="s">
        <v>397</v>
      </c>
      <c r="BE132" s="716" t="s">
        <v>397</v>
      </c>
      <c r="BF132" s="716" t="s">
        <v>398</v>
      </c>
      <c r="BG132" s="716" t="s">
        <v>398</v>
      </c>
      <c r="BH132" s="716" t="s">
        <v>398</v>
      </c>
      <c r="BI132" s="718"/>
      <c r="BJ132" s="719"/>
      <c r="BK132" s="720"/>
      <c r="BL132" s="721"/>
    </row>
    <row r="133" spans="1:64" ht="12.75" hidden="1" customHeight="1" x14ac:dyDescent="0.15">
      <c r="B133" s="48" t="s">
        <v>458</v>
      </c>
      <c r="C133" s="56">
        <f>ROUNDDOWN((F61-C130),0)</f>
        <v>-10950</v>
      </c>
      <c r="D133" s="48"/>
      <c r="E133" s="56">
        <f>ROUNDDOWN((F61-E130),0)</f>
        <v>-12775</v>
      </c>
      <c r="F133" s="48"/>
      <c r="G133" s="48"/>
      <c r="H133" s="48"/>
      <c r="I133" s="48"/>
      <c r="J133" s="46"/>
      <c r="K133" s="51"/>
      <c r="L133" s="51"/>
      <c r="M133" s="54"/>
      <c r="N133" s="54"/>
      <c r="BB133" s="723" t="s">
        <v>417</v>
      </c>
      <c r="BC133" s="715" t="s">
        <v>396</v>
      </c>
      <c r="BD133" s="716" t="s">
        <v>397</v>
      </c>
      <c r="BE133" s="716" t="s">
        <v>397</v>
      </c>
      <c r="BF133" s="716" t="s">
        <v>398</v>
      </c>
      <c r="BG133" s="716" t="s">
        <v>398</v>
      </c>
      <c r="BH133" s="716" t="s">
        <v>398</v>
      </c>
      <c r="BI133" s="718"/>
      <c r="BJ133" s="719"/>
      <c r="BK133" s="720"/>
      <c r="BL133" s="721"/>
    </row>
    <row r="134" spans="1:64" ht="12.75" hidden="1" customHeight="1" x14ac:dyDescent="0.15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4"/>
      <c r="N134" s="54"/>
      <c r="BB134" s="723" t="s">
        <v>418</v>
      </c>
      <c r="BC134" s="715" t="s">
        <v>396</v>
      </c>
      <c r="BD134" s="716" t="s">
        <v>397</v>
      </c>
      <c r="BE134" s="716" t="s">
        <v>397</v>
      </c>
      <c r="BF134" s="716" t="s">
        <v>398</v>
      </c>
      <c r="BG134" s="716" t="s">
        <v>398</v>
      </c>
      <c r="BH134" s="716" t="s">
        <v>398</v>
      </c>
      <c r="BI134" s="718"/>
      <c r="BJ134" s="719"/>
      <c r="BK134" s="720"/>
      <c r="BL134" s="721"/>
    </row>
    <row r="135" spans="1:64" ht="12.75" hidden="1" customHeight="1" thickBot="1" x14ac:dyDescent="0.2">
      <c r="B135" s="1848" t="s">
        <v>548</v>
      </c>
      <c r="C135" s="1848"/>
      <c r="D135" s="1848"/>
      <c r="E135" s="1848"/>
      <c r="F135" s="1848"/>
      <c r="G135" s="1848"/>
      <c r="H135" s="1848"/>
      <c r="I135" s="1848"/>
      <c r="J135" s="1848"/>
      <c r="K135" s="1848"/>
      <c r="L135" s="1848"/>
      <c r="M135" s="1848"/>
      <c r="N135" s="1848"/>
      <c r="BB135" s="312"/>
      <c r="BC135" s="313"/>
      <c r="BD135" s="314"/>
      <c r="BE135" s="314"/>
      <c r="BF135" s="315"/>
      <c r="BG135" s="315"/>
      <c r="BH135" s="316"/>
      <c r="BI135" s="317">
        <f>A155*1.45</f>
        <v>23.2</v>
      </c>
      <c r="BJ135" s="318">
        <v>113.29</v>
      </c>
      <c r="BK135" s="319">
        <v>113.29</v>
      </c>
      <c r="BL135" s="320">
        <v>157.35</v>
      </c>
    </row>
    <row r="136" spans="1:64" ht="12.75" hidden="1" customHeight="1" x14ac:dyDescent="0.15">
      <c r="B136" s="51" t="s">
        <v>656</v>
      </c>
      <c r="C136" s="21" t="s">
        <v>657</v>
      </c>
      <c r="D136" s="101">
        <v>36145</v>
      </c>
      <c r="E136" s="101">
        <v>37986</v>
      </c>
      <c r="F136" s="102">
        <v>37986</v>
      </c>
      <c r="G136" s="246" t="s">
        <v>608</v>
      </c>
      <c r="H136" s="51" t="s">
        <v>609</v>
      </c>
      <c r="I136" s="51" t="s">
        <v>610</v>
      </c>
      <c r="J136" s="21" t="s">
        <v>612</v>
      </c>
      <c r="M136" s="40" t="s">
        <v>658</v>
      </c>
      <c r="P136" s="109"/>
      <c r="Q136" s="110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BB136" s="321"/>
      <c r="BC136" s="322"/>
      <c r="BD136" s="322"/>
      <c r="BE136" s="322"/>
      <c r="BF136" s="323"/>
      <c r="BG136" s="323"/>
      <c r="BH136" s="323"/>
      <c r="BI136" s="324"/>
      <c r="BJ136" s="325"/>
      <c r="BK136" s="326"/>
      <c r="BL136" s="327"/>
    </row>
    <row r="137" spans="1:64" ht="12.75" hidden="1" customHeight="1" x14ac:dyDescent="0.15">
      <c r="A137" s="259">
        <v>1</v>
      </c>
      <c r="B137" s="107" t="s">
        <v>549</v>
      </c>
      <c r="C137" s="21" t="s">
        <v>613</v>
      </c>
      <c r="D137" s="104">
        <f>IF(ISERROR(HLOOKUP($N$34,$Q$39:$AA$40,2)),0,HLOOKUP($N$34,$Q$39:$AA$40,2))</f>
        <v>0</v>
      </c>
      <c r="E137" s="105">
        <f>IF(ISERROR(HLOOKUP($O$34,$Q$39:$AA$40,2)),0,HLOOKUP($O$34,$Q$39:$AA$40,2))</f>
        <v>0</v>
      </c>
      <c r="F137" s="106">
        <f>IF(ISERROR(HLOOKUP($O$60,$Q$39:$AA$40,2)),0,HLOOKUP($O$60,$Q$39:$AA$40,2))</f>
        <v>0</v>
      </c>
      <c r="G137" s="21" t="s">
        <v>611</v>
      </c>
      <c r="J137" s="21" t="s">
        <v>611</v>
      </c>
      <c r="M137" s="21" t="s">
        <v>659</v>
      </c>
      <c r="P137" s="328"/>
      <c r="Q137" s="328"/>
      <c r="R137" s="5"/>
      <c r="S137" s="8"/>
      <c r="T137" s="5"/>
      <c r="U137" s="5"/>
      <c r="V137" s="5"/>
      <c r="W137" s="27"/>
      <c r="X137" s="5"/>
      <c r="Y137" s="5"/>
      <c r="Z137" s="100"/>
      <c r="AA137" s="5"/>
      <c r="AB137" s="5"/>
      <c r="BB137" s="321"/>
      <c r="BC137" s="322"/>
      <c r="BD137" s="322"/>
      <c r="BE137" s="322"/>
      <c r="BF137" s="323"/>
      <c r="BG137" s="323"/>
      <c r="BH137" s="323"/>
      <c r="BI137" s="324"/>
      <c r="BJ137" s="325"/>
      <c r="BK137" s="326"/>
      <c r="BL137" s="327"/>
    </row>
    <row r="138" spans="1:64" ht="12.75" hidden="1" customHeight="1" x14ac:dyDescent="0.15">
      <c r="A138" s="259">
        <v>2</v>
      </c>
      <c r="B138" s="51" t="s">
        <v>550</v>
      </c>
      <c r="C138" s="21" t="s">
        <v>527</v>
      </c>
      <c r="D138" s="104">
        <f>IF(ISERROR(HLOOKUP($J$138,$Q$26:$AT$27,2)),0,HLOOKUP($J$138,$Q$26:$AT$27,2))</f>
        <v>0</v>
      </c>
      <c r="E138" s="105">
        <f>IF(ISERROR(HLOOKUP($K$138,$Q$26:$AT$27,2)),0,HLOOKUP($K$138,$Q$26:$AT$27,2))</f>
        <v>0</v>
      </c>
      <c r="F138" s="106">
        <f>IF(ISERROR(HLOOKUP($L$138,$Q$26:$AT$27,2)),0,HLOOKUP($L$138,$Q$26:$AT$27,2))</f>
        <v>0</v>
      </c>
      <c r="G138" s="67">
        <f>SUM($F$27:$F$32)</f>
        <v>0</v>
      </c>
      <c r="H138" s="67">
        <f>SUM($F$27:$F$32)+$J$51</f>
        <v>0</v>
      </c>
      <c r="I138" s="67">
        <f>SUM($F$27:$F$32)+$J$51+$J$60</f>
        <v>0</v>
      </c>
      <c r="J138" s="21">
        <f t="shared" ref="J138:J160" si="7">ROUNDDOWN(G138/365,0)</f>
        <v>0</v>
      </c>
      <c r="K138" s="21">
        <f t="shared" ref="K138:K160" si="8">ROUNDDOWN(H138/365,0)</f>
        <v>0</v>
      </c>
      <c r="L138" s="21">
        <f t="shared" ref="L138:L160" si="9">ROUNDDOWN(I138/365,0)</f>
        <v>0</v>
      </c>
      <c r="M138" s="21" t="s">
        <v>660</v>
      </c>
      <c r="P138" s="328"/>
      <c r="Q138" s="328"/>
      <c r="BB138" s="321"/>
      <c r="BC138" s="322"/>
      <c r="BD138" s="322"/>
      <c r="BE138" s="322"/>
      <c r="BF138" s="323"/>
      <c r="BG138" s="323"/>
      <c r="BH138" s="323"/>
      <c r="BI138" s="324"/>
      <c r="BJ138" s="325"/>
      <c r="BK138" s="326"/>
      <c r="BL138" s="327"/>
    </row>
    <row r="139" spans="1:64" ht="12.75" hidden="1" customHeight="1" x14ac:dyDescent="0.15">
      <c r="A139" s="259" t="s">
        <v>554</v>
      </c>
      <c r="B139" s="51" t="s">
        <v>615</v>
      </c>
      <c r="C139" s="21" t="s">
        <v>613</v>
      </c>
      <c r="D139" s="104">
        <f>IF(ISERROR(HLOOKUP($J$139,$Q$45:$AB$46,2)),0,HLOOKUP($J$139,$Q$45:$AB$46,2))</f>
        <v>0</v>
      </c>
      <c r="E139" s="105">
        <f>IF(ISERROR(HLOOKUP($K$139,$Q$45:$AB$46,2)),0,HLOOKUP($K$139,$Q$45:$AB$46,2))</f>
        <v>0</v>
      </c>
      <c r="F139" s="106">
        <f>IF(ISERROR(HLOOKUP($L$139,$Q$45:$AB$46,2)),0,HLOOKUP($L$139,$Q$45:$AB$46,2))</f>
        <v>0</v>
      </c>
      <c r="G139" s="67">
        <f>SUM($F$27:$F$32)</f>
        <v>0</v>
      </c>
      <c r="H139" s="67">
        <f>SUM($F$27:$F$32)+$J$51</f>
        <v>0</v>
      </c>
      <c r="I139" s="67">
        <f>SUM($F$27:$F$32)+$J$51+$J$60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321"/>
      <c r="BC139" s="322"/>
      <c r="BD139" s="322"/>
      <c r="BE139" s="322"/>
      <c r="BF139" s="323"/>
      <c r="BG139" s="323"/>
      <c r="BH139" s="323"/>
      <c r="BI139" s="324"/>
      <c r="BJ139" s="325"/>
      <c r="BK139" s="326"/>
      <c r="BL139" s="327"/>
    </row>
    <row r="140" spans="1:64" ht="12.75" hidden="1" customHeight="1" x14ac:dyDescent="0.15">
      <c r="A140" s="259">
        <v>3</v>
      </c>
      <c r="B140" s="51" t="s">
        <v>551</v>
      </c>
      <c r="C140" s="21" t="s">
        <v>613</v>
      </c>
      <c r="D140" s="104">
        <f>IF(ISERROR(HLOOKUP($J$140,$Q$48:$AB$49,2)),0,HLOOKUP($J$140,$Q$48:$AB$49,2))</f>
        <v>0</v>
      </c>
      <c r="E140" s="105">
        <f>IF(ISERROR(HLOOKUP($K$140,$Q$48:$AB$49,2)),0,HLOOKUP($K$140,$Q$48:$AB$49,2))</f>
        <v>0</v>
      </c>
      <c r="F140" s="106">
        <f>IF(ISERROR(HLOOKUP($L$140,$Q$48:$AB$49,2)),0,HLOOKUP($L$140,$Q$48:$AB$49,2))</f>
        <v>0</v>
      </c>
      <c r="G140" s="67">
        <f>SUM($F$30:$F$32)</f>
        <v>0</v>
      </c>
      <c r="H140" s="67">
        <f>SUM($F$30:$F$32)+$J$51</f>
        <v>0</v>
      </c>
      <c r="I140" s="67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326"/>
      <c r="BL140" s="327"/>
    </row>
    <row r="141" spans="1:64" ht="12.75" hidden="1" customHeight="1" x14ac:dyDescent="0.15">
      <c r="A141" s="259">
        <v>4</v>
      </c>
      <c r="B141" s="51" t="s">
        <v>552</v>
      </c>
      <c r="C141" s="21" t="s">
        <v>613</v>
      </c>
      <c r="D141" s="104">
        <f>IF(ISERROR(HLOOKUP($J$141,$Q$48:$Z$49,2)),0,HLOOKUP($J$141,$Q$48:$Z$49,2))</f>
        <v>0</v>
      </c>
      <c r="E141" s="105">
        <f>IF(ISERROR(HLOOKUP($K$141,$Q$48:$Z$49,2)),0,HLOOKUP($K$141,$Q$48:$Z$49,2))</f>
        <v>0</v>
      </c>
      <c r="F141" s="106">
        <f>IF(ISERROR(HLOOKUP($L$141,$Q$48:$Z$49,2)),0,HLOOKUP($L$141,$Q$48:$Z$49,2))</f>
        <v>0</v>
      </c>
      <c r="G141" s="67">
        <f>SUM($F$27:$F$32)</f>
        <v>0</v>
      </c>
      <c r="H141" s="67">
        <f>SUM($F$27:$F$32)+$J$51</f>
        <v>0</v>
      </c>
      <c r="I141" s="67">
        <f>SUM($F$27:$F$32)+$J$51+$J$60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/>
      <c r="BD141" s="69" t="s">
        <v>349</v>
      </c>
      <c r="BE141" s="70">
        <v>5</v>
      </c>
      <c r="BF141" s="70">
        <v>10</v>
      </c>
      <c r="BG141" s="70">
        <v>15</v>
      </c>
      <c r="BH141" s="70">
        <v>20</v>
      </c>
      <c r="BI141" s="70">
        <v>25</v>
      </c>
      <c r="BJ141" s="329" t="s">
        <v>365</v>
      </c>
      <c r="BK141" s="326"/>
      <c r="BL141" s="327"/>
    </row>
    <row r="142" spans="1:64" ht="12.75" hidden="1" customHeight="1" x14ac:dyDescent="0.15">
      <c r="A142" s="259">
        <v>5</v>
      </c>
      <c r="B142" s="51" t="s">
        <v>553</v>
      </c>
      <c r="C142" s="21" t="s">
        <v>613</v>
      </c>
      <c r="D142" s="104">
        <f>IF(ISERROR(HLOOKUP($J$142,$Q$48:$AB$49,2)),0,HLOOKUP($J$142,$Q$48:$AB$49,2))</f>
        <v>0</v>
      </c>
      <c r="E142" s="105">
        <f>IF(ISERROR(HLOOKUP($K$142,$Q$48:$AB$49,2)),0,HLOOKUP($K$142,$Q$48:$AB$49,2))</f>
        <v>0</v>
      </c>
      <c r="F142" s="106">
        <f>IF(ISERROR(HLOOKUP($L$142,$Q$48:$AB$49,2)),0,HLOOKUP($L$142,$Q$48:$AB$49,2))</f>
        <v>0</v>
      </c>
      <c r="G142" s="67">
        <f>SUM($F$30:$F$32)</f>
        <v>0</v>
      </c>
      <c r="H142" s="67">
        <f>SUM($F$30:$F$32)+$J$51</f>
        <v>0</v>
      </c>
      <c r="I142" s="67">
        <f>SUM($F$30:$F$32)+$J$51+$J$60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/>
      <c r="BC142" s="330" t="s">
        <v>419</v>
      </c>
      <c r="BD142" s="330" t="s">
        <v>420</v>
      </c>
      <c r="BE142" s="69" t="s">
        <v>421</v>
      </c>
      <c r="BF142" s="69" t="s">
        <v>422</v>
      </c>
      <c r="BG142" s="69" t="s">
        <v>423</v>
      </c>
      <c r="BH142" s="69" t="s">
        <v>424</v>
      </c>
      <c r="BI142" s="69" t="s">
        <v>425</v>
      </c>
      <c r="BJ142" s="69" t="s">
        <v>426</v>
      </c>
      <c r="BK142" s="326"/>
      <c r="BL142" s="327"/>
    </row>
    <row r="143" spans="1:64" ht="12.75" hidden="1" customHeight="1" x14ac:dyDescent="0.15">
      <c r="A143" s="259" t="s">
        <v>555</v>
      </c>
      <c r="B143" s="51" t="s">
        <v>616</v>
      </c>
      <c r="C143" s="21" t="s">
        <v>613</v>
      </c>
      <c r="D143" s="104">
        <f>IF(ISERROR(HLOOKUP($J$143,$Q$48:$V$49,2)),0,HLOOKUP($J$143,$Q$48:$V$49,2))</f>
        <v>0</v>
      </c>
      <c r="E143" s="105">
        <f>IF(ISERROR(HLOOKUP($K$143,$Q$48:$V$49,2)),0,HLOOKUP($K$143,$Q$48:$V$49,2))</f>
        <v>0</v>
      </c>
      <c r="F143" s="106">
        <f>IF(ISERROR(HLOOKUP($L$143,$Q$48:$V$49,2)),0,HLOOKUP($L$143,$Q$48:$V$49,2))</f>
        <v>0</v>
      </c>
      <c r="G143" s="67">
        <f>SUM($F$30:$F$32)</f>
        <v>0</v>
      </c>
      <c r="H143" s="67">
        <f>SUM($F$30:$F$32)+$J$51</f>
        <v>0</v>
      </c>
      <c r="I143" s="67">
        <f>SUM($F$30:$F$32)+$J$51+$J$60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0" t="s">
        <v>427</v>
      </c>
      <c r="BD143" s="330" t="s">
        <v>428</v>
      </c>
      <c r="BE143" s="69" t="s">
        <v>421</v>
      </c>
      <c r="BF143" s="69" t="s">
        <v>422</v>
      </c>
      <c r="BG143" s="69" t="s">
        <v>423</v>
      </c>
      <c r="BH143" s="69" t="s">
        <v>424</v>
      </c>
      <c r="BI143" s="69" t="s">
        <v>425</v>
      </c>
      <c r="BJ143" s="69" t="s">
        <v>426</v>
      </c>
      <c r="BK143" s="326"/>
      <c r="BL143" s="327"/>
    </row>
    <row r="144" spans="1:64" ht="12.75" hidden="1" customHeight="1" x14ac:dyDescent="0.15">
      <c r="A144" s="259">
        <v>6</v>
      </c>
      <c r="B144" s="51" t="s">
        <v>556</v>
      </c>
      <c r="C144" s="21" t="s">
        <v>613</v>
      </c>
      <c r="D144" s="104">
        <f>IF(ISERROR(HLOOKUP($J$144,$Q$48:$AA$49,2)),0,HLOOKUP($J$144,$Q$48:$AA$49,2))</f>
        <v>0</v>
      </c>
      <c r="E144" s="105">
        <f>IF(ISERROR(HLOOKUP(K144,$Q$48:$AA$49,2)),0,HLOOKUP(K144,$Q$48:$AA$49,2))</f>
        <v>0</v>
      </c>
      <c r="F144" s="106">
        <f>IF(ISERROR(HLOOKUP(L144,$Q$48:$AA$49,2)),0,HLOOKUP(L144,$Q$48:$AA$49,2))</f>
        <v>0</v>
      </c>
      <c r="G144" s="396">
        <f>SUM($F$27:$F$33)</f>
        <v>0</v>
      </c>
      <c r="H144" s="103">
        <f>SUM($F$27:$F$33)+$J$51</f>
        <v>0</v>
      </c>
      <c r="I144" s="103">
        <f>SUM($F$27:$F$33)+$J$51+$J$60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330" t="s">
        <v>429</v>
      </c>
      <c r="BD144" s="330" t="s">
        <v>430</v>
      </c>
      <c r="BE144" s="69" t="s">
        <v>421</v>
      </c>
      <c r="BF144" s="69" t="s">
        <v>422</v>
      </c>
      <c r="BG144" s="69" t="s">
        <v>423</v>
      </c>
      <c r="BH144" s="69" t="s">
        <v>424</v>
      </c>
      <c r="BI144" s="69" t="s">
        <v>425</v>
      </c>
      <c r="BJ144" s="69" t="s">
        <v>426</v>
      </c>
      <c r="BK144" s="7"/>
      <c r="BL144" s="7"/>
    </row>
    <row r="145" spans="1:64" ht="12.75" hidden="1" customHeight="1" x14ac:dyDescent="0.15">
      <c r="A145" s="259">
        <v>7</v>
      </c>
      <c r="B145" s="51" t="s">
        <v>557</v>
      </c>
      <c r="C145" s="21" t="s">
        <v>547</v>
      </c>
      <c r="D145" s="104">
        <f>IF(ISERROR(HLOOKUP($J$145,$Q$77:$W$78,2)),0,HLOOKUP($J$145,$Q$77:$W$78,2))</f>
        <v>0</v>
      </c>
      <c r="E145" s="105">
        <f>IF(ISERROR(HLOOKUP(K145,$Q$77:$W$78,2)),0,HLOOKUP(K145,$Q$77:$W$78,2))</f>
        <v>0</v>
      </c>
      <c r="F145" s="106">
        <f>IF(ISERROR(HLOOKUP(L145,$Q$77:$W$78,2)),0,HLOOKUP(L145,$Q$77:$W$78,2))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330" t="s">
        <v>431</v>
      </c>
      <c r="BD145" s="330" t="s">
        <v>430</v>
      </c>
      <c r="BE145" s="69" t="s">
        <v>421</v>
      </c>
      <c r="BF145" s="69" t="s">
        <v>422</v>
      </c>
      <c r="BG145" s="69" t="s">
        <v>423</v>
      </c>
      <c r="BH145" s="69" t="s">
        <v>424</v>
      </c>
      <c r="BI145" s="69" t="s">
        <v>425</v>
      </c>
      <c r="BJ145" s="69" t="s">
        <v>426</v>
      </c>
      <c r="BK145" s="5"/>
      <c r="BL145" s="5"/>
    </row>
    <row r="146" spans="1:64" ht="12.75" hidden="1" customHeight="1" x14ac:dyDescent="0.15">
      <c r="A146" s="259" t="s">
        <v>558</v>
      </c>
      <c r="B146" s="51" t="s">
        <v>614</v>
      </c>
      <c r="C146" s="21" t="s">
        <v>547</v>
      </c>
      <c r="D146" s="104">
        <f>IF(ISERROR(HLOOKUP($J$146,$Q$77:$W$78,2)),0,HLOOKUP($J$146,$Q$77:$W$78,2))</f>
        <v>0</v>
      </c>
      <c r="E146" s="105">
        <f>IF(ISERROR(HLOOKUP(K146,$Q$77:$W$78,2)),0,HLOOKUP(K146,$Q$77:$W$78,2))</f>
        <v>0</v>
      </c>
      <c r="F146" s="106">
        <f>IF(ISERROR(HLOOKUP(L146,$Q$77:$W$78,2)),0,HLOOKUP(L146,$Q$77:$W$78,2))</f>
        <v>0</v>
      </c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 t="s">
        <v>400</v>
      </c>
      <c r="BD146" s="69"/>
      <c r="BE146" s="69" t="s">
        <v>329</v>
      </c>
      <c r="BF146" s="69" t="s">
        <v>356</v>
      </c>
      <c r="BG146" s="69" t="s">
        <v>432</v>
      </c>
      <c r="BH146" s="69" t="s">
        <v>432</v>
      </c>
      <c r="BI146" s="69" t="s">
        <v>432</v>
      </c>
      <c r="BJ146" s="69" t="s">
        <v>432</v>
      </c>
      <c r="BK146" s="5"/>
      <c r="BL146" s="5"/>
    </row>
    <row r="147" spans="1:64" ht="12.75" hidden="1" customHeight="1" x14ac:dyDescent="0.15">
      <c r="A147" s="259">
        <v>8</v>
      </c>
      <c r="B147" s="51" t="s">
        <v>559</v>
      </c>
      <c r="C147" s="21" t="s">
        <v>547</v>
      </c>
      <c r="D147" s="104">
        <f>IF(ISERROR(HLOOKUP($J$147,$Q$73:$W$74,2)),0,HLOOKUP($J$147,$Q$73:$W$74,2))</f>
        <v>0</v>
      </c>
      <c r="E147" s="105">
        <f>IF(ISERROR(HLOOKUP(K147,$Q$73:$W$74,2)),0,HLOOKUP(K147,$Q$73:$W$74,2))</f>
        <v>0</v>
      </c>
      <c r="F147" s="106">
        <f>IF(ISERROR(HLOOKUP(L147,$Q$73:$W$74,2)),0,HLOOKUP(L147,$Q$73:$W$74,2))</f>
        <v>0</v>
      </c>
      <c r="G147" s="396">
        <f>SUM($F$27:$F$32)</f>
        <v>0</v>
      </c>
      <c r="H147" s="103">
        <f>SUM($F$27:$F$32)+$J$51</f>
        <v>0</v>
      </c>
      <c r="I147" s="103">
        <f>SUM($F$27:$F$32)+$J$51+$J$60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>
        <v>26</v>
      </c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9</v>
      </c>
      <c r="B148" s="51" t="s">
        <v>560</v>
      </c>
      <c r="C148" s="21" t="s">
        <v>547</v>
      </c>
      <c r="D148" s="104">
        <f>IF(ISERROR(HLOOKUP($J$148,$Q$77:$W$78,2)),0,HLOOKUP($J$148,$Q$77:$W$78,2))</f>
        <v>0</v>
      </c>
      <c r="E148" s="105">
        <f>IF(ISERROR(HLOOKUP(K148,$Q$77:$W$78,2)),0,HLOOKUP(K148,$Q$77:$W$78,2))</f>
        <v>0</v>
      </c>
      <c r="F148" s="106">
        <f>IF(ISERROR(HLOOKUP(L148,$Q$77:$W$78,2)),0,HLOOKUP(L148,$Q$77:$W$78,2))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BB148" s="69"/>
      <c r="BC148" s="331"/>
      <c r="BD148" s="116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10</v>
      </c>
      <c r="B149" s="51" t="s">
        <v>561</v>
      </c>
      <c r="C149" s="21" t="s">
        <v>613</v>
      </c>
      <c r="D149" s="104">
        <f>IF(ISERROR(HLOOKUP($J$149,$Q$39:$Y$40,2)),0,HLOOKUP($J$149,$Q$39:$Y$40,2))</f>
        <v>0</v>
      </c>
      <c r="E149" s="105">
        <f>IF(ISERROR(HLOOKUP(K149,$Q$39:$Y$40,2)),0,HLOOKUP(K149,$Q$39:$Y$40,2))</f>
        <v>0</v>
      </c>
      <c r="F149" s="106">
        <f>IF(ISERROR(HLOOKUP(L149,$Q$39:$Y$40,2)),0,HLOOKUP(L149,$Q$39:$Y$40,2))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BB149" s="69"/>
      <c r="BC149" s="69"/>
      <c r="BD149" s="69"/>
      <c r="BE149" s="69"/>
      <c r="BF149" s="69"/>
      <c r="BG149" s="69"/>
      <c r="BH149" s="69"/>
      <c r="BI149" s="69"/>
      <c r="BJ149" s="69"/>
      <c r="BK149" s="5"/>
      <c r="BL149" s="5"/>
    </row>
    <row r="150" spans="1:64" ht="12.75" hidden="1" customHeight="1" x14ac:dyDescent="0.15">
      <c r="A150" s="259">
        <v>11</v>
      </c>
      <c r="B150" s="51" t="s">
        <v>562</v>
      </c>
      <c r="C150" s="21" t="s">
        <v>547</v>
      </c>
      <c r="D150" s="104">
        <f>IF(ISERROR(HLOOKUP($J$150,$Q$73:$AB$74,2)),0,HLOOKUP($J$150,$Q$73:$AB$74,2))</f>
        <v>0</v>
      </c>
      <c r="E150" s="105">
        <f>IF(ISERROR(HLOOKUP(K150,$Q$73:$AB$74,2)),0,HLOOKUP(K150,$Q$73:$AB$74,2))</f>
        <v>0</v>
      </c>
      <c r="F150" s="106">
        <f>IF(ISERROR(HLOOKUP(L150,$Q$73:$AB$74,2)),0,HLOOKUP(L150,$Q$73:$AB$74,2))</f>
        <v>0</v>
      </c>
      <c r="G150" s="396">
        <f>SUM($F$30:$F$32)</f>
        <v>0</v>
      </c>
      <c r="H150" s="103">
        <f>SUM($F$30:$F$32)+$J$51</f>
        <v>0</v>
      </c>
      <c r="I150" s="103">
        <f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BB150" s="69"/>
      <c r="BC150" s="69"/>
      <c r="BD150" s="69"/>
      <c r="BE150" s="69"/>
      <c r="BF150" s="69"/>
      <c r="BG150" s="69"/>
      <c r="BH150" s="69"/>
      <c r="BI150" s="69"/>
      <c r="BJ150" s="69"/>
      <c r="BK150" s="5"/>
      <c r="BL150" s="5"/>
    </row>
    <row r="151" spans="1:64" ht="12.75" hidden="1" customHeight="1" x14ac:dyDescent="0.15">
      <c r="A151" s="259">
        <v>12</v>
      </c>
      <c r="B151" s="51" t="s">
        <v>563</v>
      </c>
      <c r="C151" s="21"/>
      <c r="D151" s="104"/>
      <c r="E151" s="105"/>
      <c r="F151" s="106"/>
      <c r="G151" s="396">
        <f>SUM($F$30:$F$32)</f>
        <v>0</v>
      </c>
      <c r="H151" s="103">
        <f>SUM($F$30:$F$32)+$J$51</f>
        <v>0</v>
      </c>
      <c r="I151" s="103">
        <f>SUM($F$30:$F$32)+$J$51+$J$60</f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BB151" s="69"/>
      <c r="BC151" s="69"/>
      <c r="BD151" s="69"/>
      <c r="BE151" s="69"/>
      <c r="BF151" s="69"/>
      <c r="BG151" s="69"/>
      <c r="BH151" s="69"/>
      <c r="BI151" s="69"/>
      <c r="BJ151" s="69"/>
      <c r="BK151" s="5"/>
      <c r="BL151" s="5"/>
    </row>
    <row r="152" spans="1:64" ht="12.75" hidden="1" customHeight="1" x14ac:dyDescent="0.15">
      <c r="A152" s="259">
        <v>13</v>
      </c>
      <c r="B152" s="51" t="s">
        <v>686</v>
      </c>
      <c r="C152" s="21" t="s">
        <v>527</v>
      </c>
      <c r="D152" s="104">
        <f>IF(ISERROR(HLOOKUP($J$152,$Q$26:$AT$27,2)),0,HLOOKUP($J$152,$Q$26:$AT$27,2))</f>
        <v>0</v>
      </c>
      <c r="E152" s="104">
        <f>IF(ISERROR(HLOOKUP(K152,$Q$26:$AT$27,2)),0,HLOOKUP(K152,$Q$26:$AT$27,2))</f>
        <v>0</v>
      </c>
      <c r="F152" s="104">
        <f>IF(ISERROR(HLOOKUP(L152,$Q$26:$AT$27,2)),0,HLOOKUP(L152,$Q$26:$AT$27,2))</f>
        <v>0</v>
      </c>
      <c r="G152" s="396">
        <f>SUM($F$30:$F$32)</f>
        <v>0</v>
      </c>
      <c r="H152" s="103">
        <f>SUM($F$30:$F$32)+$J$51</f>
        <v>0</v>
      </c>
      <c r="I152" s="103">
        <f>SUM($F$30:$F$32)+$J$51+$J$60</f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BB152" s="69"/>
      <c r="BC152" s="69"/>
      <c r="BD152" s="69"/>
      <c r="BE152" s="69"/>
      <c r="BF152" s="69"/>
      <c r="BG152" s="69"/>
      <c r="BH152" s="69"/>
      <c r="BI152" s="69"/>
      <c r="BJ152" s="69"/>
      <c r="BK152" s="5"/>
      <c r="BL152" s="5"/>
    </row>
    <row r="153" spans="1:64" ht="12.75" hidden="1" customHeight="1" x14ac:dyDescent="0.15">
      <c r="A153" s="259">
        <v>14</v>
      </c>
      <c r="B153" s="51" t="s">
        <v>564</v>
      </c>
      <c r="C153" s="21" t="s">
        <v>613</v>
      </c>
      <c r="D153" s="104">
        <f>IF(ISERROR(HLOOKUP(J153,$Q$48:$AB$49,2)),0,HLOOKUP(J153,$Q$48:$AB$49,2))</f>
        <v>0</v>
      </c>
      <c r="E153" s="104">
        <f>IF(ISERROR(HLOOKUP(K153,$Q$48:$AB$49,2)),0,HLOOKUP(K153,$Q$48:$AB$49,2))</f>
        <v>0</v>
      </c>
      <c r="F153" s="104">
        <f>IF(ISERROR(HLOOKUP(L153,$Q$48:$AB$49,2)),0,HLOOKUP(L153,$Q$48:$AB$49,2))</f>
        <v>0</v>
      </c>
      <c r="G153" s="396">
        <f>SUM($F$27:$F$32)</f>
        <v>0</v>
      </c>
      <c r="H153" s="103">
        <f>SUM($F$27:$F$32)+$J$51</f>
        <v>0</v>
      </c>
      <c r="I153" s="103">
        <f>SUM($F$27:$F$32)+$J$51+$J$60</f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69"/>
      <c r="BC153" s="69"/>
      <c r="BD153" s="69"/>
      <c r="BE153" s="69"/>
      <c r="BF153" s="69"/>
      <c r="BG153" s="69"/>
      <c r="BH153" s="69"/>
      <c r="BI153" s="69"/>
      <c r="BJ153" s="69"/>
      <c r="BK153" s="5"/>
      <c r="BL153" s="5"/>
    </row>
    <row r="154" spans="1:64" ht="12.75" hidden="1" customHeight="1" x14ac:dyDescent="0.15">
      <c r="A154" s="259">
        <v>15</v>
      </c>
      <c r="B154" s="51" t="s">
        <v>565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69" t="s">
        <v>427</v>
      </c>
      <c r="BC154" s="69"/>
      <c r="BD154" s="69"/>
      <c r="BE154" s="69"/>
      <c r="BF154" s="69"/>
      <c r="BG154" s="69"/>
      <c r="BH154" s="69"/>
      <c r="BI154" s="69"/>
      <c r="BJ154" s="69"/>
      <c r="BK154" s="116"/>
      <c r="BL154" s="332"/>
    </row>
    <row r="155" spans="1:64" ht="12.75" hidden="1" customHeight="1" x14ac:dyDescent="0.15">
      <c r="A155" s="259">
        <v>16</v>
      </c>
      <c r="B155" s="51" t="s">
        <v>566</v>
      </c>
      <c r="C155" s="21" t="s">
        <v>527</v>
      </c>
      <c r="D155" s="104">
        <f>IF(ISERROR(HLOOKUP(J155,$Q$26:$AT$27,2)),0,HLOOKUP(J155,$Q$26:$AT$27,2))</f>
        <v>0</v>
      </c>
      <c r="E155" s="104">
        <f>IF(ISERROR(HLOOKUP(K155,$Q$26:$AT$27,2)),0,HLOOKUP(K155,$Q$26:$AT$27,2))</f>
        <v>0</v>
      </c>
      <c r="F155" s="104">
        <f>IF(ISERROR(HLOOKUP(L155,$Q$26:$AT$27,2)),0,HLOOKUP(L155,$Q$26:$AT$27,2))</f>
        <v>0</v>
      </c>
      <c r="G155" s="396">
        <f t="shared" ref="G155:G160" si="10">SUM($F$30:$F$32)</f>
        <v>0</v>
      </c>
      <c r="H155" s="103">
        <f t="shared" ref="H155:H160" si="11">SUM($F$30:$F$32)+$J$51</f>
        <v>0</v>
      </c>
      <c r="I155" s="103">
        <f t="shared" ref="I155:I160" si="12"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69"/>
      <c r="BC155" s="69"/>
      <c r="BD155" s="69"/>
      <c r="BE155" s="333"/>
      <c r="BF155" s="69"/>
      <c r="BG155" s="69"/>
      <c r="BH155" s="69"/>
      <c r="BI155" s="69"/>
      <c r="BJ155" s="69"/>
      <c r="BK155" s="69"/>
      <c r="BL155" s="69"/>
    </row>
    <row r="156" spans="1:64" ht="12.75" hidden="1" customHeight="1" x14ac:dyDescent="0.15">
      <c r="A156" s="259">
        <v>17</v>
      </c>
      <c r="B156" s="51" t="s">
        <v>567</v>
      </c>
      <c r="C156" s="21" t="s">
        <v>547</v>
      </c>
      <c r="D156" s="104">
        <f>IF(ISERROR(HLOOKUP(J156,$Q$73:$V$74,2)),0,HLOOKUP(J156,$Q$73:$V$74,2))</f>
        <v>0</v>
      </c>
      <c r="E156" s="104">
        <f>IF(ISERROR(HLOOKUP(K156,$Q$73:$V$74,2)),0,HLOOKUP(K156,$Q$73:$V$74,2))</f>
        <v>0</v>
      </c>
      <c r="F156" s="104">
        <f>IF(ISERROR(HLOOKUP(L156,$Q$73:$V$74,2)),0,HLOOKUP(L156,$Q$73:$V$74,2))</f>
        <v>0</v>
      </c>
      <c r="G156" s="396">
        <f t="shared" si="10"/>
        <v>0</v>
      </c>
      <c r="H156" s="103">
        <f t="shared" si="11"/>
        <v>0</v>
      </c>
      <c r="I156" s="103">
        <f t="shared" si="12"/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2.75" hidden="1" customHeight="1" x14ac:dyDescent="0.15">
      <c r="A157" s="259">
        <v>18</v>
      </c>
      <c r="B157" s="51" t="s">
        <v>568</v>
      </c>
      <c r="C157" s="21" t="s">
        <v>527</v>
      </c>
      <c r="D157" s="104">
        <f>IF(ISERROR(HLOOKUP(J157,$Q$32:$AF$33,2)),0,HLOOKUP(J157,$Q$32:$AF$33,2))</f>
        <v>0</v>
      </c>
      <c r="E157" s="104">
        <f>IF(ISERROR(HLOOKUP(K157,$Q$32:$AF$33,2)),0,HLOOKUP(K157,$Q$32:$AF$33,2))</f>
        <v>0</v>
      </c>
      <c r="F157" s="104">
        <f>IF(ISERROR(HLOOKUP(L157,$Q$32:$AF$33,2)),0,HLOOKUP(L157,$Q$32:$AF$33,2))</f>
        <v>0</v>
      </c>
      <c r="G157" s="396">
        <f t="shared" si="10"/>
        <v>0</v>
      </c>
      <c r="H157" s="103">
        <f t="shared" si="11"/>
        <v>0</v>
      </c>
      <c r="I157" s="103">
        <f t="shared" si="12"/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  <c r="BB157" s="69"/>
      <c r="BC157" s="69"/>
      <c r="BD157" s="69"/>
      <c r="BE157" s="333"/>
      <c r="BF157" s="69"/>
      <c r="BG157" s="69"/>
      <c r="BH157" s="69"/>
      <c r="BI157" s="69"/>
      <c r="BJ157" s="69"/>
      <c r="BK157" s="69"/>
      <c r="BL157" s="69"/>
    </row>
    <row r="158" spans="1:64" ht="12.75" hidden="1" customHeight="1" x14ac:dyDescent="0.15">
      <c r="A158" s="259">
        <v>19</v>
      </c>
      <c r="B158" s="51" t="s">
        <v>569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 t="shared" si="10"/>
        <v>0</v>
      </c>
      <c r="H158" s="103">
        <f t="shared" si="11"/>
        <v>0</v>
      </c>
      <c r="I158" s="103">
        <f t="shared" si="12"/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  <c r="BB158" s="11"/>
      <c r="BC158" s="5"/>
    </row>
    <row r="159" spans="1:64" ht="12.75" hidden="1" customHeight="1" x14ac:dyDescent="0.15">
      <c r="A159" s="259">
        <v>20</v>
      </c>
      <c r="B159" s="51" t="s">
        <v>570</v>
      </c>
      <c r="C159" s="21" t="s">
        <v>613</v>
      </c>
      <c r="D159" s="104">
        <f t="shared" ref="D159:F160" si="13">IF(ISERROR(HLOOKUP(J159,$Q$39:$Y$40,2)),0,HLOOKUP(J159,$Q$39:$Y$40,2))</f>
        <v>0</v>
      </c>
      <c r="E159" s="104">
        <f t="shared" si="13"/>
        <v>0</v>
      </c>
      <c r="F159" s="104">
        <f t="shared" si="13"/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  <c r="BB159" s="11"/>
      <c r="BC159" s="5"/>
    </row>
    <row r="160" spans="1:64" ht="12.75" hidden="1" customHeight="1" x14ac:dyDescent="0.15">
      <c r="A160" s="259">
        <v>21</v>
      </c>
      <c r="B160" s="51" t="s">
        <v>571</v>
      </c>
      <c r="C160" s="21" t="s">
        <v>613</v>
      </c>
      <c r="D160" s="104">
        <f t="shared" si="13"/>
        <v>0</v>
      </c>
      <c r="E160" s="104">
        <f t="shared" si="13"/>
        <v>0</v>
      </c>
      <c r="F160" s="104">
        <f t="shared" si="13"/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  <c r="BB160" s="11"/>
      <c r="BC160" s="5"/>
    </row>
    <row r="161" spans="1:55" ht="12.75" hidden="1" customHeight="1" x14ac:dyDescent="0.15">
      <c r="A161" s="259">
        <v>22</v>
      </c>
      <c r="B161" s="51" t="s">
        <v>572</v>
      </c>
      <c r="C161" s="21"/>
      <c r="D161" s="334"/>
      <c r="E161" s="335"/>
      <c r="F161" s="336"/>
      <c r="G161" s="397"/>
      <c r="H161" s="51"/>
      <c r="M161" s="21" t="s">
        <v>660</v>
      </c>
      <c r="P161" s="328"/>
      <c r="Q161" s="328"/>
      <c r="AS161" s="5"/>
      <c r="BB161" s="11"/>
      <c r="BC161" s="5"/>
    </row>
    <row r="162" spans="1:55" ht="12.75" hidden="1" customHeight="1" x14ac:dyDescent="0.15">
      <c r="A162" s="259">
        <v>23</v>
      </c>
      <c r="B162" s="51" t="s">
        <v>573</v>
      </c>
      <c r="C162" s="21"/>
      <c r="D162" s="334"/>
      <c r="E162" s="335"/>
      <c r="F162" s="336"/>
      <c r="G162" s="397"/>
      <c r="H162" s="51"/>
      <c r="M162" s="21" t="s">
        <v>660</v>
      </c>
      <c r="P162" s="328"/>
      <c r="Q162" s="328"/>
      <c r="AS162" s="5"/>
    </row>
    <row r="163" spans="1:55" ht="12.75" hidden="1" customHeight="1" x14ac:dyDescent="0.15">
      <c r="A163" s="259">
        <v>24</v>
      </c>
      <c r="B163" s="51" t="s">
        <v>574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>SUM($F$27:$F$32)</f>
        <v>0</v>
      </c>
      <c r="H163" s="103">
        <f>SUM($F$27:$F$32)+$J$51</f>
        <v>0</v>
      </c>
      <c r="I163" s="103">
        <f>SUM($F$27:$F$32)+$J$51+$J$60</f>
        <v>0</v>
      </c>
      <c r="J163" s="21">
        <f t="shared" ref="J163:J194" si="14">ROUNDDOWN(G163/365,0)</f>
        <v>0</v>
      </c>
      <c r="K163" s="21">
        <f t="shared" ref="K163:K194" si="15">ROUNDDOWN(H163/365,0)</f>
        <v>0</v>
      </c>
      <c r="L163" s="21">
        <f t="shared" ref="L163:L194" si="16">ROUNDDOWN(I163/365,0)</f>
        <v>0</v>
      </c>
      <c r="M163" s="21" t="s">
        <v>660</v>
      </c>
      <c r="P163" s="328"/>
      <c r="Q163" s="328"/>
      <c r="AS163" s="5"/>
    </row>
    <row r="164" spans="1:55" ht="12.75" hidden="1" customHeight="1" x14ac:dyDescent="0.15">
      <c r="A164" s="259">
        <v>25</v>
      </c>
      <c r="B164" s="51" t="s">
        <v>580</v>
      </c>
      <c r="C164" s="21" t="s">
        <v>527</v>
      </c>
      <c r="D164" s="104">
        <f>IF(ISERROR(HLOOKUP(J164,$Q$29:$AT$30,2)),0,HLOOKUP(J164,$Q$29:$AT$30,2))</f>
        <v>0</v>
      </c>
      <c r="E164" s="104">
        <f>IF(ISERROR(HLOOKUP(K164,$Q$29:$AT$30,2)),0,HLOOKUP(K164,$Q$29:$AT$30,2))</f>
        <v>0</v>
      </c>
      <c r="F164" s="104">
        <f>IF(ISERROR(HLOOKUP(L164,$Q$29:$AT$30,2)),0,HLOOKUP(L164,$Q$29:$AT$30,2))</f>
        <v>0</v>
      </c>
      <c r="G164" s="396">
        <f>SUM($F$30:$F$32)</f>
        <v>0</v>
      </c>
      <c r="H164" s="103">
        <f>SUM($F$30:$F$32)+$J$51</f>
        <v>0</v>
      </c>
      <c r="I164" s="103">
        <f>SUM($F$30:$F$32)+$J$51+$J$60</f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55" ht="12.75" hidden="1" customHeight="1" x14ac:dyDescent="0.15">
      <c r="A165" s="259">
        <v>26</v>
      </c>
      <c r="B165" s="51" t="s">
        <v>581</v>
      </c>
      <c r="C165" s="21" t="s">
        <v>547</v>
      </c>
      <c r="D165" s="104">
        <f>IF(ISERROR(HLOOKUP(J165,$Q$73:$W$74,2)),0,HLOOKUP(J165,$Q$73:$W$74,2))</f>
        <v>0</v>
      </c>
      <c r="E165" s="104">
        <f>IF(ISERROR(HLOOKUP(K165,$Q$73:$W$74,2)),0,HLOOKUP(K165,$Q$73:$W$74,2))</f>
        <v>0</v>
      </c>
      <c r="F165" s="104">
        <f>IF(ISERROR(HLOOKUP(L165,$Q$73:$W$74,2)),0,HLOOKUP(L165,$Q$73:$W$74,2))</f>
        <v>0</v>
      </c>
      <c r="G165" s="396">
        <f>SUM($F$27:$F$32)</f>
        <v>0</v>
      </c>
      <c r="H165" s="103">
        <f>SUM($F$27:$F$32)+$J$51</f>
        <v>0</v>
      </c>
      <c r="I165" s="103">
        <f>SUM($F$27:$F$32)+$J$51+$J$60</f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55" ht="12.75" hidden="1" customHeight="1" x14ac:dyDescent="0.15">
      <c r="A166" s="259" t="s">
        <v>582</v>
      </c>
      <c r="B166" s="51" t="s">
        <v>684</v>
      </c>
      <c r="C166" s="21" t="s">
        <v>547</v>
      </c>
      <c r="D166" s="104">
        <f>IF(ISERROR(HLOOKUP(J166,$Q$73:$V$74,2)),0,HLOOKUP(J166,$Q$73:$V$74,2))</f>
        <v>0</v>
      </c>
      <c r="E166" s="104">
        <f>IF(ISERROR(HLOOKUP(K166,$Q$73:$V$74,2)),0,HLOOKUP(K166,$Q$73:$V$74,2))</f>
        <v>0</v>
      </c>
      <c r="F166" s="104">
        <f>IF(ISERROR(HLOOKUP(L166,$Q$73:$V$74,2)),0,HLOOKUP(L166,$Q$73:$V$74,2))</f>
        <v>0</v>
      </c>
      <c r="G166" s="396">
        <f>SUM($F$27:$F$32)</f>
        <v>0</v>
      </c>
      <c r="H166" s="103">
        <f>SUM($F$27:$F$32)+$J$51</f>
        <v>0</v>
      </c>
      <c r="I166" s="103">
        <f>SUM($F$27:$F$32)+$J$51+$J$60</f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5"/>
    </row>
    <row r="167" spans="1:55" ht="12.75" hidden="1" customHeight="1" x14ac:dyDescent="0.15">
      <c r="A167" s="259">
        <v>27</v>
      </c>
      <c r="B167" s="51" t="s">
        <v>583</v>
      </c>
      <c r="C167" s="21" t="s">
        <v>613</v>
      </c>
      <c r="D167" s="104">
        <f>IF(ISERROR(HLOOKUP(J167,$Q$48:$Z$49,2)),0,HLOOKUP(J167,$Q$48:$Z$49,2))</f>
        <v>0</v>
      </c>
      <c r="E167" s="104">
        <f>IF(ISERROR(HLOOKUP(K167,$Q$48:$Z$49,2)),0,HLOOKUP(K167,$Q$48:$Z$49,2))</f>
        <v>0</v>
      </c>
      <c r="F167" s="104">
        <f>IF(ISERROR(HLOOKUP(L167,$Q$48:$Z$49,2)),0,HLOOKUP(L167,$Q$48:$Z$49,2))</f>
        <v>0</v>
      </c>
      <c r="G167" s="396">
        <f t="shared" ref="G167:G174" si="17">SUM($F$30:$F$32)</f>
        <v>0</v>
      </c>
      <c r="H167" s="103">
        <f t="shared" ref="H167:H174" si="18">SUM($F$30:$F$32)+$J$51</f>
        <v>0</v>
      </c>
      <c r="I167" s="103">
        <f t="shared" ref="I167:I174" si="19">SUM($F$30:$F$32)+$J$51+$J$60</f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5"/>
    </row>
    <row r="168" spans="1:55" ht="12.75" hidden="1" customHeight="1" x14ac:dyDescent="0.15">
      <c r="A168" s="259">
        <v>28</v>
      </c>
      <c r="B168" s="51" t="s">
        <v>584</v>
      </c>
      <c r="C168" s="21" t="s">
        <v>547</v>
      </c>
      <c r="D168" s="104">
        <f>IF(ISERROR(HLOOKUP(J168,$Q$73:$W$74,2)),0,HLOOKUP(J168,$Q$73:$W$74,2))</f>
        <v>0</v>
      </c>
      <c r="E168" s="104">
        <f>IF(ISERROR(HLOOKUP(K168,$Q$73:$W$74,2)),0,HLOOKUP(K168,$Q$73:$W$74,2))</f>
        <v>0</v>
      </c>
      <c r="F168" s="104">
        <f>IF(ISERROR(HLOOKUP(L168,$Q$73:$W$74,2)),0,HLOOKUP(L168,$Q$73:$W$74,2))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21" t="s">
        <v>660</v>
      </c>
      <c r="P168" s="328"/>
      <c r="Q168" s="328"/>
      <c r="AS168" s="5"/>
    </row>
    <row r="169" spans="1:55" ht="12.75" hidden="1" customHeight="1" x14ac:dyDescent="0.15">
      <c r="A169" s="259">
        <v>29</v>
      </c>
      <c r="B169" s="51" t="s">
        <v>585</v>
      </c>
      <c r="C169" s="21" t="s">
        <v>613</v>
      </c>
      <c r="D169" s="104">
        <f>IF(ISERROR(HLOOKUP(J169,$Q$48:$V$49,2)),0,HLOOKUP(J169,$Q$48:$V$49,2))</f>
        <v>0</v>
      </c>
      <c r="E169" s="104">
        <f>IF(ISERROR(HLOOKUP(K169,$Q$48:$V$49,2)),0,HLOOKUP(K169,$Q$48:$V$49,2))</f>
        <v>0</v>
      </c>
      <c r="F169" s="104">
        <f>IF(ISERROR(HLOOKUP(L169,$Q$48:$V$49,2)),0,HLOOKUP(L169,$Q$48:$V$49,2))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21" t="s">
        <v>660</v>
      </c>
      <c r="P169" s="328"/>
      <c r="Q169" s="328"/>
      <c r="AS169" s="5"/>
    </row>
    <row r="170" spans="1:55" ht="13.5" hidden="1" customHeight="1" x14ac:dyDescent="0.15">
      <c r="A170" s="259">
        <v>30</v>
      </c>
      <c r="B170" s="51" t="s">
        <v>586</v>
      </c>
      <c r="C170" s="21" t="s">
        <v>613</v>
      </c>
      <c r="D170" s="104">
        <f>IF(ISERROR(HLOOKUP(J170,$Q$48:$AA$49,2)),0,HLOOKUP(J170,$Q$48:$AA$49,2))</f>
        <v>0</v>
      </c>
      <c r="E170" s="104">
        <f>IF(ISERROR(HLOOKUP(K170,$Q$48:$AA$49,2)),0,HLOOKUP(K170,$Q$48:$AA$49,2))</f>
        <v>0</v>
      </c>
      <c r="F170" s="104">
        <f>IF(ISERROR(HLOOKUP(L170,$Q$48:$AA$49,2)),0,HLOOKUP(L170,$Q$48:$AA$49,2))</f>
        <v>0</v>
      </c>
      <c r="G170" s="396">
        <f t="shared" si="17"/>
        <v>0</v>
      </c>
      <c r="H170" s="103">
        <f t="shared" si="18"/>
        <v>0</v>
      </c>
      <c r="I170" s="103">
        <f t="shared" si="19"/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21" t="s">
        <v>660</v>
      </c>
      <c r="P170" s="328"/>
      <c r="Q170" s="328"/>
      <c r="AS170" s="5"/>
    </row>
    <row r="171" spans="1:55" ht="12.75" hidden="1" customHeight="1" x14ac:dyDescent="0.15">
      <c r="A171" s="259" t="s">
        <v>587</v>
      </c>
      <c r="B171" s="51" t="s">
        <v>685</v>
      </c>
      <c r="C171" s="21" t="s">
        <v>547</v>
      </c>
      <c r="D171" s="104">
        <f>IF(ISERROR(HLOOKUP(J171,$Q$73:$X$74,2)),0,HLOOKUP(J171,$Q$73:$X$74,2))</f>
        <v>0</v>
      </c>
      <c r="E171" s="104">
        <f>IF(ISERROR(HLOOKUP(K171,$Q$73:$X$74,2)),0,HLOOKUP(K171,$Q$73:$X$74,2))</f>
        <v>0</v>
      </c>
      <c r="F171" s="104">
        <f>IF(ISERROR(HLOOKUP(L171,$Q$73:$X$74,2)),0,HLOOKUP(L171,$Q$73:$X$74,2))</f>
        <v>0</v>
      </c>
      <c r="G171" s="396">
        <f t="shared" si="17"/>
        <v>0</v>
      </c>
      <c r="H171" s="103">
        <f t="shared" si="18"/>
        <v>0</v>
      </c>
      <c r="I171" s="103">
        <f t="shared" si="19"/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21" t="s">
        <v>660</v>
      </c>
      <c r="P171" s="328"/>
      <c r="Q171" s="328"/>
      <c r="AS171" s="116"/>
    </row>
    <row r="172" spans="1:55" ht="12.75" hidden="1" customHeight="1" x14ac:dyDescent="0.15">
      <c r="A172" s="259">
        <v>31</v>
      </c>
      <c r="B172" s="51" t="s">
        <v>588</v>
      </c>
      <c r="C172" s="21" t="s">
        <v>613</v>
      </c>
      <c r="D172" s="104">
        <f>IF(ISERROR(HLOOKUP(J172,$Q$42:$AG$43,2)),0,HLOOKUP(J172,$Q$42:$AG$43,2))</f>
        <v>0</v>
      </c>
      <c r="E172" s="104">
        <f>IF(ISERROR(HLOOKUP(K172,$Q$42:$AG$43,2)),0,HLOOKUP(K172,$Q$42:$AG$43,2))</f>
        <v>0</v>
      </c>
      <c r="F172" s="104">
        <f>IF(ISERROR(HLOOKUP(L172,$Q$42:$AG$43,2)),0,HLOOKUP(L172,$Q$42:$AG$43,2))</f>
        <v>0</v>
      </c>
      <c r="G172" s="396">
        <f t="shared" si="17"/>
        <v>0</v>
      </c>
      <c r="H172" s="103">
        <f t="shared" si="18"/>
        <v>0</v>
      </c>
      <c r="I172" s="103">
        <f t="shared" si="19"/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21" t="s">
        <v>660</v>
      </c>
      <c r="P172" s="328"/>
      <c r="Q172" s="328"/>
      <c r="AS172" s="69"/>
    </row>
    <row r="173" spans="1:55" ht="12.75" hidden="1" customHeight="1" x14ac:dyDescent="0.15">
      <c r="A173" s="259">
        <v>32</v>
      </c>
      <c r="B173" s="338" t="s">
        <v>617</v>
      </c>
      <c r="C173" s="21" t="s">
        <v>613</v>
      </c>
      <c r="D173" s="104">
        <f>IF(ISERROR(HLOOKUP(J173,$Q$42:$AA$43,2)),0,HLOOKUP(J173,$Q$42:$AA$43,2))</f>
        <v>0</v>
      </c>
      <c r="E173" s="104">
        <f>IF(ISERROR(HLOOKUP(K173,$Q$42:$AA$43,2)),0,HLOOKUP(K173,$Q$42:$AA$43,2))</f>
        <v>0</v>
      </c>
      <c r="F173" s="104">
        <f>IF(ISERROR(HLOOKUP(L173,$Q$42:$AA$43,2)),0,HLOOKUP(L173,$Q$42:$AA$43,2))</f>
        <v>0</v>
      </c>
      <c r="G173" s="396">
        <f t="shared" si="17"/>
        <v>0</v>
      </c>
      <c r="H173" s="103">
        <f t="shared" si="18"/>
        <v>0</v>
      </c>
      <c r="I173" s="103">
        <f t="shared" si="19"/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S173" s="69"/>
    </row>
    <row r="174" spans="1:55" ht="12.75" hidden="1" customHeight="1" x14ac:dyDescent="0.15">
      <c r="A174" s="259">
        <v>33</v>
      </c>
      <c r="B174" s="338" t="s">
        <v>618</v>
      </c>
      <c r="C174" s="21" t="s">
        <v>613</v>
      </c>
      <c r="D174" s="104">
        <f>IF(ISERROR(HLOOKUP(J174,$Q$39:$AA$40,2)),0,HLOOKUP(J174,$Q$39:$AA$40,2))</f>
        <v>0</v>
      </c>
      <c r="E174" s="104">
        <f>IF(ISERROR(HLOOKUP(K174,$Q$39:$AA$40,2)),0,HLOOKUP(K174,$Q$39:$AA$40,2))</f>
        <v>0</v>
      </c>
      <c r="F174" s="104">
        <f>IF(ISERROR(HLOOKUP(L174,$Q$39:$AA$40,2)),0,HLOOKUP(L174,$Q$39:$AA$40,2))</f>
        <v>0</v>
      </c>
      <c r="G174" s="396">
        <f t="shared" si="17"/>
        <v>0</v>
      </c>
      <c r="H174" s="103">
        <f t="shared" si="18"/>
        <v>0</v>
      </c>
      <c r="I174" s="103">
        <f t="shared" si="19"/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S174" s="69"/>
    </row>
    <row r="175" spans="1:55" ht="12.75" hidden="1" customHeight="1" x14ac:dyDescent="0.15">
      <c r="A175" s="259">
        <v>34</v>
      </c>
      <c r="B175" s="338" t="s">
        <v>619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</row>
    <row r="176" spans="1:55" ht="12.75" hidden="1" customHeight="1" x14ac:dyDescent="0.15">
      <c r="A176" s="259">
        <v>35</v>
      </c>
      <c r="B176" s="338" t="s">
        <v>620</v>
      </c>
      <c r="C176" s="21" t="s">
        <v>613</v>
      </c>
      <c r="D176" s="104">
        <f>IF(ISERROR(HLOOKUP(J176,$Q$39:$AB$40,2)),0,HLOOKUP(J176,$Q$39:$AB$40,2))</f>
        <v>0</v>
      </c>
      <c r="E176" s="104">
        <f>IF(ISERROR(HLOOKUP(K176,$Q$39:$AB$40,2)),0,HLOOKUP(K176,$Q$39:$AB$40,2))</f>
        <v>0</v>
      </c>
      <c r="F176" s="104">
        <f>IF(ISERROR(HLOOKUP(L176,$Q$39:$AB$40,2)),0,HLOOKUP(L176,$Q$39:$AB$40,2))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P176" s="44"/>
      <c r="Q176" s="44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</row>
    <row r="177" spans="1:45" ht="12.75" hidden="1" customHeight="1" x14ac:dyDescent="0.15">
      <c r="A177" s="259">
        <v>36</v>
      </c>
      <c r="B177" s="339" t="s">
        <v>621</v>
      </c>
      <c r="C177" s="21" t="s">
        <v>613</v>
      </c>
      <c r="D177" s="104">
        <f>IF(ISERROR(HLOOKUP(J177,$Q$39:$AA$40,2)),0,HLOOKUP(J177,$Q$39:$AA$40,2))</f>
        <v>0</v>
      </c>
      <c r="E177" s="104">
        <f>IF(ISERROR(HLOOKUP(K177,$Q$39:$AA$40,2)),0,HLOOKUP(K177,$Q$39:$AA$40,2))</f>
        <v>0</v>
      </c>
      <c r="F177" s="104">
        <f>IF(ISERROR(HLOOKUP(L177,$Q$39:$AA$40,2)),0,HLOOKUP(L177,$Q$39:$AA$40,2))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P177" s="44"/>
      <c r="Q177" s="44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</row>
    <row r="178" spans="1:45" ht="12.75" hidden="1" customHeight="1" x14ac:dyDescent="0.15">
      <c r="A178" s="259">
        <v>37</v>
      </c>
      <c r="B178" s="340" t="s">
        <v>622</v>
      </c>
      <c r="C178" s="21" t="s">
        <v>547</v>
      </c>
      <c r="D178" s="104">
        <f t="shared" ref="D178:F179" si="20">IF(ISERROR(HLOOKUP(J178,$Q$73:$AB$74,2)),0,HLOOKUP(J178,$Q$73:$AB$74,2))</f>
        <v>0</v>
      </c>
      <c r="E178" s="104">
        <f t="shared" si="20"/>
        <v>0</v>
      </c>
      <c r="F178" s="104">
        <f t="shared" si="20"/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  <c r="AH178" s="69"/>
      <c r="AI178" s="116"/>
      <c r="AJ178" s="116"/>
      <c r="AK178" s="116"/>
      <c r="AL178" s="69"/>
      <c r="AM178" s="69"/>
      <c r="AN178" s="69"/>
      <c r="AO178" s="69"/>
      <c r="AP178" s="69"/>
      <c r="AQ178" s="69"/>
      <c r="AR178" s="69"/>
      <c r="AS178" s="69"/>
    </row>
    <row r="179" spans="1:45" ht="12.75" hidden="1" customHeight="1" x14ac:dyDescent="0.15">
      <c r="A179" s="259">
        <v>38</v>
      </c>
      <c r="B179" s="340" t="s">
        <v>623</v>
      </c>
      <c r="C179" s="21" t="s">
        <v>547</v>
      </c>
      <c r="D179" s="104">
        <f t="shared" si="20"/>
        <v>0</v>
      </c>
      <c r="E179" s="104">
        <f t="shared" si="20"/>
        <v>0</v>
      </c>
      <c r="F179" s="104">
        <f t="shared" si="20"/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</row>
    <row r="180" spans="1:45" ht="12.75" hidden="1" customHeight="1" thickBot="1" x14ac:dyDescent="0.2">
      <c r="A180" s="259">
        <v>39</v>
      </c>
      <c r="B180" s="340" t="s">
        <v>624</v>
      </c>
      <c r="C180" s="21" t="s">
        <v>613</v>
      </c>
      <c r="D180" s="104">
        <f>IF(ISERROR(HLOOKUP(J180,$Q$48:$Y$49,2)),0,HLOOKUP(J180,$Q$48:$Y$49,2))</f>
        <v>0</v>
      </c>
      <c r="E180" s="104">
        <f>IF(ISERROR(HLOOKUP(K180,$Q$48:$Y$49,2)),0,HLOOKUP(K180,$Q$48:$Y$49,2))</f>
        <v>0</v>
      </c>
      <c r="F180" s="104">
        <f>IF(ISERROR(HLOOKUP(L180,$Q$48:$Y$49,2)),0,HLOOKUP(L180,$Q$48:$Y$49,2))</f>
        <v>0</v>
      </c>
      <c r="G180" s="396">
        <f>SUM($F$30:$F$32)</f>
        <v>0</v>
      </c>
      <c r="H180" s="103">
        <f>SUM($F$30:$F$32)+$J$51</f>
        <v>0</v>
      </c>
      <c r="I180" s="103">
        <f>SUM($F$30:$F$32)+$J$51+$J$60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45" ht="12.75" hidden="1" customHeight="1" x14ac:dyDescent="0.15">
      <c r="A181" s="259">
        <v>40</v>
      </c>
      <c r="B181" s="340" t="s">
        <v>625</v>
      </c>
      <c r="C181" s="21" t="s">
        <v>613</v>
      </c>
      <c r="D181" s="104">
        <f>IF(ISERROR(HLOOKUP(J181,$Q$48:$AA$49,2)),0,HLOOKUP(J181,$Q$48:$AA$49,2))</f>
        <v>0</v>
      </c>
      <c r="E181" s="104">
        <f>IF(ISERROR(HLOOKUP(K181,$Q$48:$AA$49,2)),0,HLOOKUP(K181,$Q$48:$AA$49,2))</f>
        <v>0</v>
      </c>
      <c r="F181" s="104">
        <f>IF(ISERROR(HLOOKUP(L181,$Q$48:$AA$49,2)),0,HLOOKUP(L181,$Q$48:$AA$49,2))</f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N181" s="341" t="s">
        <v>613</v>
      </c>
      <c r="O181" s="256">
        <f>IF(ISERROR(HLOOKUP(J182,$Q$63:$AA$64,2)),0,HLOOKUP(J182,$Q$63:$AA$64,2))</f>
        <v>0</v>
      </c>
      <c r="P181" s="144">
        <f>IF(ISERROR(HLOOKUP(K182,$Q$63:$AA$64,2)),0,HLOOKUP(K182,$Q$63:$AA$64,2))</f>
        <v>0</v>
      </c>
      <c r="Q181" s="144">
        <f>IF(ISERROR(HLOOKUP(L182,$Q$63:$AA$64,2)),0,HLOOKUP(L182,$Q$63:$AA$64,2))</f>
        <v>0</v>
      </c>
      <c r="R181" s="342" t="s">
        <v>695</v>
      </c>
    </row>
    <row r="182" spans="1:45" ht="12.75" hidden="1" customHeight="1" thickBot="1" x14ac:dyDescent="0.2">
      <c r="A182" s="259">
        <v>41</v>
      </c>
      <c r="B182" s="340" t="s">
        <v>626</v>
      </c>
      <c r="C182" s="21" t="str">
        <f>IF($N$8&gt;=$R$182,$P$20,$P$19)</f>
        <v>TRIÊNIO</v>
      </c>
      <c r="D182" s="343">
        <f>IF($C$182=$N$181,$O$181,$O$182)</f>
        <v>0</v>
      </c>
      <c r="E182" s="343">
        <f>IF($C$182=$N$181,$P$181,$P$182)</f>
        <v>0</v>
      </c>
      <c r="F182" s="343">
        <f>IF($C$182=$N$181,$Q$181,$Q$182)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N182" s="344" t="s">
        <v>547</v>
      </c>
      <c r="O182" s="257">
        <f>IF(ISERROR(HLOOKUP(J182,$Q$73:$W$74,2)),0,HLOOKUP(J182,$Q$73:$W$74,2))</f>
        <v>0</v>
      </c>
      <c r="P182" s="145">
        <f>IF(ISERROR(HLOOKUP(K182,$Q$73:$W$74,2)),0,HLOOKUP(K182,$Q$73:$W$74,2))</f>
        <v>0</v>
      </c>
      <c r="Q182" s="145">
        <f>IF(ISERROR(HLOOKUP(L182,$Q$73:$W$74,2)),0,HLOOKUP(L182,$Q$73:$W$74,2))</f>
        <v>0</v>
      </c>
      <c r="R182" s="398">
        <v>36539</v>
      </c>
      <c r="S182" s="103"/>
      <c r="T182" s="103"/>
    </row>
    <row r="183" spans="1:45" ht="12.75" hidden="1" customHeight="1" x14ac:dyDescent="0.15">
      <c r="A183" s="259">
        <v>42</v>
      </c>
      <c r="B183" s="340" t="s">
        <v>627</v>
      </c>
      <c r="C183" s="21"/>
      <c r="D183" s="54"/>
      <c r="E183" s="54"/>
      <c r="F183" s="54"/>
      <c r="G183" s="396">
        <f>SUM($F$27:$F$32)</f>
        <v>0</v>
      </c>
      <c r="H183" s="103">
        <f>SUM($F$27:$F$32)+$J$51</f>
        <v>0</v>
      </c>
      <c r="I183" s="103">
        <f>SUM($F$27:$F$32)+$J$51+$J$60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45" ht="12.75" hidden="1" customHeight="1" x14ac:dyDescent="0.15">
      <c r="A184" s="259">
        <v>43</v>
      </c>
      <c r="B184" s="340" t="s">
        <v>628</v>
      </c>
      <c r="C184" s="21" t="s">
        <v>527</v>
      </c>
      <c r="D184" s="104">
        <f>IF(ISERROR(HLOOKUP(J184,$Q$26:$AY$27,2)),0,HLOOKUP(J184,$Q$26:$AY$27,2))</f>
        <v>0</v>
      </c>
      <c r="E184" s="104">
        <f>IF(ISERROR(HLOOKUP(K184,$Q$26:$AY$27,2)),0,HLOOKUP(K184,$Q$26:$AY$27,2))</f>
        <v>0</v>
      </c>
      <c r="F184" s="104">
        <f>IF(ISERROR(HLOOKUP(L184,$Q$26:$AY$27,2)),0,HLOOKUP(L184,$Q$26:$AY$27,2))</f>
        <v>0</v>
      </c>
      <c r="G184" s="396">
        <f>SUM($F$27:$F$33)</f>
        <v>0</v>
      </c>
      <c r="H184" s="103">
        <f>SUM($F$27:$F$33)+$J$51</f>
        <v>0</v>
      </c>
      <c r="I184" s="103">
        <f>SUM($F$27:$F$33)+$J$51+$J$60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45" ht="12.75" hidden="1" customHeight="1" x14ac:dyDescent="0.15">
      <c r="A185" s="259">
        <v>44</v>
      </c>
      <c r="B185" s="340" t="s">
        <v>629</v>
      </c>
      <c r="C185" s="21" t="s">
        <v>547</v>
      </c>
      <c r="D185" s="104">
        <f t="shared" ref="D185:F186" si="21">IF(ISERROR(HLOOKUP(J185,$Q$73:$W$74,2)),0,HLOOKUP(J185,$Q$73:$W$74,2))</f>
        <v>0</v>
      </c>
      <c r="E185" s="104">
        <f t="shared" si="21"/>
        <v>0</v>
      </c>
      <c r="F185" s="104">
        <f t="shared" si="21"/>
        <v>0</v>
      </c>
      <c r="G185" s="396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45" ht="12.75" hidden="1" customHeight="1" x14ac:dyDescent="0.15">
      <c r="A186" s="259">
        <v>45</v>
      </c>
      <c r="B186" s="340" t="s">
        <v>630</v>
      </c>
      <c r="C186" s="21" t="s">
        <v>547</v>
      </c>
      <c r="D186" s="104">
        <f t="shared" si="21"/>
        <v>0</v>
      </c>
      <c r="E186" s="104">
        <f t="shared" si="21"/>
        <v>0</v>
      </c>
      <c r="F186" s="104">
        <f t="shared" si="21"/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45" ht="12.75" hidden="1" customHeight="1" x14ac:dyDescent="0.15">
      <c r="A187" s="259">
        <v>46</v>
      </c>
      <c r="B187" s="340" t="s">
        <v>631</v>
      </c>
      <c r="C187" s="21" t="s">
        <v>527</v>
      </c>
      <c r="D187" s="104">
        <f>IF(ISERROR(HLOOKUP(J187,$Q$26:$AY$27,2)),0,HLOOKUP(J187,$Q$26:$AY$27,2))</f>
        <v>0</v>
      </c>
      <c r="E187" s="104">
        <f>IF(ISERROR(HLOOKUP(K187,$Q$26:$AY$27,2)),0,HLOOKUP(K187,$Q$26:$AY$27,2))</f>
        <v>0</v>
      </c>
      <c r="F187" s="104">
        <f>IF(ISERROR(HLOOKUP(L187,$Q$26:$AY$27,2)),0,HLOOKUP(L187,$Q$26:$AY$27,2))</f>
        <v>0</v>
      </c>
      <c r="G187" s="396">
        <f>SUM($F$27:$F$32)</f>
        <v>0</v>
      </c>
      <c r="H187" s="103">
        <f>SUM($F$27:$F$32)+$J$51</f>
        <v>0</v>
      </c>
      <c r="I187" s="103">
        <f>SUM($F$27:$F$32)+$J$51+$J$60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45" ht="12.75" hidden="1" customHeight="1" x14ac:dyDescent="0.15">
      <c r="A188" s="259">
        <v>47</v>
      </c>
      <c r="B188" s="340" t="s">
        <v>632</v>
      </c>
      <c r="C188" s="21" t="s">
        <v>613</v>
      </c>
      <c r="D188" s="104">
        <f>IF(ISERROR(HLOOKUP(J188,$Q$48:$Z$49,2)),0,HLOOKUP(J188,$Q$48:$Z$49,2))</f>
        <v>0</v>
      </c>
      <c r="E188" s="104">
        <f>IF(ISERROR(HLOOKUP(K188,$Q$48:$Z$49,2)),0,HLOOKUP(K188,$Q$48:$Z$49,2))</f>
        <v>0</v>
      </c>
      <c r="F188" s="104">
        <f>IF(ISERROR(HLOOKUP(L188,$Q$48:$Z$49,2)),0,HLOOKUP(L188,$Q$48:$Z$49,2))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45" ht="12.75" hidden="1" customHeight="1" x14ac:dyDescent="0.15">
      <c r="A189" s="259">
        <v>48</v>
      </c>
      <c r="B189" s="340" t="s">
        <v>633</v>
      </c>
      <c r="C189" s="21" t="s">
        <v>613</v>
      </c>
      <c r="D189" s="104">
        <f>IF(ISERROR(HLOOKUP(J189,$Q$48:$AJ$49,2)),0,HLOOKUP(J189,$Q$48:$AJ$49,2))</f>
        <v>0</v>
      </c>
      <c r="E189" s="104">
        <f>IF(ISERROR(HLOOKUP(K189,$Q$48:$AJ$49,2)),0,HLOOKUP(K189,$Q$48:$AJ$49,2))</f>
        <v>0</v>
      </c>
      <c r="F189" s="104">
        <f>IF(ISERROR(HLOOKUP(L189,$Q$48:$AJ$49,2)),0,HLOOKUP(L189,$Q$48:$AJ$49,2))</f>
        <v>0</v>
      </c>
      <c r="G189" s="396">
        <f>SUM($F$30:$F$33)</f>
        <v>0</v>
      </c>
      <c r="H189" s="103">
        <f>SUM($F$30:$F$33)+$J$51</f>
        <v>0</v>
      </c>
      <c r="I189" s="103">
        <f>SUM($F$30:$F$33)+$J$51+$J$60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45" ht="12.75" hidden="1" customHeight="1" x14ac:dyDescent="0.15">
      <c r="A190" s="259">
        <v>49</v>
      </c>
      <c r="B190" s="340" t="s">
        <v>634</v>
      </c>
      <c r="C190" s="21" t="s">
        <v>613</v>
      </c>
      <c r="D190" s="104">
        <f>IF(ISERROR(HLOOKUP(J190,$Q$48:$Z$49,2)),0,HLOOKUP(J190,$Q$48:$Z$49,2))</f>
        <v>0</v>
      </c>
      <c r="E190" s="104">
        <f>IF(ISERROR(HLOOKUP(K190,$Q$48:$Z$49,2)),0,HLOOKUP(K190,$Q$48:$Z$49,2))</f>
        <v>0</v>
      </c>
      <c r="F190" s="104">
        <f>IF(ISERROR(HLOOKUP(L190,$Q$48:$Z$49,2)),0,HLOOKUP(L190,$Q$48:$Z$49,2))</f>
        <v>0</v>
      </c>
      <c r="G190" s="396">
        <f>SUM($F$30:$F$33)</f>
        <v>0</v>
      </c>
      <c r="H190" s="103">
        <f>SUM($F$30:$F$33)+$J$51</f>
        <v>0</v>
      </c>
      <c r="I190" s="103">
        <f>SUM($F$30:$F$33)+$J$51+$J$60</f>
        <v>0</v>
      </c>
      <c r="J190" s="21">
        <f t="shared" si="14"/>
        <v>0</v>
      </c>
      <c r="K190" s="21">
        <f t="shared" si="15"/>
        <v>0</v>
      </c>
      <c r="L190" s="21">
        <f t="shared" si="16"/>
        <v>0</v>
      </c>
      <c r="M190" s="78" t="s">
        <v>661</v>
      </c>
      <c r="P190" s="44"/>
      <c r="Q190" s="44"/>
    </row>
    <row r="191" spans="1:45" ht="12.75" hidden="1" customHeight="1" x14ac:dyDescent="0.15">
      <c r="A191" s="259">
        <v>50</v>
      </c>
      <c r="B191" s="340" t="s">
        <v>635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14"/>
        <v>0</v>
      </c>
      <c r="K191" s="21">
        <f t="shared" si="15"/>
        <v>0</v>
      </c>
      <c r="L191" s="21">
        <f t="shared" si="16"/>
        <v>0</v>
      </c>
      <c r="M191" s="78" t="s">
        <v>661</v>
      </c>
      <c r="P191" s="44"/>
      <c r="Q191" s="44"/>
    </row>
    <row r="192" spans="1:45" ht="12.75" hidden="1" customHeight="1" x14ac:dyDescent="0.15">
      <c r="A192" s="259">
        <v>51</v>
      </c>
      <c r="B192" s="340" t="s">
        <v>636</v>
      </c>
      <c r="C192" s="21" t="s">
        <v>613</v>
      </c>
      <c r="D192" s="104">
        <f>IF(ISERROR(HLOOKUP(J192,$Q$39:$AA$40,2)),0,HLOOKUP(J192,$Q$39:$AA$40,2))</f>
        <v>0</v>
      </c>
      <c r="E192" s="104">
        <f>IF(ISERROR(HLOOKUP(K192,$Q$39:$AA$40,2)),0,HLOOKUP(K192,$Q$39:$AA$40,2))</f>
        <v>0</v>
      </c>
      <c r="F192" s="104">
        <f>IF(ISERROR(HLOOKUP(L192,$Q$39:$AA$40,2)),0,HLOOKUP(L192,$Q$39:$AA$40,2))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14"/>
        <v>0</v>
      </c>
      <c r="K192" s="21">
        <f t="shared" si="15"/>
        <v>0</v>
      </c>
      <c r="L192" s="21">
        <f t="shared" si="16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52</v>
      </c>
      <c r="B193" s="340" t="s">
        <v>637</v>
      </c>
      <c r="C193" s="21" t="s">
        <v>613</v>
      </c>
      <c r="D193" s="104">
        <f>IF(ISERROR(HLOOKUP(J193,$Q$66:$X$67,2)),0,HLOOKUP(J193,$Q$66:$X$67,2))</f>
        <v>0</v>
      </c>
      <c r="E193" s="104">
        <f>IF(ISERROR(HLOOKUP(K193,$Q$66:$X$67,2)),0,HLOOKUP(K193,$Q$66:$X$67,2))</f>
        <v>0</v>
      </c>
      <c r="F193" s="104">
        <f>IF(ISERROR(HLOOKUP(L193,$Q$66:$X$67,2)),0,HLOOKUP(L193,$Q$66:$X$67,2))</f>
        <v>0</v>
      </c>
      <c r="G193" s="396">
        <f>SUM($F$27:$F$32)</f>
        <v>0</v>
      </c>
      <c r="H193" s="103">
        <f>SUM($F$27:$F$32)+$J$51</f>
        <v>0</v>
      </c>
      <c r="I193" s="103">
        <f>SUM($F$27:$F$32)+$J$51+$J$60</f>
        <v>0</v>
      </c>
      <c r="J193" s="21">
        <f t="shared" si="14"/>
        <v>0</v>
      </c>
      <c r="K193" s="21">
        <f t="shared" si="15"/>
        <v>0</v>
      </c>
      <c r="L193" s="21">
        <f t="shared" si="16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53</v>
      </c>
      <c r="B194" s="340" t="s">
        <v>638</v>
      </c>
      <c r="C194" s="21" t="s">
        <v>613</v>
      </c>
      <c r="D194" s="104">
        <f>IF(ISERROR(HLOOKUP(J194,$Q$48:$AA$49,2)),0,HLOOKUP(J194,$Q$48:$AA$49,2))</f>
        <v>0</v>
      </c>
      <c r="E194" s="104">
        <f>IF(ISERROR(HLOOKUP(K194,$Q$48:$AA$49,2)),0,HLOOKUP(K194,$Q$48:$AA$49,2))</f>
        <v>0</v>
      </c>
      <c r="F194" s="104">
        <f>IF(ISERROR(HLOOKUP(L194,$Q$48:$AA$49,2)),0,HLOOKUP(L194,$Q$48:$AA$49,2))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14"/>
        <v>0</v>
      </c>
      <c r="K194" s="21">
        <f t="shared" si="15"/>
        <v>0</v>
      </c>
      <c r="L194" s="21">
        <f t="shared" si="16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54</v>
      </c>
      <c r="B195" s="340" t="s">
        <v>639</v>
      </c>
      <c r="C195" s="21" t="s">
        <v>613</v>
      </c>
      <c r="D195" s="104">
        <f>IF(ISERROR(HLOOKUP(J195,$Q$39:$AA$40,2)),0,HLOOKUP(J195,$Q$39:$AA$40,2))</f>
        <v>0</v>
      </c>
      <c r="E195" s="104">
        <f>IF(ISERROR(HLOOKUP(K195,$Q$39:$AA$40,2)),0,HLOOKUP(K195,$Q$39:$AA$40,2))</f>
        <v>0</v>
      </c>
      <c r="F195" s="104">
        <f>IF(ISERROR(HLOOKUP(L195,$Q$39:$AA$40,2)),0,HLOOKUP(L195,$Q$39:$AA$40,2))</f>
        <v>0</v>
      </c>
      <c r="G195" s="396">
        <f>SUM($F$27:$F$32)</f>
        <v>0</v>
      </c>
      <c r="H195" s="103">
        <f>SUM($F$27:$F$32)+$J$51</f>
        <v>0</v>
      </c>
      <c r="I195" s="103">
        <f>SUM($F$27:$F$32)+$J$51+$J$60</f>
        <v>0</v>
      </c>
      <c r="J195" s="21">
        <f t="shared" ref="J195:J226" si="22">ROUNDDOWN(G195/365,0)</f>
        <v>0</v>
      </c>
      <c r="K195" s="21">
        <f t="shared" ref="K195:K226" si="23">ROUNDDOWN(H195/365,0)</f>
        <v>0</v>
      </c>
      <c r="L195" s="21">
        <f t="shared" ref="L195:L226" si="24">ROUNDDOWN(I195/365,0)</f>
        <v>0</v>
      </c>
      <c r="M195" s="78" t="s">
        <v>661</v>
      </c>
      <c r="P195" s="44"/>
      <c r="Q195" s="44"/>
    </row>
    <row r="196" spans="1:33" ht="12.75" hidden="1" customHeight="1" x14ac:dyDescent="0.15">
      <c r="A196" s="259">
        <v>55</v>
      </c>
      <c r="B196" s="340" t="s">
        <v>640</v>
      </c>
      <c r="C196" s="21" t="s">
        <v>613</v>
      </c>
      <c r="D196" s="104">
        <f>IF(ISERROR(HLOOKUP(J196,$Q$60:$AA$61,2)),0,HLOOKUP(J196,$Q$60:$AA$61,2))</f>
        <v>0</v>
      </c>
      <c r="E196" s="104">
        <f>IF(ISERROR(HLOOKUP(K196,$Q$60:$AA$61,2)),0,HLOOKUP(K196,$Q$60:$AA$61,2))</f>
        <v>0</v>
      </c>
      <c r="F196" s="104">
        <f>IF(ISERROR(HLOOKUP(L196,$Q$60:$AA$61,2)),0,HLOOKUP(L196,$Q$60:$AA$61,2))</f>
        <v>0</v>
      </c>
      <c r="G196" s="396">
        <f>SUM($F$30:$F$32)</f>
        <v>0</v>
      </c>
      <c r="H196" s="103">
        <f>SUM($F$30:$F$32)+$J$51</f>
        <v>0</v>
      </c>
      <c r="I196" s="103">
        <f>SUM($F$30:$F$32)+$J$51+$J$60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</row>
    <row r="197" spans="1:33" ht="12.75" hidden="1" customHeight="1" x14ac:dyDescent="0.15">
      <c r="A197" s="259">
        <v>56</v>
      </c>
      <c r="B197" s="340" t="s">
        <v>683</v>
      </c>
      <c r="C197" s="21" t="s">
        <v>547</v>
      </c>
      <c r="D197" s="104">
        <f>IF(ISERROR(HLOOKUP(J197,$Q$80:$W$81,2)),0,HLOOKUP(J197,$Q$80:$W$81,2))</f>
        <v>0</v>
      </c>
      <c r="E197" s="104">
        <f>IF(ISERROR(HLOOKUP(K197,$Q$80:$W$81,2)),0,HLOOKUP(K197,$Q$80:$W$81,2))</f>
        <v>0</v>
      </c>
      <c r="F197" s="104">
        <f>IF(ISERROR(HLOOKUP(L197,$Q$80:$W$81,2)),0,HLOOKUP(L197,$Q$80:$W$81,2))</f>
        <v>0</v>
      </c>
      <c r="G197" s="396">
        <f>SUM($F$30:$F$32)</f>
        <v>0</v>
      </c>
      <c r="H197" s="103">
        <f>SUM($F$30:$F$32)+$J$51</f>
        <v>0</v>
      </c>
      <c r="I197" s="103">
        <f>SUM($F$30:$F$32)+$J$51+$J$60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</row>
    <row r="198" spans="1:33" ht="12.75" hidden="1" customHeight="1" x14ac:dyDescent="0.15">
      <c r="A198" s="259">
        <v>57</v>
      </c>
      <c r="B198" s="340" t="s">
        <v>699</v>
      </c>
      <c r="C198" s="21" t="s">
        <v>613</v>
      </c>
      <c r="D198" s="104">
        <f>IF(ISERROR(HLOOKUP(J198,$Q$48:$AA$49,2)),0,HLOOKUP(J198,$Q$48:$AA$49,2))</f>
        <v>0</v>
      </c>
      <c r="E198" s="104">
        <f>IF(ISERROR(HLOOKUP(K198,$Q$48:$AA$49,2)),0,HLOOKUP(K198,$Q$48:$AA$49,2))</f>
        <v>0</v>
      </c>
      <c r="F198" s="104">
        <f>IF(ISERROR(HLOOKUP(L198,$Q$48:$AA$49,2)),0,HLOOKUP(L198,$Q$48:$AA$49,2))</f>
        <v>0</v>
      </c>
      <c r="G198" s="396">
        <f>SUM($F$30:$F$32)</f>
        <v>0</v>
      </c>
      <c r="H198" s="103">
        <f>SUM($F$30:$F$32)+$J$51</f>
        <v>0</v>
      </c>
      <c r="I198" s="103">
        <f>SUM($F$30:$F$32)+$J$51+$J$60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78" t="s">
        <v>661</v>
      </c>
      <c r="P198" s="44"/>
      <c r="Q198" s="44"/>
    </row>
    <row r="199" spans="1:33" ht="12.75" hidden="1" customHeight="1" x14ac:dyDescent="0.15">
      <c r="A199" s="259">
        <v>58</v>
      </c>
      <c r="B199" s="340" t="s">
        <v>641</v>
      </c>
      <c r="C199" s="21" t="s">
        <v>613</v>
      </c>
      <c r="D199" s="104">
        <f>IF(ISERROR(HLOOKUP(J199,$Q$69:$AC$70,2)),0,HLOOKUP(J199,$Q$69:$AC$70,2))</f>
        <v>0</v>
      </c>
      <c r="E199" s="104">
        <f>IF(ISERROR(HLOOKUP(K199,$Q$69:$AC$70,2)),0,HLOOKUP(K199,$Q$69:$AC$70,2))</f>
        <v>0</v>
      </c>
      <c r="F199" s="104">
        <f>IF(ISERROR(HLOOKUP(L199,$Q$69:$AC$70,2)),0,HLOOKUP(L199,$Q$69:$AC$70,2))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78" t="s">
        <v>661</v>
      </c>
      <c r="P199" s="44"/>
      <c r="Q199" s="44"/>
    </row>
    <row r="200" spans="1:33" ht="12.75" hidden="1" customHeight="1" x14ac:dyDescent="0.15">
      <c r="A200" s="259">
        <v>59</v>
      </c>
      <c r="B200" s="340" t="s">
        <v>642</v>
      </c>
      <c r="C200" s="21" t="s">
        <v>613</v>
      </c>
      <c r="D200" s="104">
        <f>IF(ISERROR(HLOOKUP(J200,$Q$39:$AB$40,2)),0,HLOOKUP(J200,$Q$39:$AB$40,2))</f>
        <v>0</v>
      </c>
      <c r="E200" s="104">
        <f>IF(ISERROR(HLOOKUP(K200,$Q$39:$AB$40,2)),0,HLOOKUP(K200,$Q$39:$AB$40,2))</f>
        <v>0</v>
      </c>
      <c r="F200" s="104">
        <f>IF(ISERROR(HLOOKUP(L200,$Q$39:$AB$40,2)),0,HLOOKUP(L200,$Q$39:$AB$40,2))</f>
        <v>0</v>
      </c>
      <c r="G200" s="396">
        <f>SUM($F$27:$F$33)</f>
        <v>0</v>
      </c>
      <c r="H200" s="103">
        <f>SUM($F$27:$F$33)+$J$51</f>
        <v>0</v>
      </c>
      <c r="I200" s="103">
        <f>SUM($F$27:$F$33)+$J$51+$J$60</f>
        <v>0</v>
      </c>
      <c r="J200" s="21">
        <f t="shared" si="22"/>
        <v>0</v>
      </c>
      <c r="K200" s="21">
        <f t="shared" si="23"/>
        <v>0</v>
      </c>
      <c r="L200" s="21">
        <f t="shared" si="24"/>
        <v>0</v>
      </c>
      <c r="M200" s="78" t="s">
        <v>661</v>
      </c>
      <c r="P200" s="44"/>
      <c r="Q200" s="44"/>
      <c r="AC200" s="69"/>
      <c r="AD200" s="69"/>
      <c r="AE200" s="69"/>
      <c r="AF200" s="69"/>
      <c r="AG200" s="69"/>
    </row>
    <row r="201" spans="1:33" ht="12.75" hidden="1" customHeight="1" x14ac:dyDescent="0.15">
      <c r="A201" s="259">
        <v>60</v>
      </c>
      <c r="B201" s="340" t="s">
        <v>643</v>
      </c>
      <c r="C201" s="21" t="s">
        <v>547</v>
      </c>
      <c r="D201" s="104">
        <f>IF(ISERROR(HLOOKUP(J201,$Q$80:$W$81,2)),0,HLOOKUP(J201,$Q$80:$W$81,2))</f>
        <v>0</v>
      </c>
      <c r="E201" s="104">
        <f>IF(ISERROR(HLOOKUP(K201,$Q$80:$W$81,2)),0,HLOOKUP(K201,$Q$80:$W$81,2))</f>
        <v>0</v>
      </c>
      <c r="F201" s="104">
        <f>IF(ISERROR(HLOOKUP(L201,$Q$80:$W$81,2)),0,HLOOKUP(L201,$Q$80:$W$81,2))</f>
        <v>0</v>
      </c>
      <c r="G201" s="396">
        <f>SUM($F$30:$F$33)</f>
        <v>0</v>
      </c>
      <c r="H201" s="103">
        <f>SUM($F$30:$F$33)+$J$51</f>
        <v>0</v>
      </c>
      <c r="I201" s="103">
        <f>SUM($F$30:$F$33)+$J$51+$J$60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78" t="s">
        <v>661</v>
      </c>
      <c r="P201" s="44"/>
      <c r="Q201" s="44"/>
      <c r="AC201" s="69"/>
      <c r="AD201" s="69"/>
      <c r="AE201" s="69"/>
      <c r="AF201" s="69"/>
      <c r="AG201" s="69"/>
    </row>
    <row r="202" spans="1:33" ht="12.75" hidden="1" customHeight="1" x14ac:dyDescent="0.15">
      <c r="A202" s="259">
        <v>61</v>
      </c>
      <c r="B202" s="340" t="s">
        <v>644</v>
      </c>
      <c r="C202" s="21" t="s">
        <v>613</v>
      </c>
      <c r="D202" s="104">
        <f>IF(ISERROR(HLOOKUP(J202,$Q$39:$AA$40,2)),0,HLOOKUP(J202,$Q$39:$AA$40,2))</f>
        <v>0</v>
      </c>
      <c r="E202" s="104">
        <f>IF(ISERROR(HLOOKUP(K202,$Q$39:$AA$40,2)),0,HLOOKUP(K202,$Q$39:$AA$40,2))</f>
        <v>0</v>
      </c>
      <c r="F202" s="104">
        <f>IF(ISERROR(HLOOKUP(L202,$Q$39:$AA$40,2)),0,HLOOKUP(L202,$Q$39:$AA$40,2))</f>
        <v>0</v>
      </c>
      <c r="G202" s="396">
        <f>SUM($F$27:$F$33)</f>
        <v>0</v>
      </c>
      <c r="H202" s="103">
        <f>SUM($F$27:$F$33)+$J$51</f>
        <v>0</v>
      </c>
      <c r="I202" s="103">
        <f>SUM($F$27:$F$33)+$J$51+$J$60</f>
        <v>0</v>
      </c>
      <c r="J202" s="21">
        <f t="shared" si="22"/>
        <v>0</v>
      </c>
      <c r="K202" s="21">
        <f t="shared" si="23"/>
        <v>0</v>
      </c>
      <c r="L202" s="21">
        <f t="shared" si="24"/>
        <v>0</v>
      </c>
      <c r="M202" s="78" t="s">
        <v>661</v>
      </c>
      <c r="P202" s="44"/>
      <c r="Q202" s="44"/>
      <c r="AC202" s="69"/>
      <c r="AD202" s="69"/>
      <c r="AE202" s="69"/>
      <c r="AF202" s="69"/>
      <c r="AG202" s="69"/>
    </row>
    <row r="203" spans="1:33" ht="12.75" hidden="1" customHeight="1" x14ac:dyDescent="0.15">
      <c r="A203" s="259">
        <v>62</v>
      </c>
      <c r="B203" s="345" t="s">
        <v>645</v>
      </c>
      <c r="C203" s="21" t="s">
        <v>527</v>
      </c>
      <c r="D203" s="104">
        <f>IF(ISERROR(HLOOKUP(J203,$Q$26:$AY$27,2)),0,HLOOKUP(J203,$Q$26:$AY$27,2))</f>
        <v>0</v>
      </c>
      <c r="E203" s="104">
        <f>IF(ISERROR(HLOOKUP(K203,$Q$26:$AY$27,2)),0,HLOOKUP(K203,$Q$26:$AY$27,2))</f>
        <v>0</v>
      </c>
      <c r="F203" s="104">
        <f>IF(ISERROR(HLOOKUP(L203,$Q$26:$AY$27,2)),0,HLOOKUP(L203,$Q$26:$AY$27,2))</f>
        <v>0</v>
      </c>
      <c r="G203" s="396">
        <f>SUM($F$30:$F$32)</f>
        <v>0</v>
      </c>
      <c r="H203" s="103">
        <f>SUM($F$27:$F$32)+$J$51</f>
        <v>0</v>
      </c>
      <c r="I203" s="103">
        <f>SUM($F$27:$F$32)+$J$51+$J$60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69"/>
    </row>
    <row r="204" spans="1:33" ht="12.75" hidden="1" customHeight="1" x14ac:dyDescent="0.15">
      <c r="A204" s="259">
        <v>63</v>
      </c>
      <c r="B204" s="345" t="s">
        <v>646</v>
      </c>
      <c r="C204" s="21"/>
      <c r="D204" s="54"/>
      <c r="E204" s="54"/>
      <c r="F204" s="54"/>
      <c r="G204" s="54"/>
      <c r="H204" s="54"/>
      <c r="I204" s="347"/>
      <c r="J204" s="21">
        <f t="shared" si="22"/>
        <v>0</v>
      </c>
      <c r="K204" s="21">
        <f t="shared" si="23"/>
        <v>0</v>
      </c>
      <c r="L204" s="21">
        <f t="shared" si="24"/>
        <v>0</v>
      </c>
      <c r="M204" s="346" t="s">
        <v>662</v>
      </c>
      <c r="P204" s="44"/>
      <c r="Q204" s="44"/>
      <c r="AC204" s="69"/>
      <c r="AD204" s="69"/>
      <c r="AE204" s="69"/>
      <c r="AF204" s="69"/>
      <c r="AG204" s="348"/>
    </row>
    <row r="205" spans="1:33" s="308" customFormat="1" ht="12.75" hidden="1" customHeight="1" x14ac:dyDescent="0.15">
      <c r="A205" s="304">
        <v>64</v>
      </c>
      <c r="B205" s="349" t="s">
        <v>647</v>
      </c>
      <c r="C205" s="308" t="s">
        <v>613</v>
      </c>
      <c r="D205" s="305">
        <f>IF(ISERROR(HLOOKUP(J205,$Q$48:$AB$49,2)),0,HLOOKUP(J205,$Q$48:$AB$49,2))</f>
        <v>0</v>
      </c>
      <c r="E205" s="305">
        <f>IF(ISERROR(HLOOKUP(K205,$Q$48:$AB$49,2)),0,HLOOKUP(K205,$Q$48:$AB$49,2))</f>
        <v>0</v>
      </c>
      <c r="F205" s="305">
        <f>IF(ISERROR(HLOOKUP(L205,$Q$48:$AB$49,2)),0,HLOOKUP(L205,$Q$48:$AB$49,2))</f>
        <v>0</v>
      </c>
      <c r="G205" s="350">
        <f>SUM($F$30:$F$33)+$O$205</f>
        <v>0</v>
      </c>
      <c r="H205" s="350">
        <f>$G$205+$J$51</f>
        <v>0</v>
      </c>
      <c r="I205" s="350">
        <f>$G$205+$J$51+$J$60</f>
        <v>0</v>
      </c>
      <c r="J205" s="351">
        <f t="shared" si="22"/>
        <v>0</v>
      </c>
      <c r="K205" s="351">
        <f t="shared" si="23"/>
        <v>0</v>
      </c>
      <c r="L205" s="351">
        <f t="shared" si="24"/>
        <v>0</v>
      </c>
      <c r="M205" s="352" t="s">
        <v>662</v>
      </c>
      <c r="N205" s="310">
        <f>SUM($F$27:$F$29)</f>
        <v>0</v>
      </c>
      <c r="O205" s="309">
        <f>IF($N$205&gt;365,365,$N$205)</f>
        <v>0</v>
      </c>
      <c r="P205" s="353"/>
      <c r="Q205" s="353"/>
      <c r="AC205" s="354"/>
      <c r="AD205" s="354"/>
      <c r="AE205" s="354"/>
      <c r="AF205" s="354"/>
      <c r="AG205" s="354"/>
    </row>
    <row r="206" spans="1:33" ht="12.75" hidden="1" customHeight="1" x14ac:dyDescent="0.15">
      <c r="A206" s="259">
        <v>65</v>
      </c>
      <c r="B206" s="345" t="s">
        <v>648</v>
      </c>
      <c r="C206" s="21" t="s">
        <v>547</v>
      </c>
      <c r="D206" s="104">
        <f>IF(ISERROR(HLOOKUP(J206,$Q$73:$AB$74,2)),0,HLOOKUP(J206,$Q$73:$AB$74,2))</f>
        <v>0</v>
      </c>
      <c r="E206" s="105">
        <f>IF(ISERROR(HLOOKUP(K206,$Q$73:$AB$74,2)),0,HLOOKUP(K206,$Q$73:$AB$74,2))</f>
        <v>0</v>
      </c>
      <c r="F206" s="106">
        <f>IF(ISERROR(HLOOKUP(L206,$Q$73:$AB$74,2)),0,HLOOKUP(L206,$Q$73:$AB$74,2))</f>
        <v>0</v>
      </c>
      <c r="G206" s="355">
        <f>SUM($F$27:$F$32)</f>
        <v>0</v>
      </c>
      <c r="H206" s="355">
        <f>SUM($F$27:$F$32)+$J$51</f>
        <v>0</v>
      </c>
      <c r="I206" s="355">
        <f>SUM($F$27:$F$32)+$J$51+$J$60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  <c r="AC206" s="69"/>
      <c r="AD206" s="69"/>
      <c r="AE206" s="69"/>
      <c r="AF206" s="69"/>
      <c r="AG206" s="348"/>
    </row>
    <row r="207" spans="1:33" ht="12.75" hidden="1" customHeight="1" x14ac:dyDescent="0.15">
      <c r="A207" s="259">
        <v>66</v>
      </c>
      <c r="B207" s="345" t="s">
        <v>649</v>
      </c>
      <c r="C207" s="21" t="s">
        <v>613</v>
      </c>
      <c r="D207" s="104">
        <f>IF(ISERROR(HLOOKUP(J207,$Q$39:$Z$40,2)),0,HLOOKUP(J207,$Q$39:$Z$40,2))</f>
        <v>0</v>
      </c>
      <c r="E207" s="104">
        <f>IF(ISERROR(HLOOKUP(K207,$Q$39:$Z$40,2)),0,HLOOKUP(K207,$Q$39:$Z$40,2))</f>
        <v>0</v>
      </c>
      <c r="F207" s="104">
        <f>IF(ISERROR(HLOOKUP(L207,$Q$39:$Z$40,2)),0,HLOOKUP(L207,$Q$39:$Z$40,2))</f>
        <v>0</v>
      </c>
      <c r="G207" s="355">
        <f>SUM($F$30:$F$32)</f>
        <v>0</v>
      </c>
      <c r="H207" s="355">
        <f>SUM($F$30:$F$32)+$J$51</f>
        <v>0</v>
      </c>
      <c r="I207" s="355">
        <f>SUM($F$30:$F$32)+$J$51+$J$60</f>
        <v>0</v>
      </c>
      <c r="J207" s="356">
        <f t="shared" si="22"/>
        <v>0</v>
      </c>
      <c r="K207" s="356">
        <f t="shared" si="23"/>
        <v>0</v>
      </c>
      <c r="L207" s="356">
        <f t="shared" si="24"/>
        <v>0</v>
      </c>
      <c r="M207" s="346" t="s">
        <v>662</v>
      </c>
      <c r="P207" s="44"/>
      <c r="Q207" s="44"/>
      <c r="AC207" s="69"/>
      <c r="AD207" s="69"/>
      <c r="AE207" s="69"/>
      <c r="AF207" s="69"/>
      <c r="AG207" s="348"/>
    </row>
    <row r="208" spans="1:33" ht="12.75" hidden="1" customHeight="1" x14ac:dyDescent="0.15">
      <c r="A208" s="259">
        <v>67</v>
      </c>
      <c r="B208" s="345" t="s">
        <v>650</v>
      </c>
      <c r="C208" s="21" t="s">
        <v>613</v>
      </c>
      <c r="D208" s="104">
        <f>IF(ISERROR(HLOOKUP(J208,$Q$51:$Y$52,2)),0,HLOOKUP(J208,$Q$51:$Y$52,2))</f>
        <v>0</v>
      </c>
      <c r="E208" s="104">
        <f>IF(ISERROR(HLOOKUP(K208,$Q$51:$Y$52,2)),0,HLOOKUP(K208,$Q$51:$Y$52,2))</f>
        <v>0</v>
      </c>
      <c r="F208" s="104">
        <f>IF(ISERROR(HLOOKUP(L208,$Q$51:$Y$52,2)),0,HLOOKUP(L208,$Q$51:$Y$52,2))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  <c r="AC208" s="69"/>
      <c r="AD208" s="69"/>
      <c r="AE208" s="69"/>
      <c r="AF208" s="69"/>
      <c r="AG208" s="348"/>
    </row>
    <row r="209" spans="1:33" s="308" customFormat="1" ht="12.75" hidden="1" customHeight="1" x14ac:dyDescent="0.15">
      <c r="A209" s="304">
        <v>68</v>
      </c>
      <c r="B209" s="349" t="s">
        <v>651</v>
      </c>
      <c r="C209" s="308" t="s">
        <v>547</v>
      </c>
      <c r="D209" s="305">
        <f>IF(ISERROR(HLOOKUP(J209,$Q$73:$W$74,2)),0,HLOOKUP(J209,$Q$73:$W$74,2))</f>
        <v>0</v>
      </c>
      <c r="E209" s="305">
        <f>IF(ISERROR(HLOOKUP(K209,$Q$73:$W$74,2)),0,HLOOKUP(K209,$Q$73:$W$74,2))</f>
        <v>0</v>
      </c>
      <c r="F209" s="305">
        <f>IF(ISERROR(HLOOKUP(L209,$Q$73:$W$74,2)),0,HLOOKUP(L209,$Q$73:$W$74,2))</f>
        <v>0</v>
      </c>
      <c r="G209" s="350">
        <f>$N$209</f>
        <v>0</v>
      </c>
      <c r="H209" s="350">
        <f>$G$209+$J$51</f>
        <v>0</v>
      </c>
      <c r="I209" s="350">
        <f>$G$209+$J$51+$J$60</f>
        <v>0</v>
      </c>
      <c r="J209" s="308">
        <f t="shared" si="22"/>
        <v>0</v>
      </c>
      <c r="K209" s="308">
        <f t="shared" si="23"/>
        <v>0</v>
      </c>
      <c r="L209" s="308">
        <f t="shared" si="24"/>
        <v>0</v>
      </c>
      <c r="M209" s="352" t="s">
        <v>662</v>
      </c>
      <c r="N209" s="310">
        <f>SUM(F30:F32)</f>
        <v>0</v>
      </c>
      <c r="O209" s="309"/>
      <c r="P209" s="353"/>
      <c r="Q209" s="353"/>
      <c r="AC209" s="354"/>
      <c r="AD209" s="354"/>
      <c r="AE209" s="354"/>
      <c r="AF209" s="354"/>
      <c r="AG209" s="354"/>
    </row>
    <row r="210" spans="1:33" ht="12.75" hidden="1" customHeight="1" x14ac:dyDescent="0.15">
      <c r="A210" s="259">
        <v>69</v>
      </c>
      <c r="B210" s="345" t="s">
        <v>652</v>
      </c>
      <c r="C210" s="21" t="s">
        <v>613</v>
      </c>
      <c r="D210" s="104">
        <f>IF(ISERROR(HLOOKUP(J210,$Q$39:$Z$40,2)),0,HLOOKUP(J210,$Q$39:$Z$40,2))</f>
        <v>0</v>
      </c>
      <c r="E210" s="104">
        <f>IF(ISERROR(HLOOKUP(K210,$Q$39:$Z$40,2)),0,HLOOKUP(K210,$Q$39:$Z$40,2))</f>
        <v>0</v>
      </c>
      <c r="F210" s="104">
        <f>IF(ISERROR(HLOOKUP(L210,$Q$39:$Z$40,2)),0,HLOOKUP(L210,$Q$39:$Z$40,2))</f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  <c r="AC210" s="69"/>
      <c r="AD210" s="69"/>
      <c r="AE210" s="69"/>
      <c r="AF210" s="69"/>
      <c r="AG210" s="69"/>
    </row>
    <row r="211" spans="1:33" ht="13.5" hidden="1" x14ac:dyDescent="0.15">
      <c r="A211" s="259">
        <v>70</v>
      </c>
      <c r="B211" s="345" t="s">
        <v>653</v>
      </c>
      <c r="C211" s="21" t="s">
        <v>613</v>
      </c>
      <c r="D211" s="104">
        <f>IF(ISERROR(HLOOKUP(J211,$Q$48:$AB$49,2)),0,HLOOKUP(J211,$Q$48:$AB$49,2))</f>
        <v>0</v>
      </c>
      <c r="E211" s="104">
        <f>IF(ISERROR(HLOOKUP(K211,$Q$48:$AB$49,2)),0,HLOOKUP(K211,$Q$48:$AB$49,2))</f>
        <v>0</v>
      </c>
      <c r="F211" s="104">
        <f>IF(ISERROR(HLOOKUP(L211,$Q$48:$AB$49,2)),0,HLOOKUP(L211,$Q$48:$AB$49,2))</f>
        <v>0</v>
      </c>
      <c r="G211" s="396">
        <f>SUM($F$30:$F$32)</f>
        <v>0</v>
      </c>
      <c r="H211" s="103">
        <f>SUM($F$30:$F$32)+$J$51</f>
        <v>0</v>
      </c>
      <c r="I211" s="103">
        <f>SUM($F$30:$F$32)+$J$51+$J$60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3" ht="13.5" hidden="1" x14ac:dyDescent="0.15">
      <c r="A212" s="259">
        <v>71</v>
      </c>
      <c r="B212" s="345" t="s">
        <v>654</v>
      </c>
      <c r="C212" s="21" t="s">
        <v>613</v>
      </c>
      <c r="D212" s="104">
        <f>IF(ISERROR(HLOOKUP(J212,$Q$48:$AA$49,2)),0,HLOOKUP(J212,$Q$48:$AA$49,2))</f>
        <v>0</v>
      </c>
      <c r="E212" s="104">
        <f>IF(ISERROR(HLOOKUP(K212,$Q$48:$AA$49,2)),0,HLOOKUP(K212,$Q$48:$AA$49,2))</f>
        <v>0</v>
      </c>
      <c r="F212" s="104">
        <f>IF(ISERROR(HLOOKUP(L212,$Q$48:$AA$49,2)),0,HLOOKUP(L212,$Q$48:$AA$49,2))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3" ht="13.5" hidden="1" x14ac:dyDescent="0.15">
      <c r="A213" s="259">
        <v>72</v>
      </c>
      <c r="B213" s="345" t="s">
        <v>655</v>
      </c>
      <c r="C213" s="21" t="s">
        <v>527</v>
      </c>
      <c r="D213" s="104">
        <f>IF(ISERROR(HLOOKUP(J213,$Q$54:$AR$55,2)),0,HLOOKUP(J213,$Q$54:$AR$55,2))</f>
        <v>0</v>
      </c>
      <c r="E213" s="104">
        <f>IF(ISERROR(HLOOKUP(K213,$Q$54:$AR$55,2)),0,HLOOKUP(K213,$Q$54:$AR$55,2))</f>
        <v>0</v>
      </c>
      <c r="F213" s="104">
        <f>IF(ISERROR(HLOOKUP(L213,$Q$54:$AR$55,2)),0,HLOOKUP(L213,$Q$54:$AR$55,2))</f>
        <v>0</v>
      </c>
      <c r="G213" s="396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3" ht="13.5" hidden="1" x14ac:dyDescent="0.15">
      <c r="A214" s="259">
        <v>73</v>
      </c>
      <c r="B214" s="345" t="s">
        <v>663</v>
      </c>
      <c r="C214" s="21" t="s">
        <v>527</v>
      </c>
      <c r="D214" s="104">
        <f t="shared" ref="D214:F215" si="25">IF(ISERROR(HLOOKUP(J214,$Q$26:$AY$27,2)),0,HLOOKUP(J214,$Q$26:$AY$27,2))</f>
        <v>0</v>
      </c>
      <c r="E214" s="104">
        <f t="shared" si="25"/>
        <v>0</v>
      </c>
      <c r="F214" s="104">
        <f t="shared" si="25"/>
        <v>0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3" ht="13.5" hidden="1" x14ac:dyDescent="0.15">
      <c r="A215" s="259">
        <v>74</v>
      </c>
      <c r="B215" s="345" t="s">
        <v>664</v>
      </c>
      <c r="C215" s="21" t="s">
        <v>527</v>
      </c>
      <c r="D215" s="104">
        <f t="shared" si="25"/>
        <v>0</v>
      </c>
      <c r="E215" s="104">
        <f t="shared" si="25"/>
        <v>0</v>
      </c>
      <c r="F215" s="104">
        <f t="shared" si="25"/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22"/>
        <v>0</v>
      </c>
      <c r="K215" s="21">
        <f t="shared" si="23"/>
        <v>0</v>
      </c>
      <c r="L215" s="21">
        <f t="shared" si="24"/>
        <v>0</v>
      </c>
      <c r="M215" s="346" t="s">
        <v>662</v>
      </c>
      <c r="P215" s="44"/>
      <c r="Q215" s="44"/>
    </row>
    <row r="216" spans="1:33" ht="13.5" hidden="1" x14ac:dyDescent="0.15">
      <c r="A216" s="259">
        <v>75</v>
      </c>
      <c r="B216" s="345" t="s">
        <v>665</v>
      </c>
      <c r="C216" s="21" t="s">
        <v>547</v>
      </c>
      <c r="D216" s="104">
        <f>IF(ISERROR(HLOOKUP(J216,$Q$73:$W$74,2)),0,HLOOKUP(J216,$Q$73:$W$74,2))</f>
        <v>0</v>
      </c>
      <c r="E216" s="104">
        <f>IF(ISERROR(HLOOKUP(K216,$Q$73:$W$74,2)),0,HLOOKUP(K216,$Q$73:$W$74,2))</f>
        <v>0</v>
      </c>
      <c r="F216" s="104">
        <f>IF(ISERROR(HLOOKUP(L216,$Q$73:$W$74,2)),0,HLOOKUP(L216,$Q$73:$W$74,2))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3" ht="13.5" hidden="1" x14ac:dyDescent="0.15">
      <c r="A217" s="259">
        <v>76</v>
      </c>
      <c r="B217" s="345" t="s">
        <v>689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3" ht="13.5" hidden="1" x14ac:dyDescent="0.15">
      <c r="A218" s="259">
        <v>77</v>
      </c>
      <c r="B218" s="345" t="s">
        <v>666</v>
      </c>
      <c r="C218" s="21" t="s">
        <v>613</v>
      </c>
      <c r="D218" s="104">
        <f>IF(ISERROR(HLOOKUP(J218,$Q$48:$AA$49,2)),0,HLOOKUP(J218,$Q$48:$AA$49,2))</f>
        <v>0</v>
      </c>
      <c r="E218" s="104">
        <f>IF(ISERROR(HLOOKUP(K218,$Q$48:$AA$49,2)),0,HLOOKUP(K218,$Q$48:$AA$49,2))</f>
        <v>0</v>
      </c>
      <c r="F218" s="104">
        <f>IF(ISERROR(HLOOKUP(L218,$Q$48:$AA$49,2)),0,HLOOKUP(L218,$Q$48:$AA$49,2))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3" ht="13.5" hidden="1" x14ac:dyDescent="0.15">
      <c r="A219" s="259">
        <v>78</v>
      </c>
      <c r="B219" s="345" t="s">
        <v>667</v>
      </c>
      <c r="C219" s="21" t="s">
        <v>613</v>
      </c>
      <c r="D219" s="104">
        <f>IF(ISERROR(HLOOKUP(J219,$Q$57:$AA$58,2)),0,HLOOKUP(J219,$Q$57:$AA$58,2))</f>
        <v>0</v>
      </c>
      <c r="E219" s="104">
        <f>IF(ISERROR(HLOOKUP(K219,$Q$57:$AA$58,2)),0,HLOOKUP(K219,$Q$57:$AA$58,2))</f>
        <v>0</v>
      </c>
      <c r="F219" s="104">
        <f>IF(ISERROR(HLOOKUP(L219,$Q$57:$AA$58,2)),0,HLOOKUP(L219,$Q$57:$AA$58,2))</f>
        <v>0</v>
      </c>
      <c r="G219" s="396">
        <f>SUM($F$29:$F$32)</f>
        <v>0</v>
      </c>
      <c r="H219" s="103">
        <f>SUM($F$29:$F$32)+$J$51</f>
        <v>0</v>
      </c>
      <c r="I219" s="103">
        <f>SUM($F$29:$F$32)+$J$51+$J$60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3" s="308" customFormat="1" ht="13.5" hidden="1" x14ac:dyDescent="0.15">
      <c r="A220" s="304">
        <v>79</v>
      </c>
      <c r="B220" s="349" t="s">
        <v>668</v>
      </c>
      <c r="C220" s="308" t="s">
        <v>613</v>
      </c>
      <c r="D220" s="305">
        <f>IF(ISERROR(HLOOKUP(J220,$Q$39:$AA$40,2)),0,HLOOKUP(J220,$Q$39:$AA$40,2))</f>
        <v>0</v>
      </c>
      <c r="E220" s="305">
        <f>IF(ISERROR(HLOOKUP(K220,$Q$39:$AA$40,2)),0,HLOOKUP(K220,$Q$39:$AA$40,2))</f>
        <v>0</v>
      </c>
      <c r="F220" s="305">
        <f>IF(ISERROR(HLOOKUP(L220,$Q$39:$AA$40,2)),0,HLOOKUP(L220,$Q$39:$AA$40,2))</f>
        <v>0</v>
      </c>
      <c r="G220" s="399">
        <f>$N$220+$F$33</f>
        <v>0</v>
      </c>
      <c r="H220" s="307">
        <f>$G$220+$J$51</f>
        <v>0</v>
      </c>
      <c r="I220" s="307">
        <f>$N$220+$J$51+$J$60</f>
        <v>0</v>
      </c>
      <c r="J220" s="308">
        <f t="shared" si="22"/>
        <v>0</v>
      </c>
      <c r="K220" s="308">
        <f t="shared" si="23"/>
        <v>0</v>
      </c>
      <c r="L220" s="308">
        <f t="shared" si="24"/>
        <v>0</v>
      </c>
      <c r="M220" s="352" t="s">
        <v>662</v>
      </c>
      <c r="N220" s="308">
        <f>IF($C$30&gt;=$A$36,$E$30-$C$30+1,IF($C$31&gt;=$A$36,$E$31-$C$31+1,IF($C$32&gt;=$A$36,$E$32-$C$32+1,IF($E$30&lt;&gt;0,$E$30-$A$36+1,IF($E$31&lt;&gt;0,$E$31-$A$36+1,IF($E$32&lt;&gt;0,$E$32-$A$36+1,0))))))</f>
        <v>0</v>
      </c>
      <c r="O220" s="309"/>
      <c r="P220" s="353"/>
      <c r="Q220" s="353"/>
      <c r="AD220" s="310"/>
      <c r="AE220" s="310"/>
      <c r="AF220" s="310"/>
    </row>
    <row r="221" spans="1:33" ht="13.5" hidden="1" x14ac:dyDescent="0.15">
      <c r="A221" s="259">
        <v>80</v>
      </c>
      <c r="B221" s="345" t="s">
        <v>669</v>
      </c>
      <c r="C221" s="21" t="s">
        <v>547</v>
      </c>
      <c r="D221" s="104">
        <f>IF(ISERROR(HLOOKUP(J221,$Q$73:$V$74,2)),0,HLOOKUP(J221,$Q$73:$V$74,2))</f>
        <v>0</v>
      </c>
      <c r="E221" s="104">
        <f>IF(ISERROR(HLOOKUP(K221,$Q$73:$V$74,2)),0,HLOOKUP(K221,$Q$73:$V$74,2))</f>
        <v>0</v>
      </c>
      <c r="F221" s="104">
        <f>IF(ISERROR(HLOOKUP(L221,$Q$73:$V$74,2)),0,HLOOKUP(L221,$Q$73:$V$74,2))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P221" s="44"/>
      <c r="Q221" s="44"/>
    </row>
    <row r="222" spans="1:33" ht="13.5" hidden="1" x14ac:dyDescent="0.15">
      <c r="A222" s="259" t="s">
        <v>703</v>
      </c>
      <c r="B222" s="345" t="s">
        <v>701</v>
      </c>
      <c r="C222" s="21" t="s">
        <v>702</v>
      </c>
      <c r="D222" s="148">
        <f>IF(J222&lt;=10,0.1,IF(J222&lt;=20,0.2,0.3))</f>
        <v>0.1</v>
      </c>
      <c r="E222" s="148">
        <f>IF(K222&lt;=10,0.1,IF(K222&lt;=20,0.2,0.3))</f>
        <v>0.1</v>
      </c>
      <c r="F222" s="148">
        <f>IF(L222&lt;=10,0.1,IF(L222&lt;=20,0.2,0.3))</f>
        <v>0.1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22"/>
        <v>0</v>
      </c>
      <c r="K222" s="21">
        <f t="shared" si="23"/>
        <v>0</v>
      </c>
      <c r="L222" s="21">
        <f t="shared" si="24"/>
        <v>0</v>
      </c>
      <c r="M222" s="346" t="s">
        <v>662</v>
      </c>
      <c r="P222" s="44"/>
      <c r="Q222" s="44"/>
    </row>
    <row r="223" spans="1:33" ht="13.5" hidden="1" x14ac:dyDescent="0.15">
      <c r="A223" s="259">
        <v>81</v>
      </c>
      <c r="B223" s="345" t="s">
        <v>670</v>
      </c>
      <c r="C223" s="21" t="s">
        <v>547</v>
      </c>
      <c r="D223" s="104">
        <f>IF(ISERROR(HLOOKUP(J223,$Q$73:$W$74,2)),0,HLOOKUP(J223,$Q$73:$W$74,2))</f>
        <v>0</v>
      </c>
      <c r="E223" s="104">
        <f>IF(ISERROR(HLOOKUP(K223,$Q$73:$W$74,2)),0,HLOOKUP(K223,$Q$73:$W$74,2))</f>
        <v>0</v>
      </c>
      <c r="F223" s="104">
        <f>IF(ISERROR(HLOOKUP(L223,$Q$73:$W$74,2)),0,HLOOKUP(L223,$Q$73:$W$74,2))</f>
        <v>0</v>
      </c>
      <c r="G223" s="396">
        <f>SUM($F$27:$F$33)</f>
        <v>0</v>
      </c>
      <c r="H223" s="103">
        <f>SUM($F$27:$F$33)+$J$51</f>
        <v>0</v>
      </c>
      <c r="I223" s="103">
        <f>SUM($F$27:$F$33)+$J$51+$J$60</f>
        <v>0</v>
      </c>
      <c r="J223" s="21">
        <f t="shared" si="22"/>
        <v>0</v>
      </c>
      <c r="K223" s="21">
        <f t="shared" si="23"/>
        <v>0</v>
      </c>
      <c r="L223" s="21">
        <f t="shared" si="24"/>
        <v>0</v>
      </c>
      <c r="M223" s="346" t="s">
        <v>662</v>
      </c>
      <c r="P223" s="44"/>
      <c r="Q223" s="44"/>
    </row>
    <row r="224" spans="1:33" ht="13.5" hidden="1" x14ac:dyDescent="0.15">
      <c r="A224" s="259">
        <v>82</v>
      </c>
      <c r="B224" s="345" t="s">
        <v>671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22"/>
        <v>0</v>
      </c>
      <c r="K224" s="21">
        <f t="shared" si="23"/>
        <v>0</v>
      </c>
      <c r="L224" s="21">
        <f t="shared" si="24"/>
        <v>0</v>
      </c>
      <c r="M224" s="346" t="s">
        <v>662</v>
      </c>
      <c r="P224" s="44"/>
      <c r="Q224" s="44"/>
    </row>
    <row r="225" spans="1:17" ht="13.5" hidden="1" x14ac:dyDescent="0.15">
      <c r="A225" s="259">
        <v>83</v>
      </c>
      <c r="B225" s="345" t="s">
        <v>672</v>
      </c>
      <c r="C225" s="21"/>
      <c r="E225" s="40"/>
      <c r="J225" s="21">
        <f t="shared" si="22"/>
        <v>0</v>
      </c>
      <c r="K225" s="21">
        <f t="shared" si="23"/>
        <v>0</v>
      </c>
      <c r="L225" s="21">
        <f t="shared" si="24"/>
        <v>0</v>
      </c>
      <c r="M225" s="346" t="s">
        <v>662</v>
      </c>
      <c r="P225" s="44"/>
      <c r="Q225" s="44"/>
    </row>
    <row r="226" spans="1:17" ht="13.5" hidden="1" x14ac:dyDescent="0.15">
      <c r="A226" s="259">
        <v>84</v>
      </c>
      <c r="B226" s="108" t="s">
        <v>673</v>
      </c>
      <c r="C226" s="21" t="s">
        <v>613</v>
      </c>
      <c r="D226" s="104">
        <f>IF(ISERROR(HLOOKUP(J226,$Q$48:$AB$49,2)),0,HLOOKUP(J226,$Q$48:$AB$49,2))</f>
        <v>0</v>
      </c>
      <c r="E226" s="104">
        <f>IF(ISERROR(HLOOKUP(K226,$Q$48:$AB$49,2)),0,HLOOKUP(K226,$Q$48:$AB$49,2))</f>
        <v>0</v>
      </c>
      <c r="F226" s="104">
        <f>IF(ISERROR(HLOOKUP(L226,$Q$48:$AB$49,2)),0,HLOOKUP(L226,$Q$48:$AB$49,2))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2"/>
        <v>0</v>
      </c>
      <c r="K226" s="21">
        <f t="shared" si="23"/>
        <v>0</v>
      </c>
      <c r="L226" s="21">
        <f t="shared" si="24"/>
        <v>0</v>
      </c>
      <c r="M226" s="346" t="s">
        <v>662</v>
      </c>
      <c r="N226" s="104">
        <f>IF(ISERROR(HLOOKUP(L226,$Q$48:$AB$49,2)),0,HLOOKUP(L226,$Q$48:$AB$49,2))</f>
        <v>0</v>
      </c>
      <c r="P226" s="44"/>
      <c r="Q226" s="44"/>
    </row>
    <row r="227" spans="1:17" ht="13.5" hidden="1" x14ac:dyDescent="0.15">
      <c r="A227" s="259">
        <v>85</v>
      </c>
      <c r="B227" s="108" t="s">
        <v>674</v>
      </c>
      <c r="C227" s="21" t="s">
        <v>527</v>
      </c>
      <c r="D227" s="104">
        <f>IF(ISERROR(HLOOKUP(J227,$Q$35:$AY$36,2)),0,HLOOKUP(J227,$Q$35:$AY$36,2))</f>
        <v>0</v>
      </c>
      <c r="E227" s="104">
        <f>IF(ISERROR(HLOOKUP(K227,$Q$35:$AY$36,2)),0,HLOOKUP(K227,$Q$35:$AY$36,2))</f>
        <v>0</v>
      </c>
      <c r="F227" s="104">
        <f>IF(ISERROR(HLOOKUP(L227,$Q$35:$AY$36,2)),0,HLOOKUP(L227,$Q$35:$AY$36,2))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ref="J227:J234" si="26">ROUNDDOWN(G227/365,0)</f>
        <v>0</v>
      </c>
      <c r="K227" s="21">
        <f t="shared" ref="K227:K234" si="27">ROUNDDOWN(H227/365,0)</f>
        <v>0</v>
      </c>
      <c r="L227" s="21">
        <f t="shared" ref="L227:L234" si="28">ROUNDDOWN(I227/365,0)</f>
        <v>0</v>
      </c>
      <c r="M227" s="346" t="s">
        <v>662</v>
      </c>
      <c r="P227" s="44"/>
      <c r="Q227" s="44"/>
    </row>
    <row r="228" spans="1:17" ht="13.5" hidden="1" x14ac:dyDescent="0.15">
      <c r="A228" s="259">
        <v>86</v>
      </c>
      <c r="B228" s="108" t="s">
        <v>675</v>
      </c>
      <c r="C228" s="21" t="s">
        <v>613</v>
      </c>
      <c r="D228" s="104">
        <f>IF(ISERROR(HLOOKUP(J228,$Q$60:$AC$61,2)),0,HLOOKUP(J228,$Q$60:$AC$61,2))</f>
        <v>0</v>
      </c>
      <c r="E228" s="104">
        <f>IF(ISERROR(HLOOKUP(K228,$Q$60:$AC$61,2)),0,HLOOKUP(K228,$Q$60:$AC$61,2))</f>
        <v>0</v>
      </c>
      <c r="F228" s="104">
        <f>IF(ISERROR(HLOOKUP(L228,$Q$60:$AC$61,2)),0,HLOOKUP(L228,$Q$60:$AC$61,2))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87</v>
      </c>
      <c r="B229" s="108" t="s">
        <v>677</v>
      </c>
      <c r="C229" s="21"/>
      <c r="D229" s="21"/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A230" s="259">
        <v>88</v>
      </c>
      <c r="B230" s="108" t="s">
        <v>678</v>
      </c>
      <c r="C230" s="21" t="s">
        <v>613</v>
      </c>
      <c r="D230" s="104">
        <f>IF(ISERROR(HLOOKUP(J230,$Q$39:$AA$40,2)),0,HLOOKUP(J230,$Q$39:$AA$40,2))</f>
        <v>0</v>
      </c>
      <c r="E230" s="104">
        <f>IF(ISERROR(HLOOKUP(K230,$Q$39:$AA$40,2)),0,HLOOKUP(K230,$Q$39:$AA$40,2))</f>
        <v>0</v>
      </c>
      <c r="F230" s="104">
        <f>IF(ISERROR(HLOOKUP(L230,$Q$39:$AA$40,2)),0,HLOOKUP(L230,$Q$39:$AA$40,2))</f>
        <v>0</v>
      </c>
      <c r="G230" s="396">
        <f>SUM($F$27:$F$32)</f>
        <v>0</v>
      </c>
      <c r="H230" s="103">
        <f>SUM($F$27:$F$32)+$J$51</f>
        <v>0</v>
      </c>
      <c r="I230" s="103">
        <f>SUM($F$27:$F$32)+$J$51+$J$60</f>
        <v>0</v>
      </c>
      <c r="J230" s="21">
        <f t="shared" si="26"/>
        <v>0</v>
      </c>
      <c r="K230" s="21">
        <f t="shared" si="27"/>
        <v>0</v>
      </c>
      <c r="L230" s="21">
        <f t="shared" si="28"/>
        <v>0</v>
      </c>
      <c r="M230" s="346" t="s">
        <v>662</v>
      </c>
      <c r="P230" s="44"/>
      <c r="Q230" s="44"/>
    </row>
    <row r="231" spans="1:17" ht="13.5" hidden="1" x14ac:dyDescent="0.15">
      <c r="A231" s="259">
        <v>89</v>
      </c>
      <c r="B231" s="108" t="s">
        <v>679</v>
      </c>
      <c r="C231" s="21" t="s">
        <v>613</v>
      </c>
      <c r="D231" s="104">
        <f>IF(ISERROR(HLOOKUP(J231,$Q$48:$V$49,2)),0,HLOOKUP(J231,$Q$48:$V$49,2))</f>
        <v>0</v>
      </c>
      <c r="E231" s="104">
        <f>IF(ISERROR(HLOOKUP(K231,$Q$48:$V$49,2)),0,HLOOKUP(K231,$Q$48:$V$49,2))</f>
        <v>0</v>
      </c>
      <c r="F231" s="104">
        <f>IF(ISERROR(HLOOKUP(L231,$Q$48:$V$49,2)),0,HLOOKUP(L231,$Q$48:$V$49,2))</f>
        <v>0</v>
      </c>
      <c r="G231" s="396">
        <f>SUM($F$30:$F$32)</f>
        <v>0</v>
      </c>
      <c r="H231" s="103">
        <f>SUM($F$30:$F$32)+$J$51</f>
        <v>0</v>
      </c>
      <c r="I231" s="103">
        <f>SUM($F$30:$F$32)+$J$51+$J$60</f>
        <v>0</v>
      </c>
      <c r="J231" s="21">
        <f t="shared" si="26"/>
        <v>0</v>
      </c>
      <c r="K231" s="21">
        <f t="shared" si="27"/>
        <v>0</v>
      </c>
      <c r="L231" s="21">
        <f t="shared" si="28"/>
        <v>0</v>
      </c>
      <c r="M231" s="346" t="s">
        <v>662</v>
      </c>
      <c r="P231" s="44"/>
      <c r="Q231" s="44"/>
    </row>
    <row r="232" spans="1:17" ht="13.5" hidden="1" x14ac:dyDescent="0.15">
      <c r="A232" s="259">
        <v>90</v>
      </c>
      <c r="B232" s="108" t="s">
        <v>680</v>
      </c>
      <c r="C232" s="21" t="s">
        <v>527</v>
      </c>
      <c r="D232" s="104">
        <f>IF(ISERROR(HLOOKUP(J232,$Q$26:$AY$27,2)),0,HLOOKUP(J232,$Q$26:$AY$27,2))</f>
        <v>0</v>
      </c>
      <c r="E232" s="104">
        <f>IF(ISERROR(HLOOKUP(K232,$Q$26:$AY$27,2)),0,HLOOKUP(K232,$Q$26:$AY$27,2))</f>
        <v>0</v>
      </c>
      <c r="F232" s="104">
        <f>IF(ISERROR(HLOOKUP(L232,$Q$26:$AY$27,2)),0,HLOOKUP(L232,$Q$26:$AY$27,2))</f>
        <v>0</v>
      </c>
      <c r="G232" s="396">
        <f>SUM($F$30:$F$32)</f>
        <v>0</v>
      </c>
      <c r="H232" s="103">
        <f>SUM($F$30:$F$32)+$J$51</f>
        <v>0</v>
      </c>
      <c r="I232" s="103">
        <f>SUM($F$30:$F$32)+$J$51+$J$60</f>
        <v>0</v>
      </c>
      <c r="J232" s="21">
        <f t="shared" si="26"/>
        <v>0</v>
      </c>
      <c r="K232" s="21">
        <f t="shared" si="27"/>
        <v>0</v>
      </c>
      <c r="L232" s="21">
        <f t="shared" si="28"/>
        <v>0</v>
      </c>
      <c r="M232" s="346" t="s">
        <v>662</v>
      </c>
      <c r="P232" s="44"/>
      <c r="Q232" s="44"/>
    </row>
    <row r="233" spans="1:17" ht="13.5" hidden="1" x14ac:dyDescent="0.15">
      <c r="A233" s="259">
        <v>91</v>
      </c>
      <c r="B233" s="108" t="s">
        <v>681</v>
      </c>
      <c r="C233" s="21" t="s">
        <v>613</v>
      </c>
      <c r="D233" s="104">
        <f>IF(ISERROR(HLOOKUP(J233,$Q$42:$AA$43,2)),0,HLOOKUP(J233,$Q$42:$AA$43,2))</f>
        <v>0</v>
      </c>
      <c r="E233" s="104">
        <f>IF(ISERROR(HLOOKUP(K233,$Q$42:$AA$43,2)),0,HLOOKUP(K233,$Q$42:$AA$43,2))</f>
        <v>0</v>
      </c>
      <c r="F233" s="104">
        <f>IF(ISERROR(HLOOKUP(L233,$Q$42:$AA$43,2)),0,HLOOKUP(L233,$Q$42:$AA$43,2))</f>
        <v>0</v>
      </c>
      <c r="G233" s="396">
        <f>SUM($F$30:$F$32)</f>
        <v>0</v>
      </c>
      <c r="H233" s="103">
        <f>SUM($F$30:$F$32)+$J$51</f>
        <v>0</v>
      </c>
      <c r="I233" s="103">
        <f>SUM($F$30:$F$32)+$J$51+$J$60</f>
        <v>0</v>
      </c>
      <c r="J233" s="21">
        <f t="shared" si="26"/>
        <v>0</v>
      </c>
      <c r="K233" s="21">
        <f t="shared" si="27"/>
        <v>0</v>
      </c>
      <c r="L233" s="21">
        <f t="shared" si="28"/>
        <v>0</v>
      </c>
      <c r="M233" s="346" t="s">
        <v>662</v>
      </c>
      <c r="P233" s="44"/>
      <c r="Q233" s="44"/>
    </row>
    <row r="234" spans="1:17" ht="13.5" hidden="1" x14ac:dyDescent="0.15">
      <c r="A234" s="259">
        <v>92</v>
      </c>
      <c r="B234" s="108" t="s">
        <v>682</v>
      </c>
      <c r="C234" s="21" t="s">
        <v>613</v>
      </c>
      <c r="D234" s="104">
        <f>IF(ISERROR(HLOOKUP(J234,$Q$42:$Z$43,2)),0,HLOOKUP(J234,$Q$42:$Z$43,2))</f>
        <v>0</v>
      </c>
      <c r="E234" s="104">
        <f>IF(ISERROR(HLOOKUP(K234,$Q$42:$Z$43,2)),0,HLOOKUP(K234,$Q$42:$Z$43,2))</f>
        <v>0</v>
      </c>
      <c r="F234" s="104">
        <f>IF(ISERROR(HLOOKUP(L234,$Q$42:$Z$43,2)),0,HLOOKUP(L234,$Q$42:$Z$43,2))</f>
        <v>0</v>
      </c>
      <c r="G234" s="396">
        <f>SUM($F$30:$F$32)</f>
        <v>0</v>
      </c>
      <c r="H234" s="103">
        <f>SUM($F$30:$F$32)+$J$51</f>
        <v>0</v>
      </c>
      <c r="I234" s="103">
        <f>SUM($F$30:$F$32)+$J$51+$J$60</f>
        <v>0</v>
      </c>
      <c r="J234" s="21">
        <f t="shared" si="26"/>
        <v>0</v>
      </c>
      <c r="K234" s="21">
        <f t="shared" si="27"/>
        <v>0</v>
      </c>
      <c r="L234" s="21">
        <f t="shared" si="28"/>
        <v>0</v>
      </c>
      <c r="M234" s="346" t="s">
        <v>662</v>
      </c>
      <c r="P234" s="44"/>
      <c r="Q234" s="44"/>
    </row>
    <row r="235" spans="1:17" ht="13.5" hidden="1" x14ac:dyDescent="0.15">
      <c r="B235" s="10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357"/>
      <c r="N235" s="54"/>
      <c r="O235" s="258"/>
      <c r="P235" s="44"/>
      <c r="Q235" s="44"/>
    </row>
    <row r="236" spans="1:17" ht="13.5" hidden="1" x14ac:dyDescent="0.15">
      <c r="B236" s="248" t="s">
        <v>720</v>
      </c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258"/>
    </row>
    <row r="237" spans="1:17" ht="13.5" hidden="1" x14ac:dyDescent="0.15">
      <c r="A237" s="259">
        <v>1</v>
      </c>
      <c r="B237" s="51" t="s">
        <v>550</v>
      </c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258"/>
    </row>
    <row r="238" spans="1:17" ht="13.5" hidden="1" x14ac:dyDescent="0.15">
      <c r="A238" s="259" t="s">
        <v>721</v>
      </c>
      <c r="B238" s="51" t="s">
        <v>615</v>
      </c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58"/>
    </row>
    <row r="239" spans="1:17" ht="13.5" hidden="1" x14ac:dyDescent="0.15">
      <c r="A239" s="259">
        <v>2</v>
      </c>
      <c r="B239" s="338" t="s">
        <v>617</v>
      </c>
      <c r="C239" s="109"/>
      <c r="D239" s="109"/>
      <c r="E239" s="110"/>
      <c r="F239" s="358"/>
      <c r="G239" s="111"/>
      <c r="H239" s="111"/>
      <c r="I239" s="111"/>
      <c r="J239" s="46"/>
      <c r="K239" s="46"/>
      <c r="L239" s="46"/>
      <c r="M239" s="46"/>
      <c r="N239" s="9"/>
      <c r="O239" s="258"/>
    </row>
    <row r="240" spans="1:17" ht="13.5" hidden="1" x14ac:dyDescent="0.15">
      <c r="A240" s="259">
        <v>3</v>
      </c>
      <c r="B240" s="345" t="s">
        <v>645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4</v>
      </c>
      <c r="B241" s="338" t="s">
        <v>618</v>
      </c>
      <c r="C241" s="104"/>
      <c r="D241" s="104"/>
      <c r="E241" s="104"/>
      <c r="F241" s="112"/>
      <c r="G241" s="112"/>
      <c r="H241" s="112"/>
      <c r="I241" s="112"/>
      <c r="J241" s="46"/>
      <c r="K241" s="46"/>
      <c r="L241" s="46"/>
      <c r="M241" s="46"/>
      <c r="N241" s="46"/>
      <c r="O241" s="258"/>
    </row>
    <row r="242" spans="1:40" ht="13.5" hidden="1" x14ac:dyDescent="0.15">
      <c r="A242" s="259">
        <v>5</v>
      </c>
      <c r="B242" s="345" t="s">
        <v>646</v>
      </c>
      <c r="C242" s="104"/>
      <c r="D242" s="104"/>
      <c r="E242" s="104"/>
      <c r="F242" s="112"/>
      <c r="G242" s="112"/>
      <c r="H242" s="112"/>
      <c r="I242" s="112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6</v>
      </c>
      <c r="B243" s="345" t="s">
        <v>647</v>
      </c>
      <c r="C243" s="104"/>
      <c r="D243" s="104"/>
      <c r="E243" s="104"/>
      <c r="F243" s="112"/>
      <c r="G243" s="112"/>
      <c r="H243" s="112"/>
      <c r="I243" s="112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7</v>
      </c>
      <c r="B244" s="51" t="s">
        <v>551</v>
      </c>
      <c r="C244" s="104"/>
      <c r="D244" s="104"/>
      <c r="E244" s="104"/>
      <c r="F244" s="112"/>
      <c r="G244" s="112"/>
      <c r="H244" s="112"/>
      <c r="I244" s="112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8</v>
      </c>
      <c r="B245" s="51" t="s">
        <v>552</v>
      </c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9</v>
      </c>
      <c r="B246" s="51" t="s">
        <v>553</v>
      </c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58"/>
      <c r="AH246" s="69"/>
      <c r="AI246" s="69"/>
      <c r="AJ246" s="69"/>
      <c r="AK246" s="69"/>
      <c r="AL246" s="69"/>
      <c r="AM246" s="69"/>
      <c r="AN246" s="69"/>
    </row>
    <row r="247" spans="1:40" ht="13.5" hidden="1" x14ac:dyDescent="0.15">
      <c r="A247" s="259" t="s">
        <v>722</v>
      </c>
      <c r="B247" s="51" t="s">
        <v>616</v>
      </c>
      <c r="C247" s="109"/>
      <c r="D247" s="109"/>
      <c r="E247" s="110"/>
      <c r="F247" s="358"/>
      <c r="G247" s="111"/>
      <c r="H247" s="111"/>
      <c r="I247" s="111"/>
      <c r="J247" s="46"/>
      <c r="K247" s="46"/>
      <c r="L247" s="46"/>
      <c r="M247" s="46"/>
      <c r="N247" s="9"/>
      <c r="O247" s="258"/>
      <c r="AH247" s="69"/>
      <c r="AI247" s="69"/>
      <c r="AJ247" s="69"/>
      <c r="AK247" s="69"/>
      <c r="AL247" s="69"/>
      <c r="AM247" s="69"/>
      <c r="AN247" s="69"/>
    </row>
    <row r="248" spans="1:40" ht="13.5" hidden="1" x14ac:dyDescent="0.15">
      <c r="A248" s="259">
        <v>10</v>
      </c>
      <c r="B248" s="338" t="s">
        <v>619</v>
      </c>
      <c r="C248" s="104"/>
      <c r="D248" s="105"/>
      <c r="E248" s="106"/>
      <c r="F248" s="46"/>
      <c r="G248" s="46"/>
      <c r="H248" s="46"/>
      <c r="I248" s="46"/>
      <c r="J248" s="46"/>
      <c r="K248" s="46"/>
      <c r="L248" s="46"/>
      <c r="M248" s="46"/>
      <c r="N248" s="46"/>
      <c r="O248" s="258"/>
      <c r="AH248" s="69"/>
      <c r="AI248" s="69"/>
      <c r="AJ248" s="69"/>
      <c r="AK248" s="69"/>
      <c r="AL248" s="69"/>
      <c r="AM248" s="69"/>
      <c r="AN248" s="69"/>
    </row>
    <row r="249" spans="1:40" ht="13.5" hidden="1" x14ac:dyDescent="0.15">
      <c r="A249" s="259">
        <v>11</v>
      </c>
      <c r="B249" s="345" t="s">
        <v>648</v>
      </c>
      <c r="C249" s="104"/>
      <c r="D249" s="105"/>
      <c r="E249" s="106"/>
      <c r="F249" s="47"/>
      <c r="G249" s="47"/>
      <c r="H249" s="47"/>
      <c r="I249" s="47"/>
      <c r="J249" s="46"/>
      <c r="K249" s="46"/>
      <c r="L249" s="46"/>
      <c r="M249" s="46"/>
      <c r="N249" s="46"/>
      <c r="O249" s="258"/>
      <c r="AH249" s="69"/>
      <c r="AI249" s="69"/>
      <c r="AJ249" s="69"/>
      <c r="AK249" s="69"/>
      <c r="AL249" s="69"/>
      <c r="AM249" s="69"/>
      <c r="AN249" s="69"/>
    </row>
    <row r="250" spans="1:40" ht="13.5" hidden="1" x14ac:dyDescent="0.15">
      <c r="A250" s="259">
        <v>12</v>
      </c>
      <c r="B250" s="345" t="s">
        <v>649</v>
      </c>
      <c r="C250" s="104"/>
      <c r="D250" s="105"/>
      <c r="E250" s="106"/>
      <c r="F250" s="47"/>
      <c r="G250" s="111"/>
      <c r="H250" s="47"/>
      <c r="I250" s="47"/>
      <c r="J250" s="46"/>
      <c r="K250" s="46"/>
      <c r="L250" s="46"/>
      <c r="M250" s="46"/>
      <c r="N250" s="46"/>
      <c r="O250" s="258"/>
      <c r="AH250" s="69"/>
      <c r="AI250" s="69"/>
      <c r="AJ250" s="69"/>
      <c r="AK250" s="69"/>
      <c r="AL250" s="69"/>
      <c r="AM250" s="69"/>
      <c r="AN250" s="69"/>
    </row>
    <row r="251" spans="1:40" ht="13.5" hidden="1" x14ac:dyDescent="0.15">
      <c r="A251" s="259">
        <v>13</v>
      </c>
      <c r="B251" s="338" t="s">
        <v>620</v>
      </c>
      <c r="C251" s="104"/>
      <c r="D251" s="105"/>
      <c r="E251" s="106"/>
      <c r="F251" s="47"/>
      <c r="G251" s="111"/>
      <c r="H251" s="47"/>
      <c r="I251" s="47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14</v>
      </c>
      <c r="B252" s="345" t="s">
        <v>650</v>
      </c>
      <c r="C252" s="104"/>
      <c r="D252" s="105"/>
      <c r="E252" s="106"/>
      <c r="F252" s="47"/>
      <c r="G252" s="111"/>
      <c r="H252" s="47"/>
      <c r="I252" s="47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15</v>
      </c>
      <c r="B253" s="345" t="s">
        <v>651</v>
      </c>
      <c r="C253" s="104"/>
      <c r="D253" s="105"/>
      <c r="E253" s="106"/>
      <c r="F253" s="47"/>
      <c r="G253" s="111"/>
      <c r="H253" s="47"/>
      <c r="I253" s="47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16</v>
      </c>
      <c r="B254" s="339" t="s">
        <v>621</v>
      </c>
      <c r="C254" s="104"/>
      <c r="D254" s="105"/>
      <c r="E254" s="106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17</v>
      </c>
      <c r="B255" s="345" t="s">
        <v>652</v>
      </c>
      <c r="C255" s="104"/>
      <c r="D255" s="105"/>
      <c r="E255" s="106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18</v>
      </c>
      <c r="B256" s="345" t="s">
        <v>653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19</v>
      </c>
      <c r="B257" s="340" t="s">
        <v>622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20</v>
      </c>
      <c r="B258" s="345" t="s">
        <v>654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21</v>
      </c>
      <c r="B259" s="340" t="s">
        <v>623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22</v>
      </c>
      <c r="B260" s="345" t="s">
        <v>655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23</v>
      </c>
      <c r="B261" s="340" t="s">
        <v>624</v>
      </c>
      <c r="C261" s="104"/>
      <c r="D261" s="104"/>
      <c r="E261" s="104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24</v>
      </c>
      <c r="B262" s="340" t="s">
        <v>625</v>
      </c>
      <c r="C262" s="104"/>
      <c r="D262" s="104"/>
      <c r="E262" s="104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25</v>
      </c>
      <c r="B263" s="340" t="s">
        <v>626</v>
      </c>
      <c r="C263" s="104"/>
      <c r="D263" s="104"/>
      <c r="E263" s="104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26</v>
      </c>
      <c r="B264" s="51" t="s">
        <v>556</v>
      </c>
      <c r="C264" s="104"/>
      <c r="D264" s="104"/>
      <c r="E264" s="104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27</v>
      </c>
      <c r="B265" s="107" t="s">
        <v>549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28</v>
      </c>
      <c r="B266" s="340" t="s">
        <v>627</v>
      </c>
      <c r="C266" s="359"/>
      <c r="D266" s="111"/>
      <c r="E266" s="360"/>
      <c r="F266" s="112"/>
      <c r="G266" s="112"/>
      <c r="H266" s="112"/>
      <c r="I266" s="112"/>
      <c r="J266" s="46"/>
      <c r="K266" s="46"/>
      <c r="L266" s="46"/>
      <c r="M266" s="46"/>
      <c r="N266" s="361"/>
      <c r="O266" s="258"/>
    </row>
    <row r="267" spans="1:15" ht="13.5" hidden="1" x14ac:dyDescent="0.15">
      <c r="A267" s="259">
        <v>29</v>
      </c>
      <c r="B267" s="345" t="s">
        <v>663</v>
      </c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58"/>
    </row>
    <row r="268" spans="1:15" ht="13.5" hidden="1" x14ac:dyDescent="0.15">
      <c r="A268" s="259">
        <v>30</v>
      </c>
      <c r="B268" s="340" t="s">
        <v>628</v>
      </c>
      <c r="C268" s="109"/>
      <c r="D268" s="109"/>
      <c r="E268" s="110"/>
      <c r="F268" s="358"/>
      <c r="G268" s="111"/>
      <c r="H268" s="111"/>
      <c r="I268" s="111"/>
      <c r="J268" s="46"/>
      <c r="K268" s="46"/>
      <c r="L268" s="46"/>
      <c r="M268" s="46"/>
      <c r="N268" s="9"/>
      <c r="O268" s="258"/>
    </row>
    <row r="269" spans="1:15" ht="13.5" hidden="1" x14ac:dyDescent="0.15">
      <c r="A269" s="259">
        <v>31</v>
      </c>
      <c r="B269" s="51" t="s">
        <v>557</v>
      </c>
      <c r="C269" s="104"/>
      <c r="D269" s="105"/>
      <c r="E269" s="106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 t="s">
        <v>723</v>
      </c>
      <c r="B270" s="51" t="s">
        <v>614</v>
      </c>
      <c r="C270" s="104"/>
      <c r="D270" s="105"/>
      <c r="E270" s="106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32</v>
      </c>
      <c r="B271" s="345" t="s">
        <v>664</v>
      </c>
      <c r="C271" s="104"/>
      <c r="D271" s="105"/>
      <c r="E271" s="106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33</v>
      </c>
      <c r="B272" s="340" t="s">
        <v>629</v>
      </c>
      <c r="C272" s="104"/>
      <c r="D272" s="105"/>
      <c r="E272" s="106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34</v>
      </c>
      <c r="B273" s="345" t="s">
        <v>665</v>
      </c>
      <c r="C273" s="104"/>
      <c r="D273" s="105"/>
      <c r="E273" s="106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35</v>
      </c>
      <c r="B274" s="51" t="s">
        <v>559</v>
      </c>
      <c r="C274" s="104"/>
      <c r="D274" s="104"/>
      <c r="E274" s="104"/>
      <c r="F274" s="112"/>
      <c r="G274" s="112"/>
      <c r="H274" s="112"/>
      <c r="I274" s="112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36</v>
      </c>
      <c r="B275" s="51" t="s">
        <v>560</v>
      </c>
      <c r="C275" s="104"/>
      <c r="D275" s="104"/>
      <c r="E275" s="104"/>
      <c r="F275" s="112"/>
      <c r="G275" s="112"/>
      <c r="H275" s="112"/>
      <c r="I275" s="112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37</v>
      </c>
      <c r="B276" s="345" t="s">
        <v>689</v>
      </c>
      <c r="C276" s="104"/>
      <c r="D276" s="104"/>
      <c r="E276" s="104"/>
      <c r="F276" s="112"/>
      <c r="G276" s="112"/>
      <c r="H276" s="112"/>
      <c r="I276" s="112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38</v>
      </c>
      <c r="B277" s="345" t="s">
        <v>666</v>
      </c>
      <c r="C277" s="104"/>
      <c r="D277" s="104"/>
      <c r="E277" s="104"/>
      <c r="F277" s="112"/>
      <c r="G277" s="112"/>
      <c r="H277" s="112"/>
      <c r="I277" s="112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39</v>
      </c>
      <c r="B278" s="340" t="s">
        <v>630</v>
      </c>
      <c r="C278" s="104"/>
      <c r="D278" s="104"/>
      <c r="E278" s="104"/>
      <c r="F278" s="112"/>
      <c r="G278" s="112"/>
      <c r="H278" s="112"/>
      <c r="I278" s="112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40</v>
      </c>
      <c r="B279" s="340" t="s">
        <v>631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41</v>
      </c>
      <c r="B280" s="51" t="s">
        <v>561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42</v>
      </c>
      <c r="B281" s="345" t="s">
        <v>667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43</v>
      </c>
      <c r="B282" s="51" t="s">
        <v>562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44</v>
      </c>
      <c r="B283" s="51" t="s">
        <v>563</v>
      </c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45</v>
      </c>
      <c r="B284" s="51" t="s">
        <v>686</v>
      </c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46</v>
      </c>
      <c r="B285" s="345" t="s">
        <v>668</v>
      </c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47</v>
      </c>
      <c r="B286" s="345" t="s">
        <v>669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 t="s">
        <v>724</v>
      </c>
      <c r="B287" s="345" t="s">
        <v>701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48</v>
      </c>
      <c r="B288" s="51" t="s">
        <v>564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49</v>
      </c>
      <c r="B289" s="345" t="s">
        <v>670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50</v>
      </c>
      <c r="B290" s="340" t="s">
        <v>632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51</v>
      </c>
      <c r="B291" s="51" t="s">
        <v>565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52</v>
      </c>
      <c r="B292" s="51" t="s">
        <v>566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53</v>
      </c>
      <c r="B293" s="51" t="s">
        <v>567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54</v>
      </c>
      <c r="B294" s="51" t="s">
        <v>568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55</v>
      </c>
      <c r="B295" s="51" t="s">
        <v>569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56</v>
      </c>
      <c r="B296" s="340" t="s">
        <v>633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57</v>
      </c>
      <c r="B297" s="51" t="s">
        <v>570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58</v>
      </c>
      <c r="B298" s="51" t="s">
        <v>571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59</v>
      </c>
      <c r="B299" s="345" t="s">
        <v>671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60</v>
      </c>
      <c r="B300" s="51" t="s">
        <v>572</v>
      </c>
      <c r="C300" s="9"/>
      <c r="D300" s="9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58"/>
    </row>
    <row r="301" spans="1:15" ht="13.5" hidden="1" x14ac:dyDescent="0.15">
      <c r="A301" s="259">
        <v>61</v>
      </c>
      <c r="B301" s="51" t="s">
        <v>573</v>
      </c>
      <c r="C301" s="9"/>
      <c r="D301" s="9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258"/>
    </row>
    <row r="302" spans="1:15" ht="13.5" hidden="1" x14ac:dyDescent="0.15">
      <c r="A302" s="259">
        <v>62</v>
      </c>
      <c r="B302" s="51" t="s">
        <v>574</v>
      </c>
      <c r="C302" s="9"/>
      <c r="D302" s="9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258"/>
    </row>
    <row r="303" spans="1:15" ht="13.5" hidden="1" x14ac:dyDescent="0.15">
      <c r="A303" s="259">
        <v>63</v>
      </c>
      <c r="B303" s="345" t="s">
        <v>672</v>
      </c>
      <c r="C303" s="9"/>
      <c r="D303" s="9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258"/>
    </row>
    <row r="304" spans="1:15" ht="13.5" hidden="1" x14ac:dyDescent="0.15">
      <c r="A304" s="259">
        <v>64</v>
      </c>
      <c r="B304" s="51" t="s">
        <v>580</v>
      </c>
      <c r="C304" s="9"/>
      <c r="D304" s="9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258"/>
    </row>
    <row r="305" spans="1:15" ht="13.5" hidden="1" x14ac:dyDescent="0.15">
      <c r="A305" s="259">
        <v>65</v>
      </c>
      <c r="B305" s="51" t="s">
        <v>583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66</v>
      </c>
      <c r="B306" s="340" t="s">
        <v>634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67</v>
      </c>
      <c r="B307" s="51" t="s">
        <v>581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 t="s">
        <v>725</v>
      </c>
      <c r="B308" s="51" t="s">
        <v>684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68</v>
      </c>
      <c r="B309" s="108" t="s">
        <v>673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69</v>
      </c>
      <c r="B310" s="340" t="s">
        <v>635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70</v>
      </c>
      <c r="B311" s="108" t="s">
        <v>674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71</v>
      </c>
      <c r="B312" s="108" t="s">
        <v>675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72</v>
      </c>
      <c r="B313" s="108" t="s">
        <v>677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73</v>
      </c>
      <c r="B314" s="340" t="s">
        <v>636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74</v>
      </c>
      <c r="B315" s="108" t="s">
        <v>678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75</v>
      </c>
      <c r="B316" s="340" t="s">
        <v>637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76</v>
      </c>
      <c r="B317" s="108" t="s">
        <v>679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77</v>
      </c>
      <c r="B318" s="340" t="s">
        <v>638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78</v>
      </c>
      <c r="B319" s="108" t="s">
        <v>680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79</v>
      </c>
      <c r="B320" s="340" t="s">
        <v>639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80</v>
      </c>
      <c r="B321" s="340" t="s">
        <v>640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81</v>
      </c>
      <c r="B322" s="108" t="s">
        <v>681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82</v>
      </c>
      <c r="B323" s="51" t="s">
        <v>584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83</v>
      </c>
      <c r="B324" s="340" t="s">
        <v>683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84</v>
      </c>
      <c r="B325" s="340" t="s">
        <v>699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85</v>
      </c>
      <c r="B326" s="340" t="s">
        <v>641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86</v>
      </c>
      <c r="B327" s="340" t="s">
        <v>642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>
        <v>87</v>
      </c>
      <c r="B328" s="340" t="s">
        <v>643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88</v>
      </c>
      <c r="B329" s="340" t="s">
        <v>644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A330" s="259">
        <v>89</v>
      </c>
      <c r="B330" s="51" t="s">
        <v>585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A331" s="259">
        <v>90</v>
      </c>
      <c r="B331" s="108" t="s">
        <v>682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A332" s="259">
        <v>91</v>
      </c>
      <c r="B332" s="51" t="s">
        <v>586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A333" s="259" t="s">
        <v>726</v>
      </c>
      <c r="B333" s="51" t="s">
        <v>685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A334" s="259">
        <v>92</v>
      </c>
      <c r="B334" s="51" t="s">
        <v>588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  <row r="825" spans="2:15" ht="13.5" hidden="1" x14ac:dyDescent="0.15">
      <c r="B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258"/>
    </row>
    <row r="826" spans="2:15" ht="13.5" hidden="1" x14ac:dyDescent="0.15">
      <c r="B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258"/>
    </row>
    <row r="827" spans="2:15" ht="13.5" hidden="1" x14ac:dyDescent="0.15">
      <c r="B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258"/>
    </row>
    <row r="828" spans="2:15" ht="13.5" hidden="1" x14ac:dyDescent="0.15">
      <c r="B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258"/>
    </row>
    <row r="829" spans="2:15" ht="13.5" hidden="1" x14ac:dyDescent="0.15">
      <c r="B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258"/>
    </row>
  </sheetData>
  <sheetProtection password="F44E" sheet="1" objects="1" scenarios="1"/>
  <mergeCells count="30">
    <mergeCell ref="B106:E106"/>
    <mergeCell ref="B135:N135"/>
    <mergeCell ref="C128:E128"/>
    <mergeCell ref="F128:H128"/>
    <mergeCell ref="K115:S115"/>
    <mergeCell ref="B115:J115"/>
    <mergeCell ref="I128:J128"/>
    <mergeCell ref="E2:I2"/>
    <mergeCell ref="K2:N2"/>
    <mergeCell ref="D52:E52"/>
    <mergeCell ref="B4:N4"/>
    <mergeCell ref="C33:D33"/>
    <mergeCell ref="J19:M19"/>
    <mergeCell ref="C7:J7"/>
    <mergeCell ref="C8:H8"/>
    <mergeCell ref="C9:H9"/>
    <mergeCell ref="G15:I15"/>
    <mergeCell ref="E6:H6"/>
    <mergeCell ref="H20:I20"/>
    <mergeCell ref="J20:M20"/>
    <mergeCell ref="J18:N18"/>
    <mergeCell ref="M6:N6"/>
    <mergeCell ref="E14:F14"/>
    <mergeCell ref="H14:I14"/>
    <mergeCell ref="H19:I19"/>
    <mergeCell ref="L11:M11"/>
    <mergeCell ref="D61:E61"/>
    <mergeCell ref="B35:E35"/>
    <mergeCell ref="B40:N40"/>
    <mergeCell ref="G41:N41"/>
  </mergeCells>
  <phoneticPr fontId="0" type="noConversion"/>
  <conditionalFormatting sqref="F72:F74">
    <cfRule type="cellIs" dxfId="51" priority="1" stopIfTrue="1" operator="equal">
      <formula>"NADA A CUMPRIR"</formula>
    </cfRule>
    <cfRule type="cellIs" dxfId="50" priority="2" stopIfTrue="1" operator="equal">
      <formula>"NÃO CABE"</formula>
    </cfRule>
    <cfRule type="cellIs" dxfId="49" priority="3" stopIfTrue="1" operator="greaterThanOrEqual">
      <formula>0</formula>
    </cfRule>
  </conditionalFormatting>
  <conditionalFormatting sqref="E71">
    <cfRule type="cellIs" dxfId="48" priority="4" stopIfTrue="1" operator="equal">
      <formula>"NÃO ATENDE LIMITE MÍNIMO DE IDADE"</formula>
    </cfRule>
    <cfRule type="cellIs" dxfId="47" priority="5" stopIfTrue="1" operator="equal">
      <formula>"REANALISAR FUNDAMENTAÇÃO E/OU MODALIDADE"</formula>
    </cfRule>
    <cfRule type="cellIs" dxfId="46" priority="6" stopIfTrue="1" operator="equal">
      <formula>"ATENDE LIMITE MÍNIMO DE IDADE"</formula>
    </cfRule>
  </conditionalFormatting>
  <conditionalFormatting sqref="N69 N71">
    <cfRule type="cellIs" dxfId="45" priority="7" stopIfTrue="1" operator="equal">
      <formula>0</formula>
    </cfRule>
  </conditionalFormatting>
  <conditionalFormatting sqref="J105">
    <cfRule type="cellIs" dxfId="44" priority="8" stopIfTrue="1" operator="equal">
      <formula>"ATENDE TEMPO NO CARGO"</formula>
    </cfRule>
    <cfRule type="cellIs" dxfId="43" priority="9" stopIfTrue="1" operator="equal">
      <formula>"NÃO CUMPRE TEMPO NO CARGO"</formula>
    </cfRule>
  </conditionalFormatting>
  <conditionalFormatting sqref="K8">
    <cfRule type="expression" dxfId="42" priority="10" stopIfTrue="1">
      <formula>"SE($N$8=0)"</formula>
    </cfRule>
  </conditionalFormatting>
  <conditionalFormatting sqref="C73">
    <cfRule type="cellIs" dxfId="41" priority="11" stopIfTrue="1" operator="equal">
      <formula>"FALTA DATA"</formula>
    </cfRule>
  </conditionalFormatting>
  <conditionalFormatting sqref="M74">
    <cfRule type="cellIs" dxfId="40" priority="12" stopIfTrue="1" operator="equal">
      <formula>"ATENDE"</formula>
    </cfRule>
    <cfRule type="cellIs" dxfId="39" priority="13" stopIfTrue="1" operator="equal">
      <formula>"NÃO ATENDE"</formula>
    </cfRule>
    <cfRule type="cellIs" dxfId="38" priority="14" stopIfTrue="1" operator="equal">
      <formula>"NÃO CABE"</formula>
    </cfRule>
  </conditionalFormatting>
  <conditionalFormatting sqref="M73">
    <cfRule type="cellIs" dxfId="37" priority="15" stopIfTrue="1" operator="equal">
      <formula>"ATENDE"</formula>
    </cfRule>
    <cfRule type="cellIs" dxfId="36" priority="16" stopIfTrue="1" operator="equal">
      <formula>"NÃO ATENDE"</formula>
    </cfRule>
    <cfRule type="cellIs" dxfId="35" priority="17" stopIfTrue="1" operator="equal">
      <formula>"NÃO CABE"</formula>
    </cfRule>
  </conditionalFormatting>
  <conditionalFormatting sqref="M75:M76 L78:L86 L77:M77 L88:L91">
    <cfRule type="cellIs" dxfId="34" priority="18" stopIfTrue="1" operator="equal">
      <formula>"ATENDE"</formula>
    </cfRule>
    <cfRule type="cellIs" dxfId="33" priority="19" stopIfTrue="1" operator="equal">
      <formula>"NÃO ATENDE"</formula>
    </cfRule>
    <cfRule type="cellIs" dxfId="32" priority="20" stopIfTrue="1" operator="equal">
      <formula>"OK"</formula>
    </cfRule>
  </conditionalFormatting>
  <conditionalFormatting sqref="K42">
    <cfRule type="expression" dxfId="31" priority="21" stopIfTrue="1">
      <formula>$E$42&lt;=0</formula>
    </cfRule>
  </conditionalFormatting>
  <conditionalFormatting sqref="M42">
    <cfRule type="expression" dxfId="30" priority="22" stopIfTrue="1">
      <formula>$E$42&lt;=0</formula>
    </cfRule>
  </conditionalFormatting>
  <conditionalFormatting sqref="M248:M266 M238:M244 M269:M292 C226:C228 C137:C182 N181:N182 C184:C203 C223:C224 C230:C234 C205:C221">
    <cfRule type="cellIs" dxfId="29" priority="23" stopIfTrue="1" operator="equal">
      <formula>"ANUÊNIO"</formula>
    </cfRule>
    <cfRule type="cellIs" dxfId="28" priority="24" stopIfTrue="1" operator="equal">
      <formula>"TRIÊNIO"</formula>
    </cfRule>
    <cfRule type="cellIs" dxfId="27" priority="25" stopIfTrue="1" operator="equal">
      <formula>"QUINQUÊNIO"</formula>
    </cfRule>
  </conditionalFormatting>
  <conditionalFormatting sqref="O70 I67">
    <cfRule type="cellIs" dxfId="26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1400-000000000000}">
      <formula1>$O$2:$O$7</formula1>
    </dataValidation>
    <dataValidation type="list" allowBlank="1" showInputMessage="1" showErrorMessage="1" sqref="E2:I2" xr:uid="{00000000-0002-0000-1400-000001000000}">
      <formula1>$B$95:$B$103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L829"/>
  <sheetViews>
    <sheetView showGridLines="0" topLeftCell="A34" zoomScale="75" zoomScaleNormal="75" workbookViewId="0" xr3:uid="{0801C90D-E949-51CC-9495-7D82D7DEDABF}">
      <selection activeCell="A59" sqref="A59"/>
    </sheetView>
  </sheetViews>
  <sheetFormatPr defaultColWidth="0" defaultRowHeight="14.25" zeroHeight="1" x14ac:dyDescent="0.2"/>
  <cols>
    <col min="1" max="1" width="2.6953125" style="259" customWidth="1"/>
    <col min="2" max="2" width="22.11328125" style="21" customWidth="1"/>
    <col min="3" max="3" width="9.70703125" style="40" customWidth="1"/>
    <col min="4" max="4" width="3.7734375" style="40" customWidth="1"/>
    <col min="5" max="5" width="9.70703125" style="21" customWidth="1"/>
    <col min="6" max="6" width="9.9765625" style="21" customWidth="1"/>
    <col min="7" max="7" width="3.7734375" style="21" customWidth="1"/>
    <col min="8" max="8" width="11.4609375" style="21" customWidth="1"/>
    <col min="9" max="9" width="8.8984375" style="21" customWidth="1"/>
    <col min="10" max="10" width="15.640625" style="21" customWidth="1"/>
    <col min="11" max="11" width="6.3359375" style="21" customWidth="1"/>
    <col min="12" max="12" width="7.953125" style="21" customWidth="1"/>
    <col min="13" max="13" width="8.76171875" style="21" customWidth="1"/>
    <col min="14" max="14" width="13.88671875" style="21" customWidth="1"/>
    <col min="15" max="15" width="1.75" style="254" customWidth="1"/>
    <col min="16" max="17" width="8.359375" style="21" hidden="1" customWidth="1"/>
    <col min="18" max="22" width="9.70703125" style="21" hidden="1" customWidth="1"/>
    <col min="23" max="23" width="5.66015625" style="21" hidden="1" customWidth="1"/>
    <col min="24" max="24" width="5.796875" style="21" hidden="1" customWidth="1"/>
    <col min="25" max="25" width="5.66015625" style="21" hidden="1" customWidth="1"/>
    <col min="26" max="27" width="5.52734375" style="21" hidden="1" customWidth="1"/>
    <col min="28" max="29" width="5.66015625" style="21" hidden="1" customWidth="1"/>
    <col min="30" max="30" width="5.52734375" style="67" hidden="1" customWidth="1"/>
    <col min="31" max="32" width="5.93359375" style="67" hidden="1" customWidth="1"/>
    <col min="33" max="33" width="5.93359375" style="21" hidden="1" customWidth="1"/>
    <col min="34" max="35" width="5.796875" style="21" hidden="1" customWidth="1"/>
    <col min="36" max="36" width="5.93359375" style="21" hidden="1" customWidth="1"/>
    <col min="37" max="37" width="5.66015625" style="21" hidden="1" customWidth="1"/>
    <col min="38" max="38" width="5.93359375" style="21" hidden="1" customWidth="1"/>
    <col min="39" max="41" width="5.796875" style="21" hidden="1" customWidth="1"/>
    <col min="42" max="42" width="5.93359375" style="21" hidden="1" customWidth="1"/>
    <col min="43" max="43" width="5.796875" style="21" hidden="1" customWidth="1"/>
    <col min="44" max="44" width="5.93359375" style="21" hidden="1" customWidth="1"/>
    <col min="45" max="45" width="5.796875" style="21" hidden="1" customWidth="1"/>
    <col min="46" max="49" width="5.93359375" style="21" hidden="1" customWidth="1"/>
    <col min="50" max="52" width="5.66015625" style="21" hidden="1" customWidth="1"/>
    <col min="53" max="53" width="5.66015625" style="311" hidden="1" customWidth="1"/>
    <col min="54" max="54" width="44.09375" style="21" hidden="1" customWidth="1"/>
    <col min="55" max="55" width="2.6953125" style="21" hidden="1" customWidth="1"/>
    <col min="56" max="16384" width="0" style="21" hidden="1"/>
  </cols>
  <sheetData>
    <row r="1" spans="1:53" ht="6" customHeight="1" x14ac:dyDescent="0.15">
      <c r="A1" s="295"/>
      <c r="BA1" s="80"/>
    </row>
    <row r="2" spans="1:53" x14ac:dyDescent="0.15">
      <c r="A2" s="295"/>
      <c r="B2" s="650" t="s">
        <v>435</v>
      </c>
      <c r="C2" s="651"/>
      <c r="D2" s="651" t="s">
        <v>433</v>
      </c>
      <c r="E2" s="1850" t="s">
        <v>455</v>
      </c>
      <c r="F2" s="1850"/>
      <c r="G2" s="1850"/>
      <c r="H2" s="1850"/>
      <c r="I2" s="1850"/>
      <c r="J2" s="652" t="s">
        <v>462</v>
      </c>
      <c r="K2" s="1939" t="s">
        <v>485</v>
      </c>
      <c r="L2" s="1940"/>
      <c r="M2" s="1940"/>
      <c r="N2" s="1941"/>
      <c r="O2" s="1052" t="s">
        <v>463</v>
      </c>
      <c r="P2" s="34" t="s">
        <v>528</v>
      </c>
      <c r="Q2" s="73" t="s">
        <v>533</v>
      </c>
      <c r="R2" s="73" t="s">
        <v>532</v>
      </c>
      <c r="S2" s="40" t="s">
        <v>534</v>
      </c>
      <c r="T2" s="40" t="s">
        <v>535</v>
      </c>
      <c r="U2" s="40" t="s">
        <v>536</v>
      </c>
      <c r="BA2" s="80"/>
    </row>
    <row r="3" spans="1:53" ht="6" customHeight="1" x14ac:dyDescent="0.15">
      <c r="A3" s="295"/>
      <c r="O3" s="1052" t="s">
        <v>485</v>
      </c>
      <c r="P3" s="17"/>
      <c r="BA3" s="80"/>
    </row>
    <row r="4" spans="1:53" x14ac:dyDescent="0.15">
      <c r="A4" s="295"/>
      <c r="B4" s="1856" t="s">
        <v>434</v>
      </c>
      <c r="C4" s="1857"/>
      <c r="D4" s="1857"/>
      <c r="E4" s="1857"/>
      <c r="F4" s="1857"/>
      <c r="G4" s="1857"/>
      <c r="H4" s="1857"/>
      <c r="I4" s="1857"/>
      <c r="J4" s="1857"/>
      <c r="K4" s="1857"/>
      <c r="L4" s="1857"/>
      <c r="M4" s="1857"/>
      <c r="N4" s="1858"/>
      <c r="O4" s="1052" t="s">
        <v>476</v>
      </c>
      <c r="P4" s="17" t="s">
        <v>529</v>
      </c>
      <c r="Q4" s="21" t="str">
        <f>IF(OR($E$2=$B$95,$E$2=$B$96,E2=B97),IF($M$13&gt;=5,"ATENDE","NÃO CUMPRE"),"NÃO CABE")</f>
        <v>NÃO CUMPRE</v>
      </c>
      <c r="R4" s="21" t="str">
        <f>IF($N$8&lt;$Q$11,IF($M$13&gt;=5,"ATENDE","NÃO CUMPRE"),"REVER FUNDAMENTAÇÃO")</f>
        <v>NÃO CUMPRE</v>
      </c>
      <c r="S4" s="21" t="str">
        <f>IF($N$8&lt;$Q$13,IF($M$13&gt;=5,"ATENDE","NÃO ATENDE"),"REVER FUNDAMENTAÇÃO")</f>
        <v>NÃO ATENDE</v>
      </c>
      <c r="T4" s="21" t="str">
        <f>IF($N$8&lt;$Q$11,IF($M$13&gt;=5,"ATENDE","NÃO ATENDE"),"REVER FUNDAMENT.")</f>
        <v>NÃO ATENDE</v>
      </c>
      <c r="U4" s="21" t="str">
        <f>IF($N$8&lt;$Q$11,IF($M$13&gt;=5,"ATENDE","NÃO ATENDE"),"REVER FUNDAMENT.")</f>
        <v>NÃO ATENDE</v>
      </c>
      <c r="BA4" s="80"/>
    </row>
    <row r="5" spans="1:53" s="5" customFormat="1" ht="6" customHeight="1" x14ac:dyDescent="0.15">
      <c r="A5" s="373"/>
      <c r="B5" s="653"/>
      <c r="C5" s="654"/>
      <c r="D5" s="654"/>
      <c r="E5" s="24"/>
      <c r="F5" s="24"/>
      <c r="G5" s="24"/>
      <c r="H5" s="24"/>
      <c r="I5" s="24"/>
      <c r="J5" s="24"/>
      <c r="K5" s="24"/>
      <c r="L5" s="24"/>
      <c r="M5" s="24"/>
      <c r="N5" s="24"/>
      <c r="O5" s="767" t="s">
        <v>464</v>
      </c>
      <c r="P5" s="6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68"/>
      <c r="AE5" s="68"/>
      <c r="AF5" s="68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81"/>
    </row>
    <row r="6" spans="1:53" x14ac:dyDescent="0.15">
      <c r="A6" s="362" t="s">
        <v>589</v>
      </c>
      <c r="B6" s="151" t="s">
        <v>593</v>
      </c>
      <c r="C6" s="152"/>
      <c r="D6" s="152"/>
      <c r="E6" s="1824" t="str">
        <f>CRÍTICA_IGP1!E6</f>
        <v>ESTADO DO RIO DE JANEIRO</v>
      </c>
      <c r="F6" s="1824"/>
      <c r="G6" s="1861"/>
      <c r="H6" s="1861"/>
      <c r="I6" s="152" t="s">
        <v>594</v>
      </c>
      <c r="J6" s="655" t="str">
        <f>CRÍTICA_IGP1!J6</f>
        <v>EXECUTIVO</v>
      </c>
      <c r="K6" s="152" t="s">
        <v>595</v>
      </c>
      <c r="L6" s="152"/>
      <c r="M6" s="1824">
        <f>CRÍTICA_IGP1!M6</f>
        <v>0</v>
      </c>
      <c r="N6" s="1825"/>
      <c r="O6" s="1053" t="s">
        <v>465</v>
      </c>
      <c r="P6" s="18" t="s">
        <v>530</v>
      </c>
      <c r="Q6" s="5" t="s">
        <v>537</v>
      </c>
      <c r="R6" s="5" t="str">
        <f>IF($N$8&lt;$Q$11,"NÃO CABE","REVER FUNDAM.")</f>
        <v>NÃO CABE</v>
      </c>
      <c r="S6" s="5" t="str">
        <f>IF($N$8&lt;$Q$13,IF($M$14&gt;=10,"ATENDE","NÃO ATENDE"),"REVER FUNDAMEN.")</f>
        <v>NÃO ATENDE</v>
      </c>
      <c r="T6" s="5" t="str">
        <f>IF($N$8&lt;$Q$11,"NÃO CABE","REVER FUNDAMENT.")</f>
        <v>NÃO CABE</v>
      </c>
      <c r="U6" s="5" t="str">
        <f>IF($N$8&lt;$Q$11,IF($M$14&gt;=15,"ATENDE","NÃO ATENDE"),"REVER FUNDAMENT.")</f>
        <v>NÃO ATENDE</v>
      </c>
      <c r="V6" s="5"/>
      <c r="W6" s="5"/>
      <c r="X6" s="5"/>
      <c r="Y6" s="5"/>
      <c r="Z6" s="5"/>
      <c r="AA6" s="5"/>
      <c r="AB6" s="5"/>
      <c r="AC6" s="69"/>
      <c r="AD6" s="70"/>
      <c r="AE6" s="70"/>
      <c r="AF6" s="70"/>
      <c r="AG6" s="69"/>
      <c r="AH6" s="69"/>
      <c r="AI6" s="69"/>
      <c r="AJ6" s="69"/>
      <c r="AK6" s="69"/>
      <c r="AL6" s="69"/>
      <c r="AM6" s="69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82"/>
    </row>
    <row r="7" spans="1:53" x14ac:dyDescent="0.15">
      <c r="A7" s="362" t="s">
        <v>590</v>
      </c>
      <c r="B7" s="149" t="s">
        <v>730</v>
      </c>
      <c r="C7" s="1870">
        <f>CRÍTICA_IGP1!C7</f>
        <v>0</v>
      </c>
      <c r="D7" s="1870"/>
      <c r="E7" s="1870"/>
      <c r="F7" s="1870"/>
      <c r="G7" s="1870"/>
      <c r="H7" s="1870"/>
      <c r="I7" s="1870"/>
      <c r="J7" s="1870"/>
      <c r="K7" s="153" t="s">
        <v>543</v>
      </c>
      <c r="L7" s="150"/>
      <c r="M7" s="45"/>
      <c r="N7" s="736">
        <f>CRÍTICA_IGP1!N7</f>
        <v>0</v>
      </c>
      <c r="O7" s="1053" t="s">
        <v>466</v>
      </c>
      <c r="P7" s="18" t="s">
        <v>531</v>
      </c>
      <c r="Q7" s="40" t="str">
        <f>IF(OR($E$2=$B$95,$E$2=$B$96,E2=B97),IF($M$15&gt;=10,"ATENDE","NÃO CUMPRE"),O76)</f>
        <v>NÃO CUMPRE</v>
      </c>
      <c r="R7" s="11">
        <v>0</v>
      </c>
      <c r="S7" s="5" t="str">
        <f>IF($N$8&lt;$Q$13,IF($M$15&gt;=20,"ATENDE","NÃO ATENDE"),"REVER FUNDAMENT.")</f>
        <v>NÃO ATENDE</v>
      </c>
      <c r="T7" s="11">
        <v>0</v>
      </c>
      <c r="U7" s="5" t="str">
        <f>IF($N$8&lt;$Q$11,IF($M$15&gt;=25,"ATENDE","NÃO ATENDE"),"REVER FUNDAMENT.")</f>
        <v>NÃO ATENDE</v>
      </c>
      <c r="V7" s="5"/>
      <c r="W7" s="5"/>
      <c r="X7" s="5"/>
      <c r="Y7" s="5"/>
      <c r="Z7" s="5"/>
      <c r="AA7" s="5"/>
      <c r="AB7" s="5"/>
      <c r="AC7" s="69"/>
      <c r="AD7" s="70"/>
      <c r="AE7" s="70"/>
      <c r="AF7" s="70"/>
      <c r="AG7" s="69"/>
      <c r="AH7" s="69"/>
      <c r="AI7" s="69"/>
      <c r="AJ7" s="69"/>
      <c r="AK7" s="69"/>
      <c r="AL7" s="69"/>
      <c r="AM7" s="69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82"/>
    </row>
    <row r="8" spans="1:53" x14ac:dyDescent="0.15">
      <c r="A8" s="362" t="s">
        <v>591</v>
      </c>
      <c r="B8" s="149" t="s">
        <v>731</v>
      </c>
      <c r="C8" s="1870">
        <f>CRÍTICA_IGP1!C8</f>
        <v>0</v>
      </c>
      <c r="D8" s="1870"/>
      <c r="E8" s="1870"/>
      <c r="F8" s="1870"/>
      <c r="G8" s="1870"/>
      <c r="H8" s="1870"/>
      <c r="I8" s="150" t="s">
        <v>514</v>
      </c>
      <c r="J8" s="737">
        <f>CRÍTICA_IGP1!J8</f>
        <v>0</v>
      </c>
      <c r="K8" s="153" t="s">
        <v>542</v>
      </c>
      <c r="L8" s="154"/>
      <c r="M8" s="45"/>
      <c r="N8" s="758">
        <f>CRÍTICA_IGP1!N8</f>
        <v>0</v>
      </c>
      <c r="O8" s="1065"/>
      <c r="P8" s="18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9"/>
      <c r="AD8" s="70"/>
      <c r="AE8" s="70"/>
      <c r="AF8" s="70"/>
      <c r="AG8" s="69"/>
      <c r="AH8" s="69"/>
      <c r="AI8" s="69"/>
      <c r="AJ8" s="69"/>
      <c r="AK8" s="69"/>
      <c r="AL8" s="69"/>
      <c r="AM8" s="69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82"/>
    </row>
    <row r="9" spans="1:53" ht="13.5" customHeight="1" x14ac:dyDescent="0.15">
      <c r="A9" s="362" t="s">
        <v>592</v>
      </c>
      <c r="B9" s="149" t="s">
        <v>732</v>
      </c>
      <c r="C9" s="1870">
        <f>CRÍTICA_IGP1!C9</f>
        <v>0</v>
      </c>
      <c r="D9" s="1870"/>
      <c r="E9" s="1870"/>
      <c r="F9" s="1870"/>
      <c r="G9" s="1870"/>
      <c r="H9" s="1870"/>
      <c r="I9" s="150" t="s">
        <v>514</v>
      </c>
      <c r="J9" s="737">
        <f>CRÍTICA_IGP1!J9</f>
        <v>0</v>
      </c>
      <c r="K9" s="153" t="s">
        <v>443</v>
      </c>
      <c r="L9" s="154"/>
      <c r="M9" s="155"/>
      <c r="N9" s="758">
        <f>CRÍTICA_IGP1!N9</f>
        <v>0</v>
      </c>
      <c r="O9" s="1055">
        <f>IF($N$9=0,0,O$10-N9)</f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9"/>
      <c r="AD9" s="70"/>
      <c r="AE9" s="70"/>
      <c r="AF9" s="70"/>
      <c r="AG9" s="69"/>
      <c r="AH9" s="69"/>
      <c r="AI9" s="69"/>
      <c r="AJ9" s="69"/>
      <c r="AK9" s="69"/>
      <c r="AL9" s="69"/>
      <c r="AM9" s="69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82"/>
    </row>
    <row r="10" spans="1:53" x14ac:dyDescent="0.15">
      <c r="A10" s="295"/>
      <c r="B10" s="149" t="s">
        <v>733</v>
      </c>
      <c r="C10" s="156"/>
      <c r="D10" s="656">
        <f>CRÍTICA_IGP1!D10</f>
        <v>0</v>
      </c>
      <c r="E10" s="150" t="s">
        <v>439</v>
      </c>
      <c r="F10" s="150"/>
      <c r="G10" s="656">
        <f>CRÍTICA_IGP1!G10</f>
        <v>0</v>
      </c>
      <c r="H10" s="150" t="s">
        <v>440</v>
      </c>
      <c r="I10" s="150"/>
      <c r="J10" s="150"/>
      <c r="K10" s="14" t="s">
        <v>727</v>
      </c>
      <c r="L10" s="150"/>
      <c r="M10" s="150"/>
      <c r="N10" s="250" t="str">
        <f>IF($O$10=0,"-",$O$11)</f>
        <v>-</v>
      </c>
      <c r="O10" s="1066">
        <f>IF($K$2=$O$3,IF($D$14="X",$R$12,IF($G$14="X",$H$19,0)),IF($K$2=$O$2,$R$11,IF($K$2=$O$4,$R$13,$H$19)))</f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9"/>
      <c r="AD10" s="70"/>
      <c r="AE10" s="70"/>
      <c r="AF10" s="70"/>
      <c r="AG10" s="69"/>
      <c r="AH10" s="69"/>
      <c r="AI10" s="69"/>
      <c r="AJ10" s="69"/>
      <c r="AK10" s="69"/>
      <c r="AL10" s="69"/>
      <c r="AM10" s="69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82"/>
    </row>
    <row r="11" spans="1:53" x14ac:dyDescent="0.15">
      <c r="A11" s="295"/>
      <c r="B11" s="149"/>
      <c r="C11" s="150"/>
      <c r="D11" s="150"/>
      <c r="E11" s="150"/>
      <c r="F11" s="150"/>
      <c r="G11" s="150"/>
      <c r="H11" s="150"/>
      <c r="I11" s="150"/>
      <c r="J11" s="150"/>
      <c r="K11" s="153" t="s">
        <v>737</v>
      </c>
      <c r="L11" s="1839"/>
      <c r="M11" s="1839"/>
      <c r="N11" s="157">
        <f>IF(G10="x",ROUNDDOWN((O9-12)/365,0),ROUNDDOWN((O9-14)/365,0))</f>
        <v>0</v>
      </c>
      <c r="O11" s="1054">
        <f>IF($D$14="X",IF($E$45&lt;=$O$10,$E$45,$O$10),$O$10)</f>
        <v>0</v>
      </c>
      <c r="P11" s="11" t="s">
        <v>715</v>
      </c>
      <c r="Q11" s="245">
        <v>36145</v>
      </c>
      <c r="R11" s="253">
        <f>IF($H$19&lt;36144,$H$19,36144)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69"/>
      <c r="AD11" s="70"/>
      <c r="AE11" s="70"/>
      <c r="AF11" s="70"/>
      <c r="AG11" s="69"/>
      <c r="AH11" s="69"/>
      <c r="AI11" s="69"/>
      <c r="AJ11" s="69"/>
      <c r="AK11" s="69"/>
      <c r="AL11" s="69"/>
      <c r="AM11" s="6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82"/>
    </row>
    <row r="12" spans="1:53" x14ac:dyDescent="0.15">
      <c r="A12" s="295"/>
      <c r="B12" s="149" t="s">
        <v>734</v>
      </c>
      <c r="C12" s="156"/>
      <c r="D12" s="656">
        <f>CRÍTICA_IGP1!D12</f>
        <v>0</v>
      </c>
      <c r="E12" s="45" t="s">
        <v>446</v>
      </c>
      <c r="F12" s="150"/>
      <c r="G12" s="656">
        <f>CRÍTICA_IGP1!G12</f>
        <v>0</v>
      </c>
      <c r="H12" s="45" t="s">
        <v>447</v>
      </c>
      <c r="I12" s="153"/>
      <c r="J12" s="150"/>
      <c r="K12" s="150"/>
      <c r="L12" s="154"/>
      <c r="M12" s="155" t="s">
        <v>349</v>
      </c>
      <c r="N12" s="158" t="s">
        <v>333</v>
      </c>
      <c r="O12" s="1065"/>
      <c r="P12" s="11" t="s">
        <v>717</v>
      </c>
      <c r="Q12" s="246">
        <v>38037</v>
      </c>
      <c r="R12" s="253">
        <f>IF($H$19&lt;38036,$H$19,38036)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69"/>
      <c r="AD12" s="70"/>
      <c r="AE12" s="70"/>
      <c r="AF12" s="70"/>
      <c r="AG12" s="69"/>
      <c r="AH12" s="69"/>
      <c r="AI12" s="69"/>
      <c r="AJ12" s="69"/>
      <c r="AK12" s="69"/>
      <c r="AL12" s="69"/>
      <c r="AM12" s="69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82"/>
    </row>
    <row r="13" spans="1:53" ht="13.5" customHeight="1" x14ac:dyDescent="0.15">
      <c r="A13" s="295"/>
      <c r="B13" s="149"/>
      <c r="C13" s="156"/>
      <c r="D13" s="45"/>
      <c r="E13" s="45"/>
      <c r="F13" s="150"/>
      <c r="G13" s="45"/>
      <c r="H13" s="45"/>
      <c r="I13" s="150"/>
      <c r="J13" s="150" t="s">
        <v>515</v>
      </c>
      <c r="K13" s="150"/>
      <c r="L13" s="154"/>
      <c r="M13" s="159">
        <f>ROUNDDOWN($O$13/365,0)</f>
        <v>0</v>
      </c>
      <c r="N13" s="157">
        <f>O13-(M13*365)</f>
        <v>0</v>
      </c>
      <c r="O13" s="1132">
        <f>IF($J$8=0,0,O$10-$J$8-$O$63-$O$61)</f>
        <v>0</v>
      </c>
      <c r="P13" s="11" t="s">
        <v>716</v>
      </c>
      <c r="Q13" s="245">
        <v>37986</v>
      </c>
      <c r="R13" s="253">
        <f>IF($H$19&lt;37985,$H$19,37985)</f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69"/>
      <c r="AD13" s="70"/>
      <c r="AE13" s="70"/>
      <c r="AF13" s="70"/>
      <c r="AG13" s="69"/>
      <c r="AH13" s="69"/>
      <c r="AI13" s="69"/>
      <c r="AJ13" s="69"/>
      <c r="AK13" s="69"/>
      <c r="AL13" s="69"/>
      <c r="AM13" s="69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82"/>
    </row>
    <row r="14" spans="1:53" x14ac:dyDescent="0.15">
      <c r="A14" s="295"/>
      <c r="B14" s="249" t="s">
        <v>735</v>
      </c>
      <c r="C14" s="150"/>
      <c r="D14" s="656"/>
      <c r="E14" s="1835" t="s">
        <v>728</v>
      </c>
      <c r="F14" s="1872"/>
      <c r="G14" s="656" t="s">
        <v>744</v>
      </c>
      <c r="H14" s="1835" t="s">
        <v>729</v>
      </c>
      <c r="I14" s="1836"/>
      <c r="J14" s="150" t="s">
        <v>525</v>
      </c>
      <c r="K14" s="150"/>
      <c r="L14" s="154"/>
      <c r="M14" s="159">
        <f>ROUNDDOWN($O$14/365,0)</f>
        <v>0</v>
      </c>
      <c r="N14" s="157">
        <f>O14-(M14*365)</f>
        <v>0</v>
      </c>
      <c r="O14" s="1132">
        <f>IF($J$9=0,0,O$10-$J$9-$O$63-$O$61)</f>
        <v>0</v>
      </c>
      <c r="P14" s="11" t="s">
        <v>545</v>
      </c>
      <c r="Q14" s="245">
        <v>32421</v>
      </c>
      <c r="R14" s="245"/>
      <c r="S14" s="5"/>
      <c r="T14" s="5"/>
      <c r="U14" s="5"/>
      <c r="V14" s="5"/>
      <c r="W14" s="5"/>
      <c r="X14" s="5"/>
      <c r="Y14" s="5"/>
      <c r="Z14" s="5"/>
      <c r="AA14" s="5"/>
      <c r="AB14" s="5"/>
      <c r="AC14" s="69"/>
      <c r="AD14" s="70"/>
      <c r="AE14" s="70"/>
      <c r="AF14" s="70"/>
      <c r="AG14" s="69"/>
      <c r="AH14" s="69"/>
      <c r="AI14" s="69"/>
      <c r="AJ14" s="69"/>
      <c r="AK14" s="69"/>
      <c r="AL14" s="69"/>
      <c r="AM14" s="69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82"/>
    </row>
    <row r="15" spans="1:53" ht="19.5" customHeight="1" x14ac:dyDescent="0.15">
      <c r="A15" s="295"/>
      <c r="B15" s="251" t="s">
        <v>736</v>
      </c>
      <c r="C15" s="160"/>
      <c r="D15" s="161"/>
      <c r="E15" s="161"/>
      <c r="F15" s="131"/>
      <c r="G15" s="1942" t="str">
        <f>CRÍTICA_IGP1!G15</f>
        <v>TRIÊNIO</v>
      </c>
      <c r="H15" s="1942"/>
      <c r="I15" s="1942"/>
      <c r="J15" s="162" t="s">
        <v>526</v>
      </c>
      <c r="K15" s="162"/>
      <c r="L15" s="163"/>
      <c r="M15" s="164">
        <f>ROUNDDOWN($O$15/365,0)</f>
        <v>0</v>
      </c>
      <c r="N15" s="165">
        <f>O15-(M15*365)</f>
        <v>0</v>
      </c>
      <c r="O15" s="1133">
        <f>IF(AND('MTS - MAPA DE TEMPO DE SERVIÇO'!$N$35="SIM",'MTS - MAPA DE TEMPO DE SERVIÇO'!$N$51="SIM"),$O$16,IF(AND('MTS - MAPA DE TEMPO DE SERVIÇO'!$N$35="SIM",'MTS - MAPA DE TEMPO DE SERVIÇO'!$N$51="NÃO"),$O$17,IF(AND('MTS - MAPA DE TEMPO DE SERVIÇO'!$N$35="NÃO",'MTS - MAPA DE TEMPO DE SERVIÇO'!$N$51="SIM"),$O$18,IF(AND('MTS - MAPA DE TEMPO DE SERVIÇO'!$N$35="NÃO",'MTS - MAPA DE TEMPO DE SERVIÇO'!$N$51="NÃO"),$O$19,$O$16))))</f>
        <v>0</v>
      </c>
      <c r="P15" s="11" t="s">
        <v>705</v>
      </c>
      <c r="Q15" s="245">
        <v>35915</v>
      </c>
      <c r="R15" s="245"/>
      <c r="S15" s="5"/>
      <c r="T15" s="5"/>
      <c r="U15" s="5"/>
      <c r="V15" s="5"/>
      <c r="W15" s="5"/>
      <c r="X15" s="5"/>
      <c r="Y15" s="5"/>
      <c r="Z15" s="5"/>
      <c r="AA15" s="5"/>
      <c r="AB15" s="5"/>
      <c r="AC15" s="69"/>
      <c r="AD15" s="70"/>
      <c r="AE15" s="70"/>
      <c r="AF15" s="70"/>
      <c r="AG15" s="69"/>
      <c r="AH15" s="69"/>
      <c r="AI15" s="69"/>
      <c r="AJ15" s="69"/>
      <c r="AK15" s="69"/>
      <c r="AL15" s="69"/>
      <c r="AM15" s="69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82"/>
    </row>
    <row r="16" spans="1:53" x14ac:dyDescent="0.15">
      <c r="A16" s="295"/>
      <c r="N16" s="658"/>
      <c r="O16" s="1133">
        <f>IF($N$10&lt;$Q$11,SUM($F$27:$F$34),IF($N$10&lt;$Q$12,SUM($F$27:$F$34)+$H$51-$O$20,SUM($F$27:$F$34)+$H$51+$H$60-$O$22))</f>
        <v>0</v>
      </c>
      <c r="AC16" s="69"/>
      <c r="AD16" s="70"/>
      <c r="AE16" s="70"/>
      <c r="AF16" s="70"/>
      <c r="AG16" s="69"/>
      <c r="AH16" s="69"/>
      <c r="AI16" s="69"/>
      <c r="AJ16" s="69"/>
      <c r="AK16" s="69"/>
      <c r="AL16" s="69"/>
      <c r="AM16" s="69"/>
      <c r="BA16" s="80"/>
    </row>
    <row r="17" spans="1:53" x14ac:dyDescent="0.15">
      <c r="A17" s="295"/>
      <c r="B17" s="659" t="s">
        <v>355</v>
      </c>
      <c r="C17" s="660"/>
      <c r="D17" s="660"/>
      <c r="E17" s="180"/>
      <c r="F17" s="180"/>
      <c r="G17" s="180"/>
      <c r="H17" s="180"/>
      <c r="I17" s="180"/>
      <c r="J17" s="180"/>
      <c r="K17" s="180"/>
      <c r="L17" s="180"/>
      <c r="M17" s="180"/>
      <c r="N17" s="661"/>
      <c r="O17" s="1133">
        <f>IF($N$10&lt;$Q$11,SUM($F$27:$F$34),IF($N$10&lt;$Q$12,SUM($F$27:$F$34)+$H$51-$O$20,SUM($F$27:$F$34)+$H$51-$O$20+$H$60))</f>
        <v>0</v>
      </c>
      <c r="P17" s="21" t="s">
        <v>696</v>
      </c>
      <c r="AC17" s="69"/>
      <c r="AD17" s="70"/>
      <c r="AE17" s="70"/>
      <c r="AF17" s="70"/>
      <c r="AG17" s="69"/>
      <c r="AH17" s="69"/>
      <c r="AI17" s="69"/>
      <c r="AJ17" s="69"/>
      <c r="AK17" s="69"/>
      <c r="AL17" s="69"/>
      <c r="AM17" s="69"/>
      <c r="BA17" s="80"/>
    </row>
    <row r="18" spans="1:53" x14ac:dyDescent="0.15">
      <c r="A18" s="295"/>
      <c r="B18" s="149"/>
      <c r="C18" s="45"/>
      <c r="D18" s="45"/>
      <c r="E18" s="150"/>
      <c r="F18" s="150"/>
      <c r="G18" s="150"/>
      <c r="H18" s="150"/>
      <c r="I18" s="150"/>
      <c r="J18" s="1821" t="s">
        <v>714</v>
      </c>
      <c r="K18" s="1822"/>
      <c r="L18" s="1822"/>
      <c r="M18" s="1822"/>
      <c r="N18" s="1823"/>
      <c r="O18" s="1133">
        <f>IF($N$10&lt;$Q$11,SUM($F$27:$F$34),IF($N$10&lt;$Q$12,SUM($F$27:$F$34)+$H$51,SUM($F$27:$F$34)+$H$51+$H$60-$O$21))</f>
        <v>0</v>
      </c>
      <c r="P18" s="25" t="s">
        <v>527</v>
      </c>
      <c r="AC18" s="69"/>
      <c r="AD18" s="70"/>
      <c r="AE18" s="70"/>
      <c r="AF18" s="70"/>
      <c r="AG18" s="69"/>
      <c r="AH18" s="69"/>
      <c r="AI18" s="69"/>
      <c r="AJ18" s="69"/>
      <c r="AK18" s="69"/>
      <c r="AL18" s="69"/>
      <c r="AM18" s="69"/>
      <c r="BA18" s="80"/>
    </row>
    <row r="19" spans="1:53" ht="15.75" customHeight="1" x14ac:dyDescent="0.15">
      <c r="A19" s="295"/>
      <c r="B19" s="149" t="s">
        <v>706</v>
      </c>
      <c r="C19" s="45"/>
      <c r="D19" s="45" t="s">
        <v>707</v>
      </c>
      <c r="E19" s="159"/>
      <c r="F19" s="150" t="s">
        <v>709</v>
      </c>
      <c r="G19" s="150"/>
      <c r="H19" s="1837">
        <f>CRÍTICA_IGP1!H19</f>
        <v>0</v>
      </c>
      <c r="I19" s="1838"/>
      <c r="J19" s="1867" t="s">
        <v>708</v>
      </c>
      <c r="K19" s="1868"/>
      <c r="L19" s="1868"/>
      <c r="M19" s="1869"/>
      <c r="N19" s="171"/>
      <c r="O19" s="1133">
        <f>IF($N$10&lt;$Q$11,SUM($F$27:$F$34),IF($N$10&lt;$Q$12,SUM($F$27:$F$34)+$H$51,SUM($F$27:$F$34)+$H$51+$H$60))</f>
        <v>0</v>
      </c>
      <c r="P19" s="14" t="s">
        <v>613</v>
      </c>
      <c r="AC19" s="69"/>
      <c r="AD19" s="70"/>
      <c r="AE19" s="70"/>
      <c r="AF19" s="70"/>
      <c r="AG19" s="69"/>
      <c r="AH19" s="69"/>
      <c r="AI19" s="69"/>
      <c r="AJ19" s="69"/>
      <c r="AK19" s="69"/>
      <c r="AL19" s="69"/>
      <c r="AM19" s="69"/>
      <c r="BA19" s="80"/>
    </row>
    <row r="20" spans="1:53" ht="15.75" customHeight="1" x14ac:dyDescent="0.15">
      <c r="A20" s="295"/>
      <c r="B20" s="149" t="s">
        <v>712</v>
      </c>
      <c r="C20" s="45"/>
      <c r="D20" s="45" t="s">
        <v>707</v>
      </c>
      <c r="E20" s="260"/>
      <c r="F20" s="150" t="s">
        <v>710</v>
      </c>
      <c r="G20" s="150"/>
      <c r="H20" s="1938"/>
      <c r="I20" s="1938"/>
      <c r="J20" s="1864" t="s">
        <v>357</v>
      </c>
      <c r="K20" s="1865"/>
      <c r="L20" s="1865"/>
      <c r="M20" s="1866"/>
      <c r="N20" s="171"/>
      <c r="O20" s="1134">
        <f>'MTS - MAPA DE TEMPO DE SERVIÇO'!H42</f>
        <v>0</v>
      </c>
      <c r="P20" s="14" t="s">
        <v>547</v>
      </c>
      <c r="AC20" s="69"/>
      <c r="AD20" s="70"/>
      <c r="AE20" s="70"/>
      <c r="AF20" s="70"/>
      <c r="AG20" s="69"/>
      <c r="AH20" s="69"/>
      <c r="AI20" s="69"/>
      <c r="AJ20" s="69"/>
      <c r="AK20" s="69"/>
      <c r="AL20" s="69"/>
      <c r="AM20" s="69"/>
      <c r="BA20" s="80"/>
    </row>
    <row r="21" spans="1:53" x14ac:dyDescent="0.15">
      <c r="A21" s="295"/>
      <c r="B21" s="149" t="s">
        <v>711</v>
      </c>
      <c r="C21" s="45"/>
      <c r="D21" s="45" t="s">
        <v>707</v>
      </c>
      <c r="E21" s="260"/>
      <c r="F21" s="150" t="s">
        <v>713</v>
      </c>
      <c r="G21" s="150"/>
      <c r="H21" s="662"/>
      <c r="I21" s="150"/>
      <c r="J21" s="663"/>
      <c r="K21" s="5"/>
      <c r="L21" s="5"/>
      <c r="M21" s="5"/>
      <c r="N21" s="76"/>
      <c r="O21" s="1134">
        <f>'MTS - MAPA DE TEMPO DE SERVIÇO'!H58</f>
        <v>0</v>
      </c>
      <c r="P21" s="14" t="s">
        <v>702</v>
      </c>
      <c r="AC21" s="69"/>
      <c r="AD21" s="70"/>
      <c r="AE21" s="70"/>
      <c r="AF21" s="70"/>
      <c r="AG21" s="69"/>
      <c r="AH21" s="69"/>
      <c r="AI21" s="69"/>
      <c r="AJ21" s="69"/>
      <c r="AK21" s="69"/>
      <c r="AL21" s="69"/>
      <c r="AM21" s="69"/>
      <c r="BA21" s="80"/>
    </row>
    <row r="22" spans="1:53" ht="13.5" x14ac:dyDescent="0.15">
      <c r="A22" s="295"/>
      <c r="B22" s="664"/>
      <c r="C22" s="665"/>
      <c r="D22" s="665"/>
      <c r="E22" s="131"/>
      <c r="F22" s="131"/>
      <c r="G22" s="131"/>
      <c r="H22" s="131"/>
      <c r="I22" s="131"/>
      <c r="J22" s="131"/>
      <c r="K22" s="131"/>
      <c r="L22" s="131"/>
      <c r="M22" s="131"/>
      <c r="N22" s="666"/>
      <c r="O22" s="1135">
        <f>SUM(O20:O21)</f>
        <v>0</v>
      </c>
      <c r="AC22" s="69"/>
      <c r="AD22" s="70"/>
      <c r="AE22" s="70"/>
      <c r="AF22" s="70"/>
      <c r="AG22" s="69"/>
      <c r="AH22" s="69"/>
      <c r="AI22" s="69"/>
      <c r="AJ22" s="69"/>
      <c r="AK22" s="69"/>
      <c r="AL22" s="69"/>
      <c r="AM22" s="69"/>
      <c r="BA22" s="80"/>
    </row>
    <row r="23" spans="1:53" x14ac:dyDescent="0.15">
      <c r="A23" s="295"/>
      <c r="B23" s="667" t="s">
        <v>330</v>
      </c>
      <c r="C23" s="668"/>
      <c r="D23" s="43"/>
      <c r="N23" s="658"/>
      <c r="O23" s="390"/>
      <c r="P23" s="77" t="s">
        <v>599</v>
      </c>
      <c r="Q23" s="77">
        <v>1</v>
      </c>
      <c r="R23" s="77">
        <v>2</v>
      </c>
      <c r="S23" s="77">
        <v>3</v>
      </c>
      <c r="T23" s="77">
        <v>4</v>
      </c>
      <c r="U23" s="77">
        <v>5</v>
      </c>
      <c r="V23" s="77">
        <v>6</v>
      </c>
      <c r="W23" s="77">
        <v>7</v>
      </c>
      <c r="X23" s="77">
        <v>8</v>
      </c>
      <c r="Y23" s="77">
        <v>9</v>
      </c>
      <c r="Z23" s="77">
        <v>10</v>
      </c>
      <c r="AA23" s="77">
        <v>11</v>
      </c>
      <c r="AB23" s="77">
        <v>12</v>
      </c>
      <c r="AC23" s="77">
        <v>13</v>
      </c>
      <c r="AD23" s="77">
        <v>14</v>
      </c>
      <c r="AE23" s="77">
        <v>15</v>
      </c>
      <c r="AF23" s="77">
        <v>16</v>
      </c>
      <c r="AG23" s="77">
        <v>17</v>
      </c>
      <c r="AH23" s="77">
        <v>18</v>
      </c>
      <c r="AI23" s="77">
        <v>19</v>
      </c>
      <c r="AJ23" s="77">
        <v>20</v>
      </c>
      <c r="AK23" s="77">
        <v>21</v>
      </c>
      <c r="AL23" s="77">
        <v>22</v>
      </c>
      <c r="AM23" s="77">
        <v>23</v>
      </c>
      <c r="AN23" s="77">
        <v>24</v>
      </c>
      <c r="AO23" s="77">
        <v>25</v>
      </c>
      <c r="AP23" s="77">
        <v>26</v>
      </c>
      <c r="AQ23" s="77">
        <v>27</v>
      </c>
      <c r="AR23" s="77">
        <v>28</v>
      </c>
      <c r="AS23" s="77">
        <v>29</v>
      </c>
      <c r="AT23" s="77">
        <v>30</v>
      </c>
      <c r="AU23" s="77">
        <v>31</v>
      </c>
      <c r="AV23" s="77">
        <v>32</v>
      </c>
      <c r="AW23" s="77">
        <v>33</v>
      </c>
      <c r="AX23" s="77">
        <v>34</v>
      </c>
      <c r="AY23" s="77">
        <v>35</v>
      </c>
      <c r="BA23" s="80"/>
    </row>
    <row r="24" spans="1:53" ht="6" customHeight="1" thickBot="1" x14ac:dyDescent="0.2">
      <c r="A24" s="295"/>
      <c r="B24" s="44"/>
      <c r="C24" s="43"/>
      <c r="D24" s="43"/>
      <c r="AC24" s="69"/>
      <c r="AD24" s="70"/>
      <c r="AE24" s="70"/>
      <c r="AF24" s="70"/>
      <c r="AG24" s="69"/>
      <c r="AH24" s="69"/>
      <c r="AI24" s="69"/>
      <c r="AJ24" s="69"/>
      <c r="AK24" s="69"/>
      <c r="AL24" s="69"/>
      <c r="AM24" s="69"/>
      <c r="BA24" s="80"/>
    </row>
    <row r="25" spans="1:53" ht="15" thickBot="1" x14ac:dyDescent="0.2">
      <c r="A25" s="295"/>
      <c r="B25" s="669" t="s">
        <v>331</v>
      </c>
      <c r="C25" s="670" t="s">
        <v>332</v>
      </c>
      <c r="D25" s="671"/>
      <c r="E25" s="670" t="s">
        <v>332</v>
      </c>
      <c r="F25" s="670" t="s">
        <v>333</v>
      </c>
      <c r="G25" s="672" t="s">
        <v>334</v>
      </c>
      <c r="H25" s="673"/>
      <c r="I25" s="673"/>
      <c r="J25" s="673"/>
      <c r="K25" s="673"/>
      <c r="L25" s="673"/>
      <c r="M25" s="673"/>
      <c r="N25" s="294"/>
      <c r="O25" s="391"/>
      <c r="P25" s="117" t="s">
        <v>601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9"/>
      <c r="AD25" s="120"/>
      <c r="AE25" s="120"/>
      <c r="AF25" s="120"/>
      <c r="AG25" s="119"/>
      <c r="AH25" s="119"/>
      <c r="AI25" s="119"/>
      <c r="AJ25" s="119"/>
      <c r="AK25" s="119"/>
      <c r="AL25" s="119"/>
      <c r="AM25" s="119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9"/>
      <c r="AY25" s="121"/>
      <c r="AZ25" s="69"/>
      <c r="BA25" s="83"/>
    </row>
    <row r="26" spans="1:53" x14ac:dyDescent="0.15">
      <c r="A26" s="295"/>
      <c r="B26" s="168" t="s">
        <v>335</v>
      </c>
      <c r="C26" s="674">
        <f>CRÍTICA_IGP1!C26</f>
        <v>0</v>
      </c>
      <c r="D26" s="169" t="s">
        <v>336</v>
      </c>
      <c r="E26" s="674">
        <f>CRÍTICA_IGP1!E26</f>
        <v>0</v>
      </c>
      <c r="F26" s="171">
        <f>CRÍTICA_IGP1!F26</f>
        <v>0</v>
      </c>
      <c r="G26" s="149" t="s">
        <v>337</v>
      </c>
      <c r="H26" s="5"/>
      <c r="I26" s="5"/>
      <c r="J26" s="740">
        <f>CRÍTICA_IGP1!J26</f>
        <v>0</v>
      </c>
      <c r="K26" s="150"/>
      <c r="L26" s="150" t="s">
        <v>524</v>
      </c>
      <c r="M26" s="5"/>
      <c r="N26" s="740">
        <f>CRÍTICA_IGP1!N26</f>
        <v>0</v>
      </c>
      <c r="O26" s="255"/>
      <c r="P26" s="122" t="s">
        <v>349</v>
      </c>
      <c r="Q26" s="5">
        <v>1</v>
      </c>
      <c r="R26" s="5">
        <v>2</v>
      </c>
      <c r="S26" s="5">
        <v>3</v>
      </c>
      <c r="T26" s="5">
        <v>4</v>
      </c>
      <c r="U26" s="5">
        <v>5</v>
      </c>
      <c r="V26" s="5">
        <v>6</v>
      </c>
      <c r="W26" s="5">
        <v>7</v>
      </c>
      <c r="X26" s="5">
        <v>8</v>
      </c>
      <c r="Y26" s="5">
        <v>9</v>
      </c>
      <c r="Z26" s="5">
        <v>10</v>
      </c>
      <c r="AA26" s="5">
        <v>11</v>
      </c>
      <c r="AB26" s="5">
        <v>12</v>
      </c>
      <c r="AC26" s="7">
        <v>13</v>
      </c>
      <c r="AD26" s="116">
        <v>14</v>
      </c>
      <c r="AE26" s="116">
        <v>15</v>
      </c>
      <c r="AF26" s="116">
        <v>16</v>
      </c>
      <c r="AG26" s="116">
        <v>17</v>
      </c>
      <c r="AH26" s="116">
        <v>18</v>
      </c>
      <c r="AI26" s="116">
        <v>19</v>
      </c>
      <c r="AJ26" s="116">
        <v>20</v>
      </c>
      <c r="AK26" s="116">
        <v>21</v>
      </c>
      <c r="AL26" s="116">
        <v>22</v>
      </c>
      <c r="AM26" s="116">
        <v>23</v>
      </c>
      <c r="AN26" s="116">
        <v>24</v>
      </c>
      <c r="AO26" s="116">
        <v>25</v>
      </c>
      <c r="AP26" s="116">
        <v>26</v>
      </c>
      <c r="AQ26" s="116">
        <v>27</v>
      </c>
      <c r="AR26" s="116">
        <v>28</v>
      </c>
      <c r="AS26" s="116">
        <v>29</v>
      </c>
      <c r="AT26" s="116">
        <v>30</v>
      </c>
      <c r="AU26" s="116">
        <v>31</v>
      </c>
      <c r="AV26" s="116">
        <v>32</v>
      </c>
      <c r="AW26" s="116">
        <v>33</v>
      </c>
      <c r="AX26" s="116">
        <v>34</v>
      </c>
      <c r="AY26" s="123">
        <v>35</v>
      </c>
      <c r="AZ26" s="5"/>
      <c r="BA26" s="82"/>
    </row>
    <row r="27" spans="1:53" x14ac:dyDescent="0.15">
      <c r="A27" s="295"/>
      <c r="B27" s="149" t="s">
        <v>338</v>
      </c>
      <c r="C27" s="674">
        <f>CRÍTICA_IGP1!C27</f>
        <v>0</v>
      </c>
      <c r="D27" s="170" t="s">
        <v>336</v>
      </c>
      <c r="E27" s="674">
        <f>CRÍTICA_IGP1!E27</f>
        <v>0</v>
      </c>
      <c r="F27" s="171">
        <f>CRÍTICA_IGP1!F27</f>
        <v>0</v>
      </c>
      <c r="G27" s="149" t="s">
        <v>339</v>
      </c>
      <c r="H27" s="5"/>
      <c r="I27" s="5"/>
      <c r="J27" s="740" t="e">
        <f>CRÍTICA_IGP1!J27</f>
        <v>#REF!</v>
      </c>
      <c r="K27" s="150"/>
      <c r="L27" s="150" t="s">
        <v>524</v>
      </c>
      <c r="M27" s="5"/>
      <c r="N27" s="740">
        <f>CRÍTICA_IGP1!N27</f>
        <v>0</v>
      </c>
      <c r="O27" s="391"/>
      <c r="P27" s="124" t="s">
        <v>351</v>
      </c>
      <c r="Q27" s="125">
        <v>0.01</v>
      </c>
      <c r="R27" s="125">
        <v>0.02</v>
      </c>
      <c r="S27" s="125">
        <v>0.03</v>
      </c>
      <c r="T27" s="125">
        <v>0.04</v>
      </c>
      <c r="U27" s="125">
        <v>0.05</v>
      </c>
      <c r="V27" s="125">
        <v>0.06</v>
      </c>
      <c r="W27" s="125">
        <v>7.0000000000000007E-2</v>
      </c>
      <c r="X27" s="125">
        <v>0.08</v>
      </c>
      <c r="Y27" s="125">
        <v>0.09</v>
      </c>
      <c r="Z27" s="125">
        <v>0.1</v>
      </c>
      <c r="AA27" s="125">
        <v>0.11</v>
      </c>
      <c r="AB27" s="125">
        <v>0.12</v>
      </c>
      <c r="AC27" s="125">
        <v>0.13</v>
      </c>
      <c r="AD27" s="125">
        <v>0.14000000000000001</v>
      </c>
      <c r="AE27" s="125">
        <v>0.15</v>
      </c>
      <c r="AF27" s="125">
        <v>0.16</v>
      </c>
      <c r="AG27" s="125">
        <v>0.17</v>
      </c>
      <c r="AH27" s="125">
        <v>0.18</v>
      </c>
      <c r="AI27" s="125">
        <v>0.19</v>
      </c>
      <c r="AJ27" s="125">
        <v>0.2</v>
      </c>
      <c r="AK27" s="125">
        <v>0.21</v>
      </c>
      <c r="AL27" s="125">
        <v>0.22</v>
      </c>
      <c r="AM27" s="125">
        <v>0.23</v>
      </c>
      <c r="AN27" s="125">
        <v>0.24</v>
      </c>
      <c r="AO27" s="125">
        <v>0.25</v>
      </c>
      <c r="AP27" s="125">
        <v>0.26</v>
      </c>
      <c r="AQ27" s="125">
        <v>0.27</v>
      </c>
      <c r="AR27" s="125">
        <v>0.28000000000000003</v>
      </c>
      <c r="AS27" s="125">
        <v>0.28999999999999998</v>
      </c>
      <c r="AT27" s="125">
        <v>0.3</v>
      </c>
      <c r="AU27" s="125">
        <v>0.31</v>
      </c>
      <c r="AV27" s="125">
        <v>0.32</v>
      </c>
      <c r="AW27" s="125">
        <v>0.33</v>
      </c>
      <c r="AX27" s="125">
        <v>0.34</v>
      </c>
      <c r="AY27" s="126">
        <v>0.35</v>
      </c>
      <c r="AZ27" s="5"/>
      <c r="BA27" s="82"/>
    </row>
    <row r="28" spans="1:53" x14ac:dyDescent="0.15">
      <c r="A28" s="295"/>
      <c r="B28" s="149" t="s">
        <v>338</v>
      </c>
      <c r="C28" s="674">
        <f>CRÍTICA_IGP1!C28</f>
        <v>0</v>
      </c>
      <c r="D28" s="170" t="s">
        <v>336</v>
      </c>
      <c r="E28" s="674">
        <f>CRÍTICA_IGP1!E28</f>
        <v>0</v>
      </c>
      <c r="F28" s="171">
        <f>IF(C28=0,0,IF(E28=0,0,E28-C28+1))</f>
        <v>0</v>
      </c>
      <c r="G28" s="149" t="s">
        <v>339</v>
      </c>
      <c r="H28" s="5"/>
      <c r="I28" s="5"/>
      <c r="J28" s="740" t="e">
        <f>CRÍTICA_IGP1!J28</f>
        <v>#REF!</v>
      </c>
      <c r="K28" s="150"/>
      <c r="L28" s="150" t="s">
        <v>524</v>
      </c>
      <c r="M28" s="5"/>
      <c r="N28" s="740">
        <f>CRÍTICA_IGP1!N28</f>
        <v>0</v>
      </c>
      <c r="O28" s="39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5"/>
      <c r="BA28" s="82"/>
    </row>
    <row r="29" spans="1:53" x14ac:dyDescent="0.15">
      <c r="A29" s="295"/>
      <c r="B29" s="149" t="s">
        <v>691</v>
      </c>
      <c r="C29" s="674">
        <f>CRÍTICA_IGP1!C29</f>
        <v>0</v>
      </c>
      <c r="D29" s="170" t="s">
        <v>336</v>
      </c>
      <c r="E29" s="674">
        <f>CRÍTICA_IGP1!E29</f>
        <v>0</v>
      </c>
      <c r="F29" s="171">
        <f>CRÍTICA_IGP1!F29</f>
        <v>0</v>
      </c>
      <c r="G29" s="149" t="s">
        <v>339</v>
      </c>
      <c r="H29" s="5"/>
      <c r="I29" s="5"/>
      <c r="J29" s="740">
        <f>CRÍTICA_IGP1!J29</f>
        <v>0</v>
      </c>
      <c r="K29" s="150"/>
      <c r="L29" s="5"/>
      <c r="M29" s="5"/>
      <c r="N29" s="676"/>
      <c r="O29" s="391"/>
      <c r="P29" s="117" t="s">
        <v>602</v>
      </c>
      <c r="Q29" s="118">
        <v>1</v>
      </c>
      <c r="R29" s="118">
        <v>2</v>
      </c>
      <c r="S29" s="118">
        <v>3</v>
      </c>
      <c r="T29" s="118">
        <v>4</v>
      </c>
      <c r="U29" s="118">
        <v>5</v>
      </c>
      <c r="V29" s="118">
        <v>6</v>
      </c>
      <c r="W29" s="118">
        <v>7</v>
      </c>
      <c r="X29" s="118">
        <v>8</v>
      </c>
      <c r="Y29" s="118">
        <v>9</v>
      </c>
      <c r="Z29" s="118">
        <v>10</v>
      </c>
      <c r="AA29" s="118">
        <v>11</v>
      </c>
      <c r="AB29" s="118">
        <v>12</v>
      </c>
      <c r="AC29" s="118">
        <v>13</v>
      </c>
      <c r="AD29" s="118">
        <v>14</v>
      </c>
      <c r="AE29" s="118">
        <v>15</v>
      </c>
      <c r="AF29" s="118">
        <v>16</v>
      </c>
      <c r="AG29" s="118">
        <v>17</v>
      </c>
      <c r="AH29" s="118">
        <v>18</v>
      </c>
      <c r="AI29" s="118">
        <v>19</v>
      </c>
      <c r="AJ29" s="118">
        <v>20</v>
      </c>
      <c r="AK29" s="118">
        <v>21</v>
      </c>
      <c r="AL29" s="118">
        <v>22</v>
      </c>
      <c r="AM29" s="118">
        <v>23</v>
      </c>
      <c r="AN29" s="118">
        <v>24</v>
      </c>
      <c r="AO29" s="118">
        <v>25</v>
      </c>
      <c r="AP29" s="118">
        <v>26</v>
      </c>
      <c r="AQ29" s="118">
        <v>27</v>
      </c>
      <c r="AR29" s="118">
        <v>28</v>
      </c>
      <c r="AS29" s="118">
        <v>29</v>
      </c>
      <c r="AT29" s="127">
        <v>30</v>
      </c>
      <c r="AU29" s="5"/>
      <c r="AV29" s="5"/>
      <c r="AW29" s="5"/>
      <c r="AX29" s="5"/>
      <c r="AY29" s="5"/>
      <c r="AZ29" s="5"/>
      <c r="BA29" s="82"/>
    </row>
    <row r="30" spans="1:53" x14ac:dyDescent="0.15">
      <c r="A30" s="295"/>
      <c r="B30" s="149" t="s">
        <v>606</v>
      </c>
      <c r="C30" s="674">
        <f>CRÍTICA_IGP1!C30</f>
        <v>0</v>
      </c>
      <c r="D30" s="170" t="s">
        <v>336</v>
      </c>
      <c r="E30" s="674">
        <f>CRÍTICA_IGP1!E30</f>
        <v>0</v>
      </c>
      <c r="F30" s="171">
        <f>CRÍTICA_IGP1!F30</f>
        <v>0</v>
      </c>
      <c r="G30" s="149" t="s">
        <v>339</v>
      </c>
      <c r="H30" s="5"/>
      <c r="I30" s="5"/>
      <c r="J30" s="740">
        <f>CRÍTICA_IGP1!J30</f>
        <v>0</v>
      </c>
      <c r="K30" s="150"/>
      <c r="L30" s="5"/>
      <c r="M30" s="5"/>
      <c r="N30" s="298"/>
      <c r="O30" s="391"/>
      <c r="P30" s="124" t="s">
        <v>351</v>
      </c>
      <c r="Q30" s="128">
        <v>1.4999999999999999E-2</v>
      </c>
      <c r="R30" s="125">
        <v>0.03</v>
      </c>
      <c r="S30" s="128">
        <v>4.4999999999999998E-2</v>
      </c>
      <c r="T30" s="125">
        <v>0.06</v>
      </c>
      <c r="U30" s="128">
        <v>7.4999999999999997E-2</v>
      </c>
      <c r="V30" s="125">
        <v>0.09</v>
      </c>
      <c r="W30" s="128">
        <v>0.105</v>
      </c>
      <c r="X30" s="125">
        <v>0.12</v>
      </c>
      <c r="Y30" s="128">
        <v>0.13500000000000001</v>
      </c>
      <c r="Z30" s="125">
        <v>0.15</v>
      </c>
      <c r="AA30" s="128">
        <v>0.16500000000000001</v>
      </c>
      <c r="AB30" s="125">
        <v>0.18</v>
      </c>
      <c r="AC30" s="128">
        <v>0.19500000000000001</v>
      </c>
      <c r="AD30" s="125">
        <v>0.21</v>
      </c>
      <c r="AE30" s="128">
        <v>0.22500000000000001</v>
      </c>
      <c r="AF30" s="125">
        <v>0.24</v>
      </c>
      <c r="AG30" s="128">
        <v>0.255</v>
      </c>
      <c r="AH30" s="125">
        <v>0.27</v>
      </c>
      <c r="AI30" s="128">
        <v>0.28499999999999998</v>
      </c>
      <c r="AJ30" s="125">
        <v>0.3</v>
      </c>
      <c r="AK30" s="128">
        <v>0.315</v>
      </c>
      <c r="AL30" s="125">
        <v>0.33</v>
      </c>
      <c r="AM30" s="128">
        <v>0.34499999999999997</v>
      </c>
      <c r="AN30" s="125">
        <v>0.36</v>
      </c>
      <c r="AO30" s="128">
        <v>0.375</v>
      </c>
      <c r="AP30" s="125">
        <v>0.39</v>
      </c>
      <c r="AQ30" s="128">
        <v>0.40500000000000003</v>
      </c>
      <c r="AR30" s="125">
        <v>0.42</v>
      </c>
      <c r="AS30" s="128">
        <v>0.435</v>
      </c>
      <c r="AT30" s="126">
        <v>0.45</v>
      </c>
      <c r="AX30" s="5"/>
      <c r="AY30" s="5"/>
      <c r="AZ30" s="5"/>
      <c r="BA30" s="82"/>
    </row>
    <row r="31" spans="1:53" x14ac:dyDescent="0.15">
      <c r="A31" s="362"/>
      <c r="B31" s="149" t="s">
        <v>606</v>
      </c>
      <c r="C31" s="674">
        <f>CRÍTICA_IGP1!C31</f>
        <v>0</v>
      </c>
      <c r="D31" s="170" t="s">
        <v>336</v>
      </c>
      <c r="E31" s="674">
        <f>CRÍTICA_IGP1!E31</f>
        <v>0</v>
      </c>
      <c r="F31" s="171">
        <f>IF(C31=0,0,IF(E31=0,0,E31-C31+1))-N31</f>
        <v>0</v>
      </c>
      <c r="G31" s="149"/>
      <c r="H31" s="150"/>
      <c r="I31" s="150"/>
      <c r="J31" s="153" t="s">
        <v>704</v>
      </c>
      <c r="K31" s="150"/>
      <c r="L31" s="150"/>
      <c r="M31" s="150"/>
      <c r="N31" s="740">
        <f>CRÍTICA_IGP1!N31</f>
        <v>0</v>
      </c>
      <c r="O31" s="391"/>
      <c r="AD31" s="21"/>
      <c r="AE31" s="21"/>
      <c r="AF31" s="21"/>
      <c r="AU31" s="5"/>
      <c r="AV31" s="5"/>
      <c r="AW31" s="5"/>
      <c r="AX31" s="70"/>
      <c r="AY31" s="5"/>
      <c r="AZ31" s="5"/>
      <c r="BA31" s="82"/>
    </row>
    <row r="32" spans="1:53" x14ac:dyDescent="0.15">
      <c r="A32" s="362"/>
      <c r="B32" s="149" t="s">
        <v>606</v>
      </c>
      <c r="C32" s="674">
        <f>CRÍTICA_IGP1!C32</f>
        <v>0</v>
      </c>
      <c r="D32" s="170" t="s">
        <v>336</v>
      </c>
      <c r="E32" s="677">
        <f>CRÍTICA_IGP1!E32</f>
        <v>0</v>
      </c>
      <c r="F32" s="171">
        <f>IF(C32=0,0,IF(E32=0,0,E32-C32+1))</f>
        <v>0</v>
      </c>
      <c r="G32" s="71"/>
      <c r="H32" s="3">
        <f>SUM(F26:F32)+F33+F34</f>
        <v>0</v>
      </c>
      <c r="I32" s="2"/>
      <c r="J32" s="166">
        <f>ROUNDDOWN(H32/365,0)</f>
        <v>0</v>
      </c>
      <c r="K32" s="2" t="s">
        <v>347</v>
      </c>
      <c r="L32" s="167">
        <f>(H32/365-J32)*365</f>
        <v>0</v>
      </c>
      <c r="M32" s="2" t="s">
        <v>348</v>
      </c>
      <c r="N32" s="243"/>
      <c r="O32" s="391"/>
      <c r="P32" s="117" t="s">
        <v>603</v>
      </c>
      <c r="Q32" s="118">
        <v>1</v>
      </c>
      <c r="R32" s="118">
        <v>2</v>
      </c>
      <c r="S32" s="118">
        <v>3</v>
      </c>
      <c r="T32" s="118">
        <v>4</v>
      </c>
      <c r="U32" s="118">
        <v>5</v>
      </c>
      <c r="V32" s="118">
        <v>6</v>
      </c>
      <c r="W32" s="118">
        <v>7</v>
      </c>
      <c r="X32" s="118">
        <v>8</v>
      </c>
      <c r="Y32" s="118">
        <v>9</v>
      </c>
      <c r="Z32" s="118">
        <v>10</v>
      </c>
      <c r="AA32" s="118">
        <v>11</v>
      </c>
      <c r="AB32" s="118">
        <v>12</v>
      </c>
      <c r="AC32" s="119">
        <v>13</v>
      </c>
      <c r="AD32" s="120">
        <v>14</v>
      </c>
      <c r="AE32" s="120">
        <v>15</v>
      </c>
      <c r="AF32" s="139">
        <v>16</v>
      </c>
      <c r="AU32" s="26"/>
      <c r="AV32" s="26"/>
      <c r="AW32" s="26"/>
      <c r="AX32" s="26"/>
      <c r="AY32" s="5"/>
      <c r="AZ32" s="5"/>
      <c r="BA32" s="82"/>
    </row>
    <row r="33" spans="1:53" x14ac:dyDescent="0.15">
      <c r="A33" s="295"/>
      <c r="B33" s="149" t="s">
        <v>340</v>
      </c>
      <c r="C33" s="1859" t="s">
        <v>453</v>
      </c>
      <c r="D33" s="1860"/>
      <c r="E33" s="749">
        <f>CRÍTICA_IGP1!E33</f>
        <v>0</v>
      </c>
      <c r="F33" s="171">
        <f>IF(E33=0,0,E33*2*90)</f>
        <v>0</v>
      </c>
      <c r="G33" s="149" t="s">
        <v>442</v>
      </c>
      <c r="H33" s="150"/>
      <c r="I33" s="150"/>
      <c r="J33" s="150"/>
      <c r="K33" s="150"/>
      <c r="L33" s="150"/>
      <c r="M33" s="5"/>
      <c r="N33" s="32">
        <f>SUM(F27:F33)</f>
        <v>0</v>
      </c>
      <c r="O33" s="255">
        <f>SUM($F$27:$F$33)+$F$45</f>
        <v>0</v>
      </c>
      <c r="P33" s="124" t="s">
        <v>351</v>
      </c>
      <c r="Q33" s="125">
        <v>0.1</v>
      </c>
      <c r="R33" s="125">
        <v>0.12</v>
      </c>
      <c r="S33" s="125">
        <v>0.14000000000000001</v>
      </c>
      <c r="T33" s="125">
        <v>0.16</v>
      </c>
      <c r="U33" s="125">
        <v>0.18</v>
      </c>
      <c r="V33" s="125">
        <v>0.2</v>
      </c>
      <c r="W33" s="125">
        <v>0.22</v>
      </c>
      <c r="X33" s="125">
        <v>0.24</v>
      </c>
      <c r="Y33" s="125">
        <v>0.26</v>
      </c>
      <c r="Z33" s="125">
        <v>0.28000000000000003</v>
      </c>
      <c r="AA33" s="125">
        <v>0.3</v>
      </c>
      <c r="AB33" s="125">
        <v>0.32</v>
      </c>
      <c r="AC33" s="125">
        <v>0.34</v>
      </c>
      <c r="AD33" s="125">
        <v>0.36</v>
      </c>
      <c r="AE33" s="125">
        <v>0.38</v>
      </c>
      <c r="AF33" s="126">
        <v>0.4</v>
      </c>
      <c r="AG33" s="69"/>
      <c r="AX33" s="5"/>
      <c r="AY33" s="5"/>
      <c r="AZ33" s="5"/>
      <c r="BA33" s="82"/>
    </row>
    <row r="34" spans="1:53" x14ac:dyDescent="0.15">
      <c r="A34" s="374"/>
      <c r="B34" s="149" t="s">
        <v>341</v>
      </c>
      <c r="C34" s="172" t="s">
        <v>349</v>
      </c>
      <c r="D34" s="173"/>
      <c r="E34" s="749">
        <f>CRÍTICA_IGP1!E34</f>
        <v>0</v>
      </c>
      <c r="F34" s="171">
        <f>IF(E34=0,0,E34*2*30)</f>
        <v>0</v>
      </c>
      <c r="G34" s="149" t="s">
        <v>441</v>
      </c>
      <c r="H34" s="150"/>
      <c r="I34" s="150"/>
      <c r="J34" s="150"/>
      <c r="K34" s="150"/>
      <c r="L34" s="150"/>
      <c r="M34" s="5"/>
      <c r="N34" s="1">
        <f>ROUNDDOWN(N33/365,0)</f>
        <v>0</v>
      </c>
      <c r="O34" s="1058">
        <f>ROUNDDOWN($O$33/365,0)</f>
        <v>0</v>
      </c>
      <c r="AD34" s="21"/>
      <c r="AE34" s="21"/>
      <c r="AF34" s="21"/>
      <c r="AG34" s="69"/>
      <c r="AX34" s="5"/>
      <c r="AY34" s="5"/>
      <c r="AZ34" s="5"/>
      <c r="BA34" s="82"/>
    </row>
    <row r="35" spans="1:53" ht="15" thickBot="1" x14ac:dyDescent="0.2">
      <c r="A35" s="374">
        <v>32421</v>
      </c>
      <c r="B35" s="1937" t="s">
        <v>490</v>
      </c>
      <c r="C35" s="1844"/>
      <c r="D35" s="1844"/>
      <c r="E35" s="1845"/>
      <c r="F35" s="262">
        <f>IF(K2=O4,N35,IF(K2=O5,M35,0))</f>
        <v>0</v>
      </c>
      <c r="G35" s="149" t="s">
        <v>491</v>
      </c>
      <c r="H35" s="150"/>
      <c r="I35" s="150"/>
      <c r="J35" s="150"/>
      <c r="K35" s="150"/>
      <c r="L35" s="150"/>
      <c r="M35" s="379">
        <f>IF(E2=B103,IF(D12="X",IF(G10="X",ROUNDDOWN(SUM(F26:F34)*0.2,0),ROUNDDOWN(SUM(F26:F34)*0.17,0)),0),0)</f>
        <v>0</v>
      </c>
      <c r="N35" s="380">
        <f>IF(E2="VOLUNTÁRIA ESPECIAL",IF(D12="X",IF(G10="X",ROUNDDOWN(SUM(F26:F34)*0.2,0),ROUNDDOWN(SUM(F26:F34)*0.17,0)),0),0)</f>
        <v>0</v>
      </c>
      <c r="O35" s="1058"/>
      <c r="P35" s="117" t="s">
        <v>693</v>
      </c>
      <c r="Q35" s="118">
        <v>1</v>
      </c>
      <c r="R35" s="118">
        <v>2</v>
      </c>
      <c r="S35" s="118">
        <v>3</v>
      </c>
      <c r="T35" s="118">
        <v>4</v>
      </c>
      <c r="U35" s="118">
        <v>5</v>
      </c>
      <c r="V35" s="118">
        <v>6</v>
      </c>
      <c r="W35" s="118">
        <v>7</v>
      </c>
      <c r="X35" s="118">
        <v>8</v>
      </c>
      <c r="Y35" s="118">
        <v>9</v>
      </c>
      <c r="Z35" s="118">
        <v>10</v>
      </c>
      <c r="AA35" s="118">
        <v>11</v>
      </c>
      <c r="AB35" s="118">
        <v>12</v>
      </c>
      <c r="AC35" s="118">
        <v>13</v>
      </c>
      <c r="AD35" s="118">
        <v>14</v>
      </c>
      <c r="AE35" s="118">
        <v>15</v>
      </c>
      <c r="AF35" s="118">
        <v>16</v>
      </c>
      <c r="AG35" s="118">
        <v>17</v>
      </c>
      <c r="AH35" s="118">
        <v>18</v>
      </c>
      <c r="AI35" s="118">
        <v>19</v>
      </c>
      <c r="AJ35" s="118">
        <v>20</v>
      </c>
      <c r="AK35" s="118">
        <v>21</v>
      </c>
      <c r="AL35" s="118">
        <v>22</v>
      </c>
      <c r="AM35" s="118">
        <v>23</v>
      </c>
      <c r="AN35" s="118">
        <v>24</v>
      </c>
      <c r="AO35" s="118">
        <v>25</v>
      </c>
      <c r="AP35" s="118">
        <v>26</v>
      </c>
      <c r="AQ35" s="118">
        <v>27</v>
      </c>
      <c r="AR35" s="118">
        <v>28</v>
      </c>
      <c r="AS35" s="118">
        <v>29</v>
      </c>
      <c r="AT35" s="118">
        <v>30</v>
      </c>
      <c r="AU35" s="118">
        <v>31</v>
      </c>
      <c r="AV35" s="118">
        <v>32</v>
      </c>
      <c r="AW35" s="118">
        <v>33</v>
      </c>
      <c r="AX35" s="118">
        <v>34</v>
      </c>
      <c r="AY35" s="127">
        <v>35</v>
      </c>
      <c r="AZ35" s="5"/>
      <c r="BA35" s="82"/>
    </row>
    <row r="36" spans="1:53" x14ac:dyDescent="0.15">
      <c r="A36" s="375">
        <v>34298</v>
      </c>
      <c r="B36" s="263" t="s">
        <v>342</v>
      </c>
      <c r="C36" s="264"/>
      <c r="D36" s="264"/>
      <c r="E36" s="265"/>
      <c r="F36" s="266"/>
      <c r="G36" s="215" t="s">
        <v>343</v>
      </c>
      <c r="H36" s="215"/>
      <c r="I36" s="215"/>
      <c r="J36" s="215"/>
      <c r="K36" s="215"/>
      <c r="L36" s="215"/>
      <c r="M36" s="215"/>
      <c r="N36" s="679"/>
      <c r="O36" s="391"/>
      <c r="P36" s="124" t="s">
        <v>351</v>
      </c>
      <c r="Q36" s="125">
        <v>0</v>
      </c>
      <c r="R36" s="125">
        <v>0</v>
      </c>
      <c r="S36" s="125">
        <v>0.02</v>
      </c>
      <c r="T36" s="125">
        <v>0.04</v>
      </c>
      <c r="U36" s="125">
        <v>0.06</v>
      </c>
      <c r="V36" s="125">
        <v>0.08</v>
      </c>
      <c r="W36" s="125">
        <v>0.1</v>
      </c>
      <c r="X36" s="125">
        <v>0.12</v>
      </c>
      <c r="Y36" s="125">
        <v>0.14000000000000001</v>
      </c>
      <c r="Z36" s="125">
        <v>0.16</v>
      </c>
      <c r="AA36" s="125">
        <v>0.18</v>
      </c>
      <c r="AB36" s="125">
        <v>0.2</v>
      </c>
      <c r="AC36" s="125">
        <v>0.22</v>
      </c>
      <c r="AD36" s="125">
        <v>0.24</v>
      </c>
      <c r="AE36" s="125">
        <v>0.26</v>
      </c>
      <c r="AF36" s="125">
        <v>0.28000000000000003</v>
      </c>
      <c r="AG36" s="125">
        <v>0.3</v>
      </c>
      <c r="AH36" s="125">
        <v>0.32</v>
      </c>
      <c r="AI36" s="125">
        <v>0.34</v>
      </c>
      <c r="AJ36" s="125">
        <v>0.36</v>
      </c>
      <c r="AK36" s="125">
        <v>0.38</v>
      </c>
      <c r="AL36" s="125">
        <v>0.4</v>
      </c>
      <c r="AM36" s="125">
        <v>0.42</v>
      </c>
      <c r="AN36" s="125">
        <v>0.44</v>
      </c>
      <c r="AO36" s="125">
        <v>0.46</v>
      </c>
      <c r="AP36" s="125">
        <v>0.48</v>
      </c>
      <c r="AQ36" s="125">
        <v>0.5</v>
      </c>
      <c r="AR36" s="125">
        <v>0.52</v>
      </c>
      <c r="AS36" s="125">
        <v>0.54</v>
      </c>
      <c r="AT36" s="125">
        <v>0.56000000000000005</v>
      </c>
      <c r="AU36" s="125">
        <v>0.57999999999999996</v>
      </c>
      <c r="AV36" s="125">
        <v>0.6</v>
      </c>
      <c r="AW36" s="125">
        <v>0.62</v>
      </c>
      <c r="AX36" s="125">
        <v>0.64</v>
      </c>
      <c r="AY36" s="126">
        <v>0.66</v>
      </c>
      <c r="AZ36" s="5"/>
      <c r="BA36" s="82"/>
    </row>
    <row r="37" spans="1:53" ht="15" thickBot="1" x14ac:dyDescent="0.2">
      <c r="A37" s="374">
        <v>36144</v>
      </c>
      <c r="B37" s="219" t="s">
        <v>345</v>
      </c>
      <c r="C37" s="174" t="str">
        <f>IF(C38&lt;36145,C38,"REVER")</f>
        <v>REVER</v>
      </c>
      <c r="D37" s="175" t="s">
        <v>336</v>
      </c>
      <c r="E37" s="176">
        <f>IF(E38&lt;36145,E38,"REVER")</f>
        <v>0</v>
      </c>
      <c r="F37" s="157">
        <f>IF($E$37&lt;=$A$37,IF($F$38&lt;&gt;0,SUM($F$26:$F$35),0),0)</f>
        <v>0</v>
      </c>
      <c r="G37" s="150"/>
      <c r="H37" s="662">
        <f>E38</f>
        <v>0</v>
      </c>
      <c r="I37" s="150" t="s">
        <v>346</v>
      </c>
      <c r="J37" s="150"/>
      <c r="K37" s="680">
        <f>ROUNDDOWN(F37/365,0)</f>
        <v>0</v>
      </c>
      <c r="L37" s="153" t="s">
        <v>347</v>
      </c>
      <c r="M37" s="680">
        <f>(F37/365-K37)*365</f>
        <v>0</v>
      </c>
      <c r="N37" s="681" t="s">
        <v>348</v>
      </c>
      <c r="O37" s="391"/>
      <c r="AD37" s="21"/>
      <c r="AE37" s="21"/>
      <c r="AF37" s="21"/>
      <c r="AZ37" s="5"/>
      <c r="BA37" s="82"/>
    </row>
    <row r="38" spans="1:53" ht="15" thickBot="1" x14ac:dyDescent="0.2">
      <c r="A38" s="295"/>
      <c r="B38" s="267" t="s">
        <v>350</v>
      </c>
      <c r="C38" s="268" t="str">
        <f>IF(C26&gt;0,C26,IF(C27&gt;0,C27,IF(C28&gt;0,C28,IF(C29&gt;0,C29,IF(C30&gt;0,C30,IF(C31&gt;0,C31,IF(C32&gt;0,C32,"REVER")))))))</f>
        <v>REVER</v>
      </c>
      <c r="D38" s="269"/>
      <c r="E38" s="268">
        <f>MAX($E$26:$E$32)</f>
        <v>0</v>
      </c>
      <c r="F38" s="1303">
        <f>MAX($F$26:$F$32)</f>
        <v>0</v>
      </c>
      <c r="G38" s="238" t="s">
        <v>436</v>
      </c>
      <c r="H38" s="238"/>
      <c r="I38" s="238"/>
      <c r="J38" s="682"/>
      <c r="K38" s="238"/>
      <c r="L38" s="238"/>
      <c r="M38" s="683"/>
      <c r="N38" s="684"/>
      <c r="O38" s="391"/>
      <c r="P38" s="117" t="s">
        <v>344</v>
      </c>
      <c r="Q38" s="75" t="s">
        <v>596</v>
      </c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40"/>
      <c r="AD38" s="21"/>
      <c r="AE38" s="21"/>
      <c r="AF38" s="21"/>
      <c r="AZ38" s="5"/>
      <c r="BA38" s="82"/>
    </row>
    <row r="39" spans="1:53" ht="6" customHeight="1" x14ac:dyDescent="0.15">
      <c r="A39" s="295"/>
      <c r="B39" s="383" t="s">
        <v>489</v>
      </c>
      <c r="C39" s="22" t="str">
        <f>IF(C45&gt;=36145,C45,"REVER")</f>
        <v>REVER</v>
      </c>
      <c r="D39" s="22"/>
      <c r="E39" s="23" t="str">
        <f>IF(E45&lt;=38036,E45,"REVER")</f>
        <v>REVER</v>
      </c>
      <c r="F39" s="6"/>
      <c r="G39" s="6"/>
      <c r="H39" s="6"/>
      <c r="I39" s="12"/>
      <c r="J39" s="5"/>
      <c r="K39" s="5"/>
      <c r="L39" s="5"/>
      <c r="M39" s="5"/>
      <c r="N39" s="384"/>
      <c r="O39" s="391"/>
      <c r="P39" s="122" t="s">
        <v>694</v>
      </c>
      <c r="Q39" s="5">
        <v>3</v>
      </c>
      <c r="R39" s="5">
        <v>6</v>
      </c>
      <c r="S39" s="5">
        <v>9</v>
      </c>
      <c r="T39" s="5">
        <v>12</v>
      </c>
      <c r="U39" s="5">
        <v>15</v>
      </c>
      <c r="V39" s="5">
        <v>18</v>
      </c>
      <c r="W39" s="5">
        <v>21</v>
      </c>
      <c r="X39" s="5">
        <v>24</v>
      </c>
      <c r="Y39" s="5">
        <v>27</v>
      </c>
      <c r="Z39" s="5">
        <v>30</v>
      </c>
      <c r="AA39" s="5">
        <v>33</v>
      </c>
      <c r="AB39" s="141">
        <v>36</v>
      </c>
      <c r="AD39" s="21"/>
      <c r="AE39" s="21"/>
      <c r="AF39" s="21"/>
      <c r="AG39" s="26"/>
      <c r="AX39" s="5"/>
      <c r="AY39" s="5"/>
      <c r="AZ39" s="5"/>
      <c r="BA39" s="82"/>
    </row>
    <row r="40" spans="1:53" ht="15" thickBot="1" x14ac:dyDescent="0.2">
      <c r="A40" s="295"/>
      <c r="B40" s="1827" t="s">
        <v>492</v>
      </c>
      <c r="C40" s="1828"/>
      <c r="D40" s="1828"/>
      <c r="E40" s="1828"/>
      <c r="F40" s="1828"/>
      <c r="G40" s="1828"/>
      <c r="H40" s="1828"/>
      <c r="I40" s="1828"/>
      <c r="J40" s="1828"/>
      <c r="K40" s="1828"/>
      <c r="L40" s="1828"/>
      <c r="M40" s="1828"/>
      <c r="N40" s="1829"/>
      <c r="O40" s="391"/>
      <c r="P40" s="124" t="s">
        <v>351</v>
      </c>
      <c r="Q40" s="125">
        <v>0.1</v>
      </c>
      <c r="R40" s="125">
        <v>0.15</v>
      </c>
      <c r="S40" s="125">
        <v>0.2</v>
      </c>
      <c r="T40" s="125">
        <v>0.25</v>
      </c>
      <c r="U40" s="125">
        <v>0.3</v>
      </c>
      <c r="V40" s="125">
        <v>0.35</v>
      </c>
      <c r="W40" s="125">
        <v>0.4</v>
      </c>
      <c r="X40" s="125">
        <v>0.45</v>
      </c>
      <c r="Y40" s="125">
        <v>0.5</v>
      </c>
      <c r="Z40" s="125">
        <v>0.55000000000000004</v>
      </c>
      <c r="AA40" s="125">
        <v>0.6</v>
      </c>
      <c r="AB40" s="142">
        <v>0.65</v>
      </c>
      <c r="AC40" s="7"/>
      <c r="AD40" s="70"/>
      <c r="AE40" s="70"/>
      <c r="AF40" s="21"/>
      <c r="AX40" s="5"/>
      <c r="AY40" s="5"/>
      <c r="AZ40" s="5"/>
      <c r="BA40" s="82"/>
    </row>
    <row r="41" spans="1:53" x14ac:dyDescent="0.15">
      <c r="A41" s="295"/>
      <c r="B41" s="177" t="s">
        <v>493</v>
      </c>
      <c r="C41" s="178">
        <f>IF(E41&gt;0,IF(E2=B95,E41,IF(E2=B96,E41,IF(E2=B102,E41,))),0)</f>
        <v>12775</v>
      </c>
      <c r="D41" s="178" t="b">
        <f>IF(E41&gt;0,IF(K2=O5,IF(E2=B103,E41,0)),0)</f>
        <v>0</v>
      </c>
      <c r="E41" s="179">
        <f>IF($E$2=B102,IF($G$10="X",(25*365)-$F$37,(30*365)-$F$37),IF($G$10="X",(30*365)-$F$37,(35*365)-$F$37))</f>
        <v>12775</v>
      </c>
      <c r="F41" s="180"/>
      <c r="G41" s="1830" t="s">
        <v>438</v>
      </c>
      <c r="H41" s="1830"/>
      <c r="I41" s="1830"/>
      <c r="J41" s="1830"/>
      <c r="K41" s="1830"/>
      <c r="L41" s="1830"/>
      <c r="M41" s="1830"/>
      <c r="N41" s="1831"/>
      <c r="O41" s="391"/>
      <c r="AD41" s="21"/>
      <c r="AE41" s="21"/>
      <c r="AF41" s="21"/>
      <c r="AX41" s="5"/>
      <c r="AY41" s="5"/>
      <c r="AZ41" s="5"/>
      <c r="BA41" s="82"/>
    </row>
    <row r="42" spans="1:53" x14ac:dyDescent="0.15">
      <c r="A42" s="376">
        <f>IF($K$2=$O$2,0,IF($K$2=$O$3,IF($E$45&lt;$Q$12,IF($D$14="x",$A$44,IF($G$14="x",$A$44,0)),0),$A$44))</f>
        <v>0</v>
      </c>
      <c r="B42" s="181" t="s">
        <v>494</v>
      </c>
      <c r="C42" s="45"/>
      <c r="D42" s="182"/>
      <c r="E42" s="183">
        <f>IF(K2=O4,C41,IF(K2=O5,D41,0))</f>
        <v>0</v>
      </c>
      <c r="F42" s="45" t="s">
        <v>333</v>
      </c>
      <c r="G42" s="150"/>
      <c r="H42" s="184" t="str">
        <f>IF(E42&gt;0,IF(K2=O4,"HÁ PEDÁGIO A CUMPRIR",IF(K2=O5,IF(E2=B103,"HÁ PEDÁGIO A CUMPRIR",E71))),"NÃO HÁ PEDÁGIO A CUMPRIR")</f>
        <v>NÃO HÁ PEDÁGIO A CUMPRIR</v>
      </c>
      <c r="I42" s="185"/>
      <c r="J42" s="186"/>
      <c r="K42" s="186">
        <f>IF(E41&gt;0,ROUNDDOWN(E41/365,0),0)</f>
        <v>35</v>
      </c>
      <c r="L42" s="185" t="s">
        <v>495</v>
      </c>
      <c r="M42" s="187">
        <f>(E41/365-K42)*365</f>
        <v>0</v>
      </c>
      <c r="N42" s="188" t="s">
        <v>348</v>
      </c>
      <c r="P42" s="117" t="s">
        <v>597</v>
      </c>
      <c r="Q42" s="118">
        <v>3</v>
      </c>
      <c r="R42" s="118">
        <v>6</v>
      </c>
      <c r="S42" s="118">
        <v>9</v>
      </c>
      <c r="T42" s="118">
        <v>12</v>
      </c>
      <c r="U42" s="118">
        <v>15</v>
      </c>
      <c r="V42" s="118">
        <v>18</v>
      </c>
      <c r="W42" s="118">
        <v>21</v>
      </c>
      <c r="X42" s="118">
        <v>24</v>
      </c>
      <c r="Y42" s="118">
        <v>27</v>
      </c>
      <c r="Z42" s="118">
        <v>30</v>
      </c>
      <c r="AA42" s="118">
        <v>33</v>
      </c>
      <c r="AB42" s="118">
        <v>36</v>
      </c>
      <c r="AC42" s="118">
        <v>39</v>
      </c>
      <c r="AD42" s="118">
        <v>42</v>
      </c>
      <c r="AE42" s="118">
        <v>45</v>
      </c>
      <c r="AF42" s="118">
        <v>48</v>
      </c>
      <c r="AG42" s="127">
        <v>51</v>
      </c>
      <c r="AX42" s="5"/>
      <c r="AY42" s="5"/>
      <c r="AZ42" s="5"/>
      <c r="BA42" s="82"/>
    </row>
    <row r="43" spans="1:53" x14ac:dyDescent="0.15">
      <c r="A43" s="376">
        <f>IF($K$2=$O$2,0,IF($K$2=$O$4,IF($E$45&lt;$Q$13,$A$44,0),$A$44))</f>
        <v>0</v>
      </c>
      <c r="B43" s="181" t="s">
        <v>496</v>
      </c>
      <c r="C43" s="45"/>
      <c r="D43" s="182"/>
      <c r="E43" s="189">
        <f>IF(E42&gt;0,IF(E2=B102,ROUNDUP(E42*0.4,0),ROUNDUP(E42*0.2,0)),0)</f>
        <v>0</v>
      </c>
      <c r="F43" s="45"/>
      <c r="G43" s="150"/>
      <c r="H43" s="186">
        <f>ROUNDDOWN(E43/365,0)</f>
        <v>0</v>
      </c>
      <c r="I43" s="185" t="s">
        <v>444</v>
      </c>
      <c r="J43" s="186">
        <f>ROUNDDOWN(O43/30,0)</f>
        <v>0</v>
      </c>
      <c r="K43" s="185" t="s">
        <v>445</v>
      </c>
      <c r="L43" s="185"/>
      <c r="M43" s="186">
        <f>O43-(J43*30)</f>
        <v>0</v>
      </c>
      <c r="N43" s="188" t="s">
        <v>348</v>
      </c>
      <c r="O43" s="1059">
        <f>(E43/365-H43)*365</f>
        <v>0</v>
      </c>
      <c r="P43" s="124" t="s">
        <v>351</v>
      </c>
      <c r="Q43" s="125">
        <v>0.03</v>
      </c>
      <c r="R43" s="125">
        <v>0.06</v>
      </c>
      <c r="S43" s="125">
        <v>0.09</v>
      </c>
      <c r="T43" s="125">
        <v>0.12</v>
      </c>
      <c r="U43" s="125">
        <v>0.15</v>
      </c>
      <c r="V43" s="125">
        <v>0.18</v>
      </c>
      <c r="W43" s="125">
        <v>0.21</v>
      </c>
      <c r="X43" s="125">
        <v>0.24</v>
      </c>
      <c r="Y43" s="125">
        <v>0.27</v>
      </c>
      <c r="Z43" s="125">
        <v>0.3</v>
      </c>
      <c r="AA43" s="125">
        <v>0.33</v>
      </c>
      <c r="AB43" s="125">
        <v>0.36</v>
      </c>
      <c r="AC43" s="125">
        <v>0.39</v>
      </c>
      <c r="AD43" s="125">
        <v>0.42</v>
      </c>
      <c r="AE43" s="125">
        <v>0.45</v>
      </c>
      <c r="AF43" s="125">
        <v>0.48</v>
      </c>
      <c r="AG43" s="126">
        <v>0.51</v>
      </c>
      <c r="AX43" s="5"/>
      <c r="AY43" s="5"/>
      <c r="AZ43" s="5"/>
      <c r="BA43" s="82"/>
    </row>
    <row r="44" spans="1:53" ht="15" thickBot="1" x14ac:dyDescent="0.2">
      <c r="A44" s="376">
        <f>IF(AND(C45&gt;=Q11,E45&lt;Q12),A45,0)</f>
        <v>0</v>
      </c>
      <c r="B44" s="181" t="s">
        <v>497</v>
      </c>
      <c r="C44" s="45"/>
      <c r="D44" s="182"/>
      <c r="E44" s="189">
        <f>IF(E42&gt;0,E42+E43,0)</f>
        <v>0</v>
      </c>
      <c r="F44" s="159"/>
      <c r="G44" s="150"/>
      <c r="H44" s="186">
        <f>ROUNDDOWN(E44/365,0)</f>
        <v>0</v>
      </c>
      <c r="I44" s="185" t="s">
        <v>444</v>
      </c>
      <c r="J44" s="186">
        <f>ROUNDDOWN(O44/30,0)</f>
        <v>0</v>
      </c>
      <c r="K44" s="185" t="s">
        <v>445</v>
      </c>
      <c r="L44" s="185"/>
      <c r="M44" s="186">
        <f>O44-(J44*30)</f>
        <v>0</v>
      </c>
      <c r="N44" s="188" t="s">
        <v>348</v>
      </c>
      <c r="O44" s="1059">
        <f>(E44/365-H44)*365</f>
        <v>0</v>
      </c>
      <c r="AD44" s="21"/>
      <c r="AE44" s="21"/>
      <c r="AF44" s="21"/>
      <c r="AX44" s="5"/>
      <c r="AY44" s="5"/>
      <c r="AZ44" s="5"/>
      <c r="BA44" s="82"/>
    </row>
    <row r="45" spans="1:53" ht="15" thickBot="1" x14ac:dyDescent="0.2">
      <c r="A45" s="376">
        <f>IF($C$45="REVER",0,IF($E$45="REVER",0,$F$46))</f>
        <v>0</v>
      </c>
      <c r="B45" s="299" t="s">
        <v>352</v>
      </c>
      <c r="C45" s="272" t="str">
        <f>IF(AND(C51&gt;=36145,C51&lt;38037),C51,"REVER")</f>
        <v>REVER</v>
      </c>
      <c r="D45" s="292" t="s">
        <v>336</v>
      </c>
      <c r="E45" s="377" t="str">
        <f>IF(AND($E$51&gt;=36145,$E$51&lt;38037),IF(AND($K$2=$O$3,$D$14="X"),$H$46,IF($K$2=$O$4,$G$46,$E$51)),"REVER")</f>
        <v>REVER</v>
      </c>
      <c r="F45" s="261">
        <f>IF(AND(N8&gt;=36145,F47&lt;&gt;0),F46,IF(K2=O2,0,IF(K2=O3,A42,IF(K2=O4,A43,A44))))</f>
        <v>0</v>
      </c>
      <c r="G45" s="280" t="s">
        <v>719</v>
      </c>
      <c r="H45" s="280"/>
      <c r="I45" s="280"/>
      <c r="J45" s="280"/>
      <c r="K45" s="280">
        <f>ROUNDDOWN(F45/365,0)</f>
        <v>0</v>
      </c>
      <c r="L45" s="280" t="s">
        <v>354</v>
      </c>
      <c r="M45" s="293">
        <f>(F45/365-K45)*365</f>
        <v>0</v>
      </c>
      <c r="N45" s="294" t="s">
        <v>348</v>
      </c>
      <c r="O45" s="391"/>
      <c r="P45" s="117" t="s">
        <v>598</v>
      </c>
      <c r="Q45" s="118">
        <v>3</v>
      </c>
      <c r="R45" s="118">
        <v>6</v>
      </c>
      <c r="S45" s="118">
        <v>9</v>
      </c>
      <c r="T45" s="118">
        <v>12</v>
      </c>
      <c r="U45" s="118">
        <v>15</v>
      </c>
      <c r="V45" s="118">
        <v>18</v>
      </c>
      <c r="W45" s="118">
        <v>21</v>
      </c>
      <c r="X45" s="118">
        <v>24</v>
      </c>
      <c r="Y45" s="118">
        <v>27</v>
      </c>
      <c r="Z45" s="118">
        <v>30</v>
      </c>
      <c r="AA45" s="118">
        <v>33</v>
      </c>
      <c r="AB45" s="127">
        <v>36</v>
      </c>
      <c r="AC45" s="69"/>
      <c r="AD45" s="70"/>
      <c r="AE45" s="70"/>
      <c r="AF45" s="70"/>
      <c r="AG45" s="69"/>
      <c r="AX45" s="5"/>
      <c r="AY45" s="5"/>
      <c r="AZ45" s="5"/>
      <c r="BA45" s="82"/>
    </row>
    <row r="46" spans="1:53" ht="20.25" customHeight="1" thickBot="1" x14ac:dyDescent="0.2">
      <c r="A46" s="376"/>
      <c r="B46" s="234"/>
      <c r="C46" s="1066"/>
      <c r="D46" s="1262"/>
      <c r="F46" s="1257">
        <f>SUM($F$47:$F$50)</f>
        <v>0</v>
      </c>
      <c r="G46" s="1256" t="str">
        <f>IF(AND($E$51&gt;=36145,$E$51&lt;=37985),$E$51,"REVER")</f>
        <v>REVER</v>
      </c>
      <c r="H46" s="377" t="str">
        <f>IF(AND($E$51&gt;=36145,$E$51&lt;38037),$E$51,"REVER")</f>
        <v>REVER</v>
      </c>
      <c r="I46" s="1254"/>
      <c r="J46" s="1254"/>
      <c r="K46" s="1254"/>
      <c r="L46" s="1254"/>
      <c r="M46" s="1263"/>
      <c r="N46" s="1254"/>
      <c r="O46" s="391"/>
      <c r="P46" s="124" t="s">
        <v>351</v>
      </c>
      <c r="Q46" s="125">
        <v>0.08</v>
      </c>
      <c r="R46" s="125">
        <v>0.16</v>
      </c>
      <c r="S46" s="125">
        <v>0.26</v>
      </c>
      <c r="T46" s="125">
        <v>0.36</v>
      </c>
      <c r="U46" s="125">
        <v>0.46</v>
      </c>
      <c r="V46" s="125">
        <v>0.56000000000000005</v>
      </c>
      <c r="W46" s="125">
        <v>0.66</v>
      </c>
      <c r="X46" s="125">
        <v>0.76</v>
      </c>
      <c r="Y46" s="125">
        <v>0.86</v>
      </c>
      <c r="Z46" s="125">
        <v>0.96</v>
      </c>
      <c r="AA46" s="125">
        <v>1.06</v>
      </c>
      <c r="AB46" s="126">
        <v>1.1599999999999999</v>
      </c>
      <c r="AC46" s="69"/>
      <c r="AD46" s="70"/>
      <c r="AE46" s="70"/>
      <c r="AF46" s="70"/>
      <c r="AG46" s="69"/>
      <c r="AX46" s="5"/>
      <c r="AY46" s="5"/>
      <c r="AZ46" s="5"/>
      <c r="BA46" s="82"/>
    </row>
    <row r="47" spans="1:53" x14ac:dyDescent="0.15">
      <c r="A47" s="376"/>
      <c r="B47" s="151" t="s">
        <v>335</v>
      </c>
      <c r="C47" s="674">
        <f>CRÍTICA_IGP1!C47</f>
        <v>0</v>
      </c>
      <c r="D47" s="170" t="s">
        <v>336</v>
      </c>
      <c r="E47" s="674">
        <f>CRÍTICA_IGP1!E47</f>
        <v>0</v>
      </c>
      <c r="F47" s="171">
        <f>CRÍTICA_IGP1!F47</f>
        <v>0</v>
      </c>
      <c r="G47" s="296" t="s">
        <v>337</v>
      </c>
      <c r="H47" s="118"/>
      <c r="I47" s="118"/>
      <c r="J47" s="740">
        <f>CRÍTICA_IGP1!J47</f>
        <v>0</v>
      </c>
      <c r="K47" s="180"/>
      <c r="L47" s="180" t="s">
        <v>524</v>
      </c>
      <c r="M47" s="118"/>
      <c r="N47" s="740">
        <f>CRÍTICA_IGP1!N47</f>
        <v>0</v>
      </c>
      <c r="O47" s="391"/>
      <c r="P47" s="25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5"/>
      <c r="AC47" s="69"/>
      <c r="AD47" s="70"/>
      <c r="AE47" s="70"/>
      <c r="AF47" s="70"/>
      <c r="AG47" s="69"/>
      <c r="AX47" s="5"/>
      <c r="AY47" s="5"/>
      <c r="AZ47" s="5"/>
      <c r="BA47" s="82"/>
    </row>
    <row r="48" spans="1:53" x14ac:dyDescent="0.15">
      <c r="A48" s="376"/>
      <c r="B48" s="149" t="s">
        <v>338</v>
      </c>
      <c r="C48" s="674">
        <f>CRÍTICA_IGP1!C48</f>
        <v>0</v>
      </c>
      <c r="D48" s="170" t="s">
        <v>336</v>
      </c>
      <c r="E48" s="674">
        <f>CRÍTICA_IGP1!E48</f>
        <v>0</v>
      </c>
      <c r="F48" s="171">
        <f>IF(C48=0,0,IF(E48=0,0,E48-C48+1))</f>
        <v>0</v>
      </c>
      <c r="G48" s="149" t="s">
        <v>339</v>
      </c>
      <c r="H48" s="5"/>
      <c r="I48" s="5"/>
      <c r="J48" s="740">
        <f>CRÍTICA_IGP1!J48</f>
        <v>0</v>
      </c>
      <c r="K48" s="150"/>
      <c r="L48" s="150"/>
      <c r="M48" s="276"/>
      <c r="N48" s="298"/>
      <c r="O48" s="391"/>
      <c r="P48" s="117" t="s">
        <v>600</v>
      </c>
      <c r="Q48" s="118">
        <v>3</v>
      </c>
      <c r="R48" s="118">
        <v>6</v>
      </c>
      <c r="S48" s="118">
        <v>9</v>
      </c>
      <c r="T48" s="118">
        <v>12</v>
      </c>
      <c r="U48" s="118">
        <v>15</v>
      </c>
      <c r="V48" s="118">
        <v>18</v>
      </c>
      <c r="W48" s="118">
        <v>21</v>
      </c>
      <c r="X48" s="118">
        <v>24</v>
      </c>
      <c r="Y48" s="118">
        <v>27</v>
      </c>
      <c r="Z48" s="118">
        <v>30</v>
      </c>
      <c r="AA48" s="118">
        <v>33</v>
      </c>
      <c r="AB48" s="118">
        <v>36</v>
      </c>
      <c r="AC48" s="118">
        <v>39</v>
      </c>
      <c r="AD48" s="118">
        <v>42</v>
      </c>
      <c r="AE48" s="118">
        <v>45</v>
      </c>
      <c r="AF48" s="118">
        <v>48</v>
      </c>
      <c r="AG48" s="118">
        <v>51</v>
      </c>
      <c r="AH48" s="118">
        <v>54</v>
      </c>
      <c r="AI48" s="118">
        <v>57</v>
      </c>
      <c r="AJ48" s="127">
        <v>60</v>
      </c>
      <c r="AX48" s="5"/>
      <c r="AY48" s="5"/>
      <c r="AZ48" s="5"/>
      <c r="BA48" s="82"/>
    </row>
    <row r="49" spans="1:53" x14ac:dyDescent="0.15">
      <c r="A49" s="376"/>
      <c r="B49" s="149" t="s">
        <v>606</v>
      </c>
      <c r="C49" s="674">
        <f>CRÍTICA_IGP1!C49</f>
        <v>0</v>
      </c>
      <c r="D49" s="170" t="s">
        <v>336</v>
      </c>
      <c r="E49" s="674">
        <f>CRÍTICA_IGP1!E49</f>
        <v>0</v>
      </c>
      <c r="F49" s="171">
        <f>IF(C49=0,0,IF(E49=0,0,E49-C49+1))</f>
        <v>0</v>
      </c>
      <c r="G49" s="149" t="s">
        <v>339</v>
      </c>
      <c r="H49" s="5"/>
      <c r="I49" s="5"/>
      <c r="J49" s="740" t="str">
        <f>CRÍTICA_IGP1!J49</f>
        <v>anos</v>
      </c>
      <c r="K49" s="150"/>
      <c r="L49" s="150"/>
      <c r="M49" s="276"/>
      <c r="N49" s="298"/>
      <c r="O49" s="391"/>
      <c r="P49" s="124" t="s">
        <v>351</v>
      </c>
      <c r="Q49" s="125">
        <v>0.05</v>
      </c>
      <c r="R49" s="125">
        <v>0.1</v>
      </c>
      <c r="S49" s="125">
        <v>0.15</v>
      </c>
      <c r="T49" s="125">
        <v>0.2</v>
      </c>
      <c r="U49" s="125">
        <v>0.25</v>
      </c>
      <c r="V49" s="125">
        <v>0.3</v>
      </c>
      <c r="W49" s="125">
        <v>0.35</v>
      </c>
      <c r="X49" s="125">
        <v>0.4</v>
      </c>
      <c r="Y49" s="125">
        <v>0.45</v>
      </c>
      <c r="Z49" s="125">
        <v>0.5</v>
      </c>
      <c r="AA49" s="125">
        <v>0.55000000000000004</v>
      </c>
      <c r="AB49" s="125">
        <v>0.6</v>
      </c>
      <c r="AC49" s="125">
        <v>0.65</v>
      </c>
      <c r="AD49" s="125">
        <v>0.7</v>
      </c>
      <c r="AE49" s="125">
        <v>0.75</v>
      </c>
      <c r="AF49" s="125">
        <v>0.8</v>
      </c>
      <c r="AG49" s="125">
        <v>0.85</v>
      </c>
      <c r="AH49" s="125">
        <v>0.9</v>
      </c>
      <c r="AI49" s="125">
        <v>0.95</v>
      </c>
      <c r="AJ49" s="126">
        <v>1</v>
      </c>
      <c r="AX49" s="5"/>
      <c r="AY49" s="5"/>
      <c r="AZ49" s="5"/>
      <c r="BA49" s="82"/>
    </row>
    <row r="50" spans="1:53" ht="15.75" customHeight="1" thickBot="1" x14ac:dyDescent="0.2">
      <c r="A50" s="376"/>
      <c r="B50" s="251" t="s">
        <v>606</v>
      </c>
      <c r="C50" s="674">
        <f>CRÍTICA_IGP1!C50</f>
        <v>0</v>
      </c>
      <c r="D50" s="271" t="s">
        <v>336</v>
      </c>
      <c r="E50" s="677">
        <f>CRÍTICA_IGP1!E50</f>
        <v>25567</v>
      </c>
      <c r="F50" s="1268">
        <f>'MTS - MAPA DE TEMPO DE SERVIÇO'!$H$40</f>
        <v>0</v>
      </c>
      <c r="G50" s="251"/>
      <c r="H50" s="131"/>
      <c r="I50" s="131"/>
      <c r="J50" s="287" t="s">
        <v>704</v>
      </c>
      <c r="K50" s="162"/>
      <c r="L50" s="162"/>
      <c r="M50" s="297"/>
      <c r="N50" s="740">
        <f>CRÍTICA_IGP1!N50</f>
        <v>0</v>
      </c>
      <c r="O50" s="391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5"/>
      <c r="AC50" s="69"/>
      <c r="AD50" s="70"/>
      <c r="AE50" s="70"/>
      <c r="AF50" s="70"/>
      <c r="AG50" s="69"/>
      <c r="AX50" s="5"/>
      <c r="AY50" s="5"/>
      <c r="AZ50" s="5"/>
      <c r="BA50" s="82"/>
    </row>
    <row r="51" spans="1:53" ht="20.25" customHeight="1" thickBot="1" x14ac:dyDescent="0.2">
      <c r="A51" s="295"/>
      <c r="B51" s="254"/>
      <c r="C51" s="1066" t="str">
        <f>IF($C$47&gt;0,$C$47,IF($C$48&gt;0,$C$48,IF($C$49&gt;0,$C$49,IF($C$50&gt;0,$C$50,"REVER"))))</f>
        <v>REVER</v>
      </c>
      <c r="D51" s="254"/>
      <c r="E51" s="1066">
        <f>IF($E$50&gt;0,$E$50,IF($E$49&gt;0,$E$49,IF($E$48&gt;0,$E$48,IF($E$47&gt;0,$E$47,"REVER"))))</f>
        <v>25567</v>
      </c>
      <c r="F51" s="254" t="s">
        <v>741</v>
      </c>
      <c r="G51" s="254"/>
      <c r="H51" s="390">
        <f>SUM($F$48:$F$50)</f>
        <v>0</v>
      </c>
      <c r="I51" s="254" t="s">
        <v>743</v>
      </c>
      <c r="J51" s="390">
        <f>SUM(F49:F50)</f>
        <v>0</v>
      </c>
      <c r="K51" s="254"/>
      <c r="L51" s="254"/>
      <c r="M51" s="254"/>
      <c r="N51" s="254"/>
      <c r="P51" s="117" t="s">
        <v>687</v>
      </c>
      <c r="Q51" s="118">
        <v>3</v>
      </c>
      <c r="R51" s="118">
        <v>6</v>
      </c>
      <c r="S51" s="118">
        <v>9</v>
      </c>
      <c r="T51" s="118">
        <v>12</v>
      </c>
      <c r="U51" s="118">
        <v>15</v>
      </c>
      <c r="V51" s="118">
        <v>18</v>
      </c>
      <c r="W51" s="118">
        <v>21</v>
      </c>
      <c r="X51" s="118">
        <v>24</v>
      </c>
      <c r="Y51" s="118">
        <v>27</v>
      </c>
      <c r="Z51" s="118">
        <v>30</v>
      </c>
      <c r="AA51" s="118">
        <v>33</v>
      </c>
      <c r="AB51" s="127">
        <v>36</v>
      </c>
      <c r="AD51" s="21"/>
      <c r="AE51" s="21"/>
      <c r="AF51" s="21"/>
      <c r="AX51" s="5"/>
      <c r="AY51" s="5"/>
      <c r="AZ51" s="5"/>
      <c r="BA51" s="82"/>
    </row>
    <row r="52" spans="1:53" ht="15" thickBot="1" x14ac:dyDescent="0.2">
      <c r="A52" s="376">
        <f>IF(OR(K2=O2,K2=O4),0,IF(K2=O3,IF(D14="X",0,IF(G14="X",A59,0)),A59))</f>
        <v>0</v>
      </c>
      <c r="B52" s="299" t="s">
        <v>738</v>
      </c>
      <c r="C52" s="301"/>
      <c r="D52" s="1854" t="str">
        <f>IF(C39="REVER",C39,IF(E39="REVER",E39,"PERÍODO OK"))</f>
        <v>REVER</v>
      </c>
      <c r="E52" s="1855"/>
      <c r="F52" s="279">
        <f>F37+F45</f>
        <v>0</v>
      </c>
      <c r="G52" s="280"/>
      <c r="H52" s="281">
        <f>ROUNDDOWN(F52/365,0)</f>
        <v>0</v>
      </c>
      <c r="I52" s="282" t="s">
        <v>347</v>
      </c>
      <c r="J52" s="283">
        <f>(F52/365-H52)*365</f>
        <v>0</v>
      </c>
      <c r="K52" s="282" t="s">
        <v>348</v>
      </c>
      <c r="L52" s="280"/>
      <c r="M52" s="280"/>
      <c r="N52" s="294"/>
      <c r="O52" s="391"/>
      <c r="P52" s="124" t="s">
        <v>351</v>
      </c>
      <c r="Q52" s="125">
        <v>0.1</v>
      </c>
      <c r="R52" s="125">
        <v>0.15</v>
      </c>
      <c r="S52" s="125">
        <v>0.2</v>
      </c>
      <c r="T52" s="125">
        <v>0.25</v>
      </c>
      <c r="U52" s="125">
        <v>0.28000000000000003</v>
      </c>
      <c r="V52" s="125">
        <v>0.31</v>
      </c>
      <c r="W52" s="125">
        <v>0.34</v>
      </c>
      <c r="X52" s="125">
        <v>0.37</v>
      </c>
      <c r="Y52" s="125">
        <v>0.4</v>
      </c>
      <c r="Z52" s="125"/>
      <c r="AA52" s="125"/>
      <c r="AB52" s="126"/>
      <c r="AD52" s="21"/>
      <c r="AE52" s="21"/>
      <c r="AF52" s="21"/>
      <c r="AX52" s="5"/>
      <c r="AY52" s="5"/>
      <c r="AZ52" s="5"/>
      <c r="BA52" s="82"/>
    </row>
    <row r="53" spans="1:53" ht="6" customHeight="1" x14ac:dyDescent="0.15">
      <c r="A53" s="376"/>
      <c r="B53" s="153"/>
      <c r="C53" s="45"/>
      <c r="D53" s="284"/>
      <c r="E53" s="284"/>
      <c r="F53" s="260"/>
      <c r="G53" s="150"/>
      <c r="H53" s="285"/>
      <c r="I53" s="153"/>
      <c r="J53" s="286"/>
      <c r="K53" s="153"/>
      <c r="L53" s="150"/>
      <c r="M53" s="150"/>
      <c r="N53" s="150"/>
      <c r="O53" s="391"/>
      <c r="P53" s="25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D53" s="21"/>
      <c r="AE53" s="21"/>
      <c r="AF53" s="21"/>
      <c r="AX53" s="5"/>
      <c r="AY53" s="5"/>
      <c r="AZ53" s="5"/>
      <c r="BA53" s="82"/>
    </row>
    <row r="54" spans="1:53" x14ac:dyDescent="0.15">
      <c r="A54" s="376"/>
      <c r="B54" s="151" t="s">
        <v>335</v>
      </c>
      <c r="C54" s="674">
        <f>CRÍTICA_IGP1!C54</f>
        <v>0</v>
      </c>
      <c r="D54" s="170" t="s">
        <v>336</v>
      </c>
      <c r="E54" s="674">
        <f>CRÍTICA_IGP1!E54</f>
        <v>0</v>
      </c>
      <c r="F54" s="171">
        <f>CRÍTICA_IGP1!F54</f>
        <v>0</v>
      </c>
      <c r="G54" s="296" t="s">
        <v>337</v>
      </c>
      <c r="H54" s="118"/>
      <c r="I54" s="118"/>
      <c r="J54" s="740">
        <f>CRÍTICA_IGP1!J54</f>
        <v>0</v>
      </c>
      <c r="K54" s="180"/>
      <c r="L54" s="180" t="s">
        <v>524</v>
      </c>
      <c r="M54" s="118"/>
      <c r="N54" s="740">
        <f>CRÍTICA_IGP1!N54</f>
        <v>0</v>
      </c>
      <c r="O54" s="391"/>
      <c r="P54" s="117" t="s">
        <v>688</v>
      </c>
      <c r="Q54" s="118">
        <v>3</v>
      </c>
      <c r="R54" s="118">
        <v>4</v>
      </c>
      <c r="S54" s="118">
        <v>5</v>
      </c>
      <c r="T54" s="118">
        <v>6</v>
      </c>
      <c r="U54" s="118">
        <v>7</v>
      </c>
      <c r="V54" s="118">
        <v>8</v>
      </c>
      <c r="W54" s="118">
        <v>9</v>
      </c>
      <c r="X54" s="118">
        <v>10</v>
      </c>
      <c r="Y54" s="118">
        <v>11</v>
      </c>
      <c r="Z54" s="118">
        <v>12</v>
      </c>
      <c r="AA54" s="118">
        <v>13</v>
      </c>
      <c r="AB54" s="118">
        <v>14</v>
      </c>
      <c r="AC54" s="118">
        <v>15</v>
      </c>
      <c r="AD54" s="118">
        <v>16</v>
      </c>
      <c r="AE54" s="118">
        <v>17</v>
      </c>
      <c r="AF54" s="118">
        <v>18</v>
      </c>
      <c r="AG54" s="118">
        <v>19</v>
      </c>
      <c r="AH54" s="118">
        <v>20</v>
      </c>
      <c r="AI54" s="118">
        <v>21</v>
      </c>
      <c r="AJ54" s="118">
        <v>22</v>
      </c>
      <c r="AK54" s="118">
        <v>23</v>
      </c>
      <c r="AL54" s="118">
        <v>24</v>
      </c>
      <c r="AM54" s="118">
        <v>25</v>
      </c>
      <c r="AN54" s="118">
        <v>26</v>
      </c>
      <c r="AO54" s="118">
        <v>27</v>
      </c>
      <c r="AP54" s="118">
        <v>28</v>
      </c>
      <c r="AQ54" s="118">
        <v>29</v>
      </c>
      <c r="AR54" s="127">
        <v>30</v>
      </c>
      <c r="AX54" s="5"/>
      <c r="AY54" s="5"/>
      <c r="AZ54" s="5"/>
      <c r="BA54" s="82"/>
    </row>
    <row r="55" spans="1:53" x14ac:dyDescent="0.15">
      <c r="A55" s="376"/>
      <c r="B55" s="149" t="s">
        <v>338</v>
      </c>
      <c r="C55" s="674">
        <f>CRÍTICA_IGP1!C55</f>
        <v>0</v>
      </c>
      <c r="D55" s="170" t="s">
        <v>336</v>
      </c>
      <c r="E55" s="674">
        <f>CRÍTICA_IGP1!E55</f>
        <v>0</v>
      </c>
      <c r="F55" s="171">
        <f>IF(C55=0,0,IF(E55=0,0,E55-C55+1))</f>
        <v>0</v>
      </c>
      <c r="G55" s="149" t="s">
        <v>339</v>
      </c>
      <c r="H55" s="5"/>
      <c r="I55" s="5"/>
      <c r="J55" s="740">
        <f>CRÍTICA_IGP1!J55</f>
        <v>0</v>
      </c>
      <c r="K55" s="150"/>
      <c r="L55" s="150"/>
      <c r="M55" s="276"/>
      <c r="N55" s="298"/>
      <c r="O55" s="391"/>
      <c r="P55" s="124" t="s">
        <v>351</v>
      </c>
      <c r="Q55" s="125">
        <v>0.03</v>
      </c>
      <c r="R55" s="125">
        <v>0.04</v>
      </c>
      <c r="S55" s="125">
        <v>0.05</v>
      </c>
      <c r="T55" s="125">
        <v>0.06</v>
      </c>
      <c r="U55" s="125">
        <v>7.0000000000000007E-2</v>
      </c>
      <c r="V55" s="125">
        <v>0.08</v>
      </c>
      <c r="W55" s="125">
        <v>0.09</v>
      </c>
      <c r="X55" s="125">
        <v>0.1</v>
      </c>
      <c r="Y55" s="125">
        <v>0.11</v>
      </c>
      <c r="Z55" s="125">
        <v>0.12</v>
      </c>
      <c r="AA55" s="125">
        <v>0.13</v>
      </c>
      <c r="AB55" s="125">
        <v>0.14000000000000001</v>
      </c>
      <c r="AC55" s="125">
        <v>0.15</v>
      </c>
      <c r="AD55" s="125">
        <v>0.16</v>
      </c>
      <c r="AE55" s="125">
        <v>0.17</v>
      </c>
      <c r="AF55" s="125">
        <v>0.18</v>
      </c>
      <c r="AG55" s="125">
        <v>0.19</v>
      </c>
      <c r="AH55" s="125">
        <v>0.2</v>
      </c>
      <c r="AI55" s="125">
        <v>0.21</v>
      </c>
      <c r="AJ55" s="125">
        <v>0.22</v>
      </c>
      <c r="AK55" s="125">
        <v>0.23</v>
      </c>
      <c r="AL55" s="125">
        <v>0.24</v>
      </c>
      <c r="AM55" s="125">
        <v>0.25</v>
      </c>
      <c r="AN55" s="125">
        <v>0.26</v>
      </c>
      <c r="AO55" s="125">
        <v>0.27</v>
      </c>
      <c r="AP55" s="125">
        <v>0.28000000000000003</v>
      </c>
      <c r="AQ55" s="125">
        <v>0.28999999999999998</v>
      </c>
      <c r="AR55" s="126">
        <v>0.3</v>
      </c>
      <c r="AX55" s="5"/>
      <c r="AY55" s="5"/>
      <c r="AZ55" s="5"/>
      <c r="BA55" s="82"/>
    </row>
    <row r="56" spans="1:53" x14ac:dyDescent="0.15">
      <c r="A56" s="376"/>
      <c r="B56" s="149" t="s">
        <v>606</v>
      </c>
      <c r="C56" s="674">
        <f>CRÍTICA_IGP1!C56</f>
        <v>0</v>
      </c>
      <c r="D56" s="170" t="s">
        <v>336</v>
      </c>
      <c r="E56" s="674">
        <f>CRÍTICA_IGP1!E56</f>
        <v>0</v>
      </c>
      <c r="F56" s="171">
        <f>IF(C56=0,0,IF(E56=0,0,E56-C56+1))</f>
        <v>0</v>
      </c>
      <c r="G56" s="149" t="s">
        <v>339</v>
      </c>
      <c r="H56" s="5"/>
      <c r="I56" s="5"/>
      <c r="J56" s="740">
        <f>CRÍTICA_IGP1!J56</f>
        <v>0</v>
      </c>
      <c r="K56" s="150"/>
      <c r="L56" s="150"/>
      <c r="M56" s="276"/>
      <c r="N56" s="298"/>
      <c r="O56" s="391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D56" s="21"/>
      <c r="AE56" s="21"/>
      <c r="AF56" s="21"/>
      <c r="AX56" s="5"/>
      <c r="AY56" s="5"/>
      <c r="AZ56" s="5"/>
      <c r="BA56" s="82"/>
    </row>
    <row r="57" spans="1:53" x14ac:dyDescent="0.15">
      <c r="A57" s="376"/>
      <c r="B57" s="251" t="s">
        <v>606</v>
      </c>
      <c r="C57" s="677">
        <f>CRÍTICA_IGP1!C57</f>
        <v>0</v>
      </c>
      <c r="D57" s="271" t="s">
        <v>336</v>
      </c>
      <c r="E57" s="674">
        <f>CRÍTICA_IGP1!E57</f>
        <v>0</v>
      </c>
      <c r="F57" s="171">
        <f>IF(C57=0,0,IF(E57=0,0,E57-C57+1))-N57</f>
        <v>0</v>
      </c>
      <c r="G57" s="251"/>
      <c r="H57" s="131"/>
      <c r="I57" s="131"/>
      <c r="J57" s="287" t="s">
        <v>704</v>
      </c>
      <c r="K57" s="162"/>
      <c r="L57" s="162"/>
      <c r="M57" s="297"/>
      <c r="N57" s="740">
        <f>CRÍTICA_IGP1!N57</f>
        <v>0</v>
      </c>
      <c r="O57" s="391"/>
      <c r="P57" s="117" t="s">
        <v>690</v>
      </c>
      <c r="Q57" s="118">
        <v>3</v>
      </c>
      <c r="R57" s="118">
        <v>6</v>
      </c>
      <c r="S57" s="118">
        <v>9</v>
      </c>
      <c r="T57" s="118">
        <v>12</v>
      </c>
      <c r="U57" s="118">
        <v>15</v>
      </c>
      <c r="V57" s="118">
        <v>18</v>
      </c>
      <c r="W57" s="118">
        <v>21</v>
      </c>
      <c r="X57" s="118">
        <v>24</v>
      </c>
      <c r="Y57" s="118">
        <v>27</v>
      </c>
      <c r="Z57" s="118">
        <v>30</v>
      </c>
      <c r="AA57" s="127">
        <v>33</v>
      </c>
      <c r="AB57" s="26"/>
      <c r="AD57" s="21"/>
      <c r="AE57" s="21"/>
      <c r="AF57" s="21"/>
      <c r="AX57" s="5"/>
      <c r="AY57" s="5"/>
      <c r="AZ57" s="5"/>
      <c r="BA57" s="82"/>
    </row>
    <row r="58" spans="1:53" ht="18.75" customHeight="1" thickBot="1" x14ac:dyDescent="0.2">
      <c r="A58" s="295"/>
      <c r="B58" s="1265"/>
      <c r="C58" s="1066" t="str">
        <f>IF(C54&gt;0,C54,IF(C55&gt;0,C55,IF(C56&gt;0,C56,IF(C57&gt;0,C57,"REVER"))))</f>
        <v>REVER</v>
      </c>
      <c r="D58" s="387"/>
      <c r="E58" s="1247" t="str">
        <f>IF(E57&gt;0,E57,IF(E56&gt;0,E56,IF(E55&gt;0,E55,IF(E54&gt;0,E54,"REVER"))))</f>
        <v>REVER</v>
      </c>
      <c r="F58" s="389"/>
      <c r="G58" s="385"/>
      <c r="H58" s="385"/>
      <c r="I58" s="389"/>
      <c r="J58" s="391"/>
      <c r="K58" s="1266"/>
      <c r="L58" s="74"/>
      <c r="M58" s="1267"/>
      <c r="N58" s="74"/>
      <c r="O58" s="391"/>
      <c r="P58" s="124" t="s">
        <v>351</v>
      </c>
      <c r="Q58" s="125">
        <v>0.1</v>
      </c>
      <c r="R58" s="125">
        <v>0.14000000000000001</v>
      </c>
      <c r="S58" s="125">
        <v>0.18</v>
      </c>
      <c r="T58" s="125">
        <v>0.22</v>
      </c>
      <c r="U58" s="125">
        <v>0.25</v>
      </c>
      <c r="V58" s="125">
        <v>0.3</v>
      </c>
      <c r="W58" s="125">
        <v>0.32</v>
      </c>
      <c r="X58" s="125">
        <v>0.35</v>
      </c>
      <c r="Y58" s="125">
        <v>0.4</v>
      </c>
      <c r="Z58" s="125">
        <v>0.45</v>
      </c>
      <c r="AA58" s="126">
        <v>0.5</v>
      </c>
      <c r="AB58" s="114"/>
      <c r="AC58" s="7"/>
      <c r="AD58" s="116"/>
      <c r="AE58" s="116"/>
      <c r="AF58" s="116"/>
      <c r="AG58" s="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82"/>
    </row>
    <row r="59" spans="1:53" ht="15" thickBot="1" x14ac:dyDescent="0.2">
      <c r="A59" s="376">
        <f>IF(C59="REVER",0,IF(E59="REVER",0,SUM(F54:F57)))</f>
        <v>0</v>
      </c>
      <c r="B59" s="291" t="s">
        <v>739</v>
      </c>
      <c r="C59" s="272" t="str">
        <f>IF($C$58&gt;=38037,$C$58,"REVER")</f>
        <v>REVER</v>
      </c>
      <c r="D59" s="292" t="s">
        <v>336</v>
      </c>
      <c r="E59" s="288" t="str">
        <f>IF($E$58&gt;=38037,$E$58,"REVER")</f>
        <v>REVER</v>
      </c>
      <c r="F59" s="261">
        <f>IF(C59&gt;=Q12,A52,0)</f>
        <v>0</v>
      </c>
      <c r="G59" s="280" t="s">
        <v>353</v>
      </c>
      <c r="H59" s="280"/>
      <c r="I59" s="280"/>
      <c r="J59" s="280"/>
      <c r="K59" s="280">
        <f>ROUNDDOWN(F59/365,0)</f>
        <v>0</v>
      </c>
      <c r="L59" s="280" t="s">
        <v>354</v>
      </c>
      <c r="M59" s="293">
        <f>(F59/365-K59)*365</f>
        <v>0</v>
      </c>
      <c r="N59" s="294" t="s">
        <v>348</v>
      </c>
      <c r="O59" s="255">
        <f>SUM(F27:F33)+H51+H60</f>
        <v>0</v>
      </c>
      <c r="AD59" s="21"/>
      <c r="AE59" s="21"/>
      <c r="AF59" s="21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X59" s="5"/>
      <c r="AY59" s="5"/>
      <c r="AZ59" s="5"/>
      <c r="BA59" s="82"/>
    </row>
    <row r="60" spans="1:53" ht="17.25" customHeight="1" thickBot="1" x14ac:dyDescent="0.2">
      <c r="A60" s="295"/>
      <c r="B60" s="385"/>
      <c r="C60" s="386"/>
      <c r="D60" s="387"/>
      <c r="E60" s="388"/>
      <c r="F60" s="254" t="s">
        <v>742</v>
      </c>
      <c r="G60" s="385"/>
      <c r="H60" s="389">
        <f>SUM($F$55:$F$57)</f>
        <v>0</v>
      </c>
      <c r="I60" s="254" t="s">
        <v>743</v>
      </c>
      <c r="J60" s="390">
        <f>SUM(F56:F57)</f>
        <v>0</v>
      </c>
      <c r="K60" s="391"/>
      <c r="L60" s="391"/>
      <c r="M60" s="391"/>
      <c r="N60" s="391"/>
      <c r="O60" s="1058">
        <f>ROUNDDOWN(O59/365,0)</f>
        <v>0</v>
      </c>
      <c r="P60" s="117" t="s">
        <v>692</v>
      </c>
      <c r="Q60" s="118">
        <v>3</v>
      </c>
      <c r="R60" s="118">
        <v>6</v>
      </c>
      <c r="S60" s="118">
        <v>9</v>
      </c>
      <c r="T60" s="118">
        <v>12</v>
      </c>
      <c r="U60" s="118">
        <v>15</v>
      </c>
      <c r="V60" s="118">
        <v>18</v>
      </c>
      <c r="W60" s="118">
        <v>21</v>
      </c>
      <c r="X60" s="118">
        <v>24</v>
      </c>
      <c r="Y60" s="118">
        <v>27</v>
      </c>
      <c r="Z60" s="118">
        <v>30</v>
      </c>
      <c r="AA60" s="118">
        <v>33</v>
      </c>
      <c r="AB60" s="118">
        <v>34</v>
      </c>
      <c r="AC60" s="127">
        <v>35</v>
      </c>
      <c r="AD60" s="21"/>
      <c r="AE60" s="21"/>
      <c r="AF60" s="21"/>
      <c r="AK60" s="26"/>
      <c r="AL60" s="26"/>
      <c r="AM60" s="26"/>
      <c r="AN60" s="26"/>
      <c r="AO60" s="5"/>
      <c r="AP60" s="5"/>
      <c r="AQ60" s="5"/>
      <c r="AR60" s="5"/>
      <c r="AS60" s="5"/>
      <c r="AT60" s="5"/>
      <c r="AU60" s="5"/>
      <c r="AX60" s="5"/>
      <c r="AY60" s="5"/>
      <c r="AZ60" s="5"/>
      <c r="BA60" s="82"/>
    </row>
    <row r="61" spans="1:53" ht="15" thickBot="1" x14ac:dyDescent="0.2">
      <c r="A61" s="392"/>
      <c r="B61" s="299" t="s">
        <v>740</v>
      </c>
      <c r="C61" s="300"/>
      <c r="D61" s="1826" t="str">
        <f>IF(C59="REVER",C59,IF(E59="REVER",E59,"OK"))</f>
        <v>REVER</v>
      </c>
      <c r="E61" s="1826"/>
      <c r="F61" s="279">
        <f>F52+F59</f>
        <v>0</v>
      </c>
      <c r="G61" s="280"/>
      <c r="H61" s="282">
        <f>ROUNDDOWN(F61/365,0)</f>
        <v>0</v>
      </c>
      <c r="I61" s="282" t="s">
        <v>347</v>
      </c>
      <c r="J61" s="290">
        <f>(F61/365-H61)*365</f>
        <v>0</v>
      </c>
      <c r="K61" s="282" t="s">
        <v>348</v>
      </c>
      <c r="L61" s="280"/>
      <c r="M61" s="280"/>
      <c r="N61" s="294"/>
      <c r="O61" s="1128">
        <f>IF($N$10&lt;$Q$11,'MTS - MAPA DE TEMPO DE SERVIÇO'!$H$19,IF($N$10&lt;$Q$13,'MTS - MAPA DE TEMPO DE SERVIÇO'!H19+'MTS - MAPA DE TEMPO DE SERVIÇO'!H41,IF($N$10&lt;$Q$12,'MTS - MAPA DE TEMPO DE SERVIÇO'!H19+'MTS - MAPA DE TEMPO DE SERVIÇO'!H41,'MTS - MAPA DE TEMPO DE SERVIÇO'!$H$19+'MTS - MAPA DE TEMPO DE SERVIÇO'!$H$41+'MTS - MAPA DE TEMPO DE SERVIÇO'!$H$57)))</f>
        <v>0</v>
      </c>
      <c r="P61" s="124" t="s">
        <v>351</v>
      </c>
      <c r="Q61" s="125">
        <v>0.03</v>
      </c>
      <c r="R61" s="125">
        <v>0.06</v>
      </c>
      <c r="S61" s="125">
        <v>0.09</v>
      </c>
      <c r="T61" s="125">
        <v>0.12</v>
      </c>
      <c r="U61" s="125">
        <v>0.15</v>
      </c>
      <c r="V61" s="125">
        <v>0.18</v>
      </c>
      <c r="W61" s="125">
        <v>0.21</v>
      </c>
      <c r="X61" s="125">
        <v>0.24</v>
      </c>
      <c r="Y61" s="125">
        <v>0.27</v>
      </c>
      <c r="Z61" s="125">
        <v>0.3</v>
      </c>
      <c r="AA61" s="125">
        <v>0.33</v>
      </c>
      <c r="AB61" s="125">
        <v>0.34</v>
      </c>
      <c r="AC61" s="126">
        <v>0.35</v>
      </c>
      <c r="AD61" s="70"/>
      <c r="AE61" s="70"/>
      <c r="AF61" s="70"/>
      <c r="AG61" s="69"/>
      <c r="AX61" s="5"/>
      <c r="AY61" s="5"/>
      <c r="AZ61" s="5"/>
      <c r="BA61" s="82"/>
    </row>
    <row r="62" spans="1:53" ht="6" customHeight="1" thickBot="1" x14ac:dyDescent="0.2">
      <c r="B62" s="6"/>
      <c r="C62" s="8"/>
      <c r="D62" s="8"/>
      <c r="E62" s="5"/>
      <c r="F62" s="12"/>
      <c r="G62" s="6"/>
      <c r="H62" s="6"/>
      <c r="I62" s="12"/>
      <c r="J62" s="5"/>
      <c r="K62" s="381"/>
      <c r="L62" s="5"/>
      <c r="M62" s="382"/>
      <c r="N62" s="5"/>
      <c r="O62" s="391"/>
      <c r="AD62" s="70"/>
      <c r="AE62" s="70"/>
      <c r="AF62" s="70"/>
      <c r="AG62" s="69"/>
      <c r="AX62" s="5"/>
      <c r="AY62" s="5"/>
      <c r="AZ62" s="5"/>
      <c r="BA62" s="82"/>
    </row>
    <row r="63" spans="1:53" x14ac:dyDescent="0.15">
      <c r="B63" s="190" t="s">
        <v>437</v>
      </c>
      <c r="C63" s="191"/>
      <c r="D63" s="191"/>
      <c r="E63" s="192"/>
      <c r="F63" s="193"/>
      <c r="G63" s="192"/>
      <c r="H63" s="194"/>
      <c r="I63" s="193"/>
      <c r="J63" s="194" t="s">
        <v>438</v>
      </c>
      <c r="K63" s="192"/>
      <c r="L63" s="192"/>
      <c r="M63" s="195"/>
      <c r="N63" s="196"/>
      <c r="O63" s="1128">
        <f>IF($N$10&lt;$Q$11,'MTS - MAPA DE TEMPO DE SERVIÇO'!$H$20,IF($N$10&lt;$Q$13,'MTS - MAPA DE TEMPO DE SERVIÇO'!$H$20+'MTS - MAPA DE TEMPO DE SERVIÇO'!$H$42,IF($N$10&lt;$Q$12,'MTS - MAPA DE TEMPO DE SERVIÇO'!$H$20+'MTS - MAPA DE TEMPO DE SERVIÇO'!$H$42,'MTS - MAPA DE TEMPO DE SERVIÇO'!$H$20+'MTS - MAPA DE TEMPO DE SERVIÇO'!$H$42+'MTS - MAPA DE TEMPO DE SERVIÇO'!$H$58)))</f>
        <v>0</v>
      </c>
      <c r="P63" s="143" t="s">
        <v>697</v>
      </c>
      <c r="Q63" s="118">
        <v>3</v>
      </c>
      <c r="R63" s="118">
        <v>6</v>
      </c>
      <c r="S63" s="118">
        <v>9</v>
      </c>
      <c r="T63" s="118">
        <v>12</v>
      </c>
      <c r="U63" s="118">
        <v>15</v>
      </c>
      <c r="V63" s="118">
        <v>18</v>
      </c>
      <c r="W63" s="118">
        <v>21</v>
      </c>
      <c r="X63" s="118">
        <v>24</v>
      </c>
      <c r="Y63" s="118">
        <v>27</v>
      </c>
      <c r="Z63" s="118">
        <v>30</v>
      </c>
      <c r="AA63" s="127">
        <v>33</v>
      </c>
      <c r="AD63" s="70"/>
      <c r="AE63" s="70"/>
      <c r="AF63" s="70"/>
      <c r="AG63" s="69"/>
      <c r="AX63" s="5"/>
      <c r="AY63" s="5"/>
      <c r="AZ63" s="5"/>
      <c r="BA63" s="82"/>
    </row>
    <row r="64" spans="1:53" x14ac:dyDescent="0.15">
      <c r="B64" s="197"/>
      <c r="C64" s="244" t="b">
        <f>IF(E2=B97,"NÃO CABE",IF(E2=B99,"NÃO CABE",IF(E2=B100,"NÃO CABE",IF(E2=B101,"NÃO CABE",IF(C65&gt;0,C65,"NADA A CUMPRIR")))))</f>
        <v>0</v>
      </c>
      <c r="D64" s="198"/>
      <c r="E64" s="199"/>
      <c r="F64" s="200"/>
      <c r="G64" s="198"/>
      <c r="H64" s="201">
        <f>IF($C$64="NÃO CABE",0,IF($C$65&gt;0,ROUNDDOWN($C$65/365,0),0))</f>
        <v>0</v>
      </c>
      <c r="I64" s="199" t="s">
        <v>347</v>
      </c>
      <c r="J64" s="202">
        <f>IF($C$64="NÃO CABE",0,IF($C$65&gt;0,($C$65/365-H64)*365,0))</f>
        <v>0</v>
      </c>
      <c r="K64" s="199" t="s">
        <v>348</v>
      </c>
      <c r="L64" s="199"/>
      <c r="M64" s="199"/>
      <c r="N64" s="203"/>
      <c r="O64" s="1060" t="s">
        <v>475</v>
      </c>
      <c r="P64" s="124" t="s">
        <v>351</v>
      </c>
      <c r="Q64" s="125">
        <v>0.1</v>
      </c>
      <c r="R64" s="125">
        <v>0.16</v>
      </c>
      <c r="S64" s="125">
        <v>0.22</v>
      </c>
      <c r="T64" s="125">
        <v>0.28000000000000003</v>
      </c>
      <c r="U64" s="125">
        <v>0.34</v>
      </c>
      <c r="V64" s="125">
        <v>0.4</v>
      </c>
      <c r="W64" s="125">
        <v>0.46</v>
      </c>
      <c r="X64" s="125">
        <v>0.52</v>
      </c>
      <c r="Y64" s="125">
        <v>0.57999999999999996</v>
      </c>
      <c r="Z64" s="125">
        <v>0.64</v>
      </c>
      <c r="AA64" s="126">
        <v>0.7</v>
      </c>
      <c r="AC64" s="7"/>
      <c r="AD64" s="70"/>
      <c r="AE64" s="70"/>
      <c r="AF64" s="70"/>
      <c r="AG64" s="69"/>
      <c r="AX64" s="5"/>
      <c r="AY64" s="5"/>
      <c r="AZ64" s="5"/>
      <c r="BA64" s="82"/>
    </row>
    <row r="65" spans="1:53" ht="15" thickBot="1" x14ac:dyDescent="0.2">
      <c r="B65" s="204"/>
      <c r="C65" s="209" t="b">
        <f>IF(K2=O2,IF(E2=B102,R128,R127),IF(K2=O3,Q126,IF(K2=O6,Q126,IF(K2=O4,Q125,IF(K2=O5,Q125,IF($K$2=O7,Q129,0))))))</f>
        <v>0</v>
      </c>
      <c r="D65" s="205"/>
      <c r="E65" s="206"/>
      <c r="F65" s="207"/>
      <c r="G65" s="205"/>
      <c r="H65" s="207">
        <f>IF($C$64="NÃO CABE",0,IF($C$65&gt;0,ROUNDDOWN($C$65/365,0),0))</f>
        <v>0</v>
      </c>
      <c r="I65" s="206" t="s">
        <v>444</v>
      </c>
      <c r="J65" s="207">
        <f>ROUNDDOWN(N66/30,0)</f>
        <v>0</v>
      </c>
      <c r="K65" s="206" t="s">
        <v>445</v>
      </c>
      <c r="L65" s="206"/>
      <c r="M65" s="207">
        <f>N66-(J65*30)</f>
        <v>0</v>
      </c>
      <c r="N65" s="208" t="s">
        <v>348</v>
      </c>
      <c r="O65" s="1061" t="s">
        <v>473</v>
      </c>
      <c r="AC65" s="69"/>
      <c r="AD65" s="21"/>
      <c r="AE65" s="21"/>
      <c r="AF65" s="21"/>
      <c r="AX65" s="5"/>
      <c r="AY65" s="5"/>
      <c r="AZ65" s="5"/>
      <c r="BA65" s="82"/>
    </row>
    <row r="66" spans="1:53" ht="6" customHeight="1" thickBot="1" x14ac:dyDescent="0.2">
      <c r="B66" s="44"/>
      <c r="C66" s="43"/>
      <c r="D66" s="43"/>
      <c r="F66" s="44"/>
      <c r="G66" s="44"/>
      <c r="H66" s="44"/>
      <c r="I66" s="6"/>
      <c r="J66" s="5"/>
      <c r="K66" s="5"/>
      <c r="L66" s="5"/>
      <c r="M66" s="5"/>
      <c r="N66" s="4">
        <f>IF($C$64="NÃO CABE",0,IF($C$65&gt;0,($C$65/365-$H$65)*365,0))</f>
        <v>0</v>
      </c>
      <c r="O66" s="1062" t="s">
        <v>474</v>
      </c>
      <c r="P66" s="143" t="s">
        <v>698</v>
      </c>
      <c r="Q66" s="118">
        <v>3</v>
      </c>
      <c r="R66" s="118">
        <v>6</v>
      </c>
      <c r="S66" s="118">
        <v>9</v>
      </c>
      <c r="T66" s="118">
        <v>12</v>
      </c>
      <c r="U66" s="118">
        <v>15</v>
      </c>
      <c r="V66" s="118">
        <v>18</v>
      </c>
      <c r="W66" s="118">
        <v>21</v>
      </c>
      <c r="X66" s="127">
        <v>24</v>
      </c>
      <c r="Y66" s="5"/>
      <c r="Z66" s="5"/>
      <c r="AA66" s="5"/>
      <c r="AB66" s="5"/>
      <c r="AC66" s="5"/>
      <c r="AD66" s="21"/>
      <c r="AE66" s="21"/>
      <c r="AF66" s="21"/>
      <c r="AX66" s="5"/>
      <c r="AY66" s="5"/>
      <c r="AZ66" s="5"/>
      <c r="BA66" s="82"/>
    </row>
    <row r="67" spans="1:53" x14ac:dyDescent="0.15">
      <c r="B67" s="210" t="s">
        <v>358</v>
      </c>
      <c r="C67" s="211" t="s">
        <v>607</v>
      </c>
      <c r="D67" s="212"/>
      <c r="E67" s="213"/>
      <c r="F67" s="211"/>
      <c r="G67" s="214"/>
      <c r="H67" s="215"/>
      <c r="I67" s="252">
        <f>IF($O$10=0,0,IF($G$15=$O$68,$O$67,"REVER TIPO DE ADICIONAL"))</f>
        <v>0</v>
      </c>
      <c r="J67" s="216"/>
      <c r="K67" s="211"/>
      <c r="L67" s="217"/>
      <c r="M67" s="217"/>
      <c r="N67" s="218"/>
      <c r="O67" s="1063">
        <f>IF($O$10&lt;$D$136,VLOOKUP($E$6,$B$137:$Q$234,3,FALSE),IF($O$10&lt;$E$136,VLOOKUP($E$6,$B$137:$Q$234,4,FALSE),VLOOKUP($E$6,$B$137:$Q$234,5,FALSE)))</f>
        <v>0</v>
      </c>
      <c r="P67" s="124" t="s">
        <v>351</v>
      </c>
      <c r="Q67" s="125">
        <v>0.05</v>
      </c>
      <c r="R67" s="125">
        <v>0.1</v>
      </c>
      <c r="S67" s="125">
        <v>0.15</v>
      </c>
      <c r="T67" s="125">
        <v>0.25</v>
      </c>
      <c r="U67" s="125">
        <v>0.35</v>
      </c>
      <c r="V67" s="125">
        <v>0.45</v>
      </c>
      <c r="W67" s="125">
        <v>0.55000000000000004</v>
      </c>
      <c r="X67" s="126">
        <v>0.65</v>
      </c>
      <c r="Y67" s="26"/>
      <c r="Z67" s="26"/>
      <c r="AA67" s="26"/>
      <c r="AB67" s="26"/>
      <c r="AC67" s="26"/>
      <c r="AD67" s="70"/>
      <c r="AE67" s="70"/>
      <c r="AF67" s="70"/>
      <c r="AG67" s="69"/>
      <c r="AX67" s="5"/>
      <c r="AY67" s="5"/>
      <c r="AZ67" s="5"/>
      <c r="BA67" s="82"/>
    </row>
    <row r="68" spans="1:53" x14ac:dyDescent="0.15">
      <c r="B68" s="219" t="s">
        <v>360</v>
      </c>
      <c r="C68" s="45"/>
      <c r="D68" s="45"/>
      <c r="E68" s="220" t="e">
        <f>IF($BC$95&lt;=#REF!,VLOOKUP($C$8,$BB$96:$BH$135,2,FALSE),IF($BC$95&lt;=#REF!,VLOOKUP($C$8,$BB$96:$BH$135,3,FALSE),IF($BC$95&lt;=#REF!,VLOOKUP($C$8,$BB$96:$BH$135,4,FALSE),IF($BC$95&lt;=#REF!,VLOOKUP($C$8,$BB$96:$BH$135,5,FALSE),IF($BC$95&lt;=#REF!,VLOOKUP($C$8,$BB$96:$BH$135,6,FALSE),VLOOKUP($C$8,$BB$96:$BH$135,7,FALSE))))))</f>
        <v>#REF!</v>
      </c>
      <c r="F68" s="150"/>
      <c r="G68" s="150"/>
      <c r="H68" s="150"/>
      <c r="I68" s="221"/>
      <c r="J68" s="222" t="e">
        <f>IF(#REF!&lt;=#REF!,VLOOKUP($C$8,$BB$96:$BH$135,2,FALSE),IF(#REF!&lt;=#REF!,VLOOKUP($C$8,$BB$96:$BH$135,3,FALSE),IF(#REF!&lt;=#REF!,VLOOKUP($C$8,$BB$96:$BH$135,4,FALSE),IF(#REF!&lt;=#REF!,VLOOKUP($C$8,$BB$96:$BH$135,5,FALSE),IF(#REF!&lt;=#REF!,VLOOKUP($C$8,$BB$96:$BH$135,6,FALSE),VLOOKUP($C$8,$BB$96:$BH$135,7,FALSE))))))</f>
        <v>#REF!</v>
      </c>
      <c r="K68" s="150" t="s">
        <v>448</v>
      </c>
      <c r="L68" s="153"/>
      <c r="M68" s="150"/>
      <c r="N68" s="223" t="str">
        <f>IF($K$2=$O$2,J107,IF($K$2=$O$3,J108,IF($K$2=$O$4,J109,IF($K$2=$O$5,J110,"NÃO CABE"))))</f>
        <v>NÃO CABE</v>
      </c>
      <c r="O68" s="254" t="str">
        <f>VLOOKUP($E$6,$B$137:$C$234,2,FALSE)</f>
        <v>TRIÊNIO</v>
      </c>
      <c r="AC68" s="7"/>
      <c r="AD68" s="70"/>
      <c r="AE68" s="70"/>
      <c r="AF68" s="70"/>
      <c r="AG68" s="69"/>
      <c r="AX68" s="5"/>
      <c r="AY68" s="5"/>
      <c r="AZ68" s="5"/>
      <c r="BA68" s="82"/>
    </row>
    <row r="69" spans="1:53" x14ac:dyDescent="0.15">
      <c r="A69" s="295"/>
      <c r="B69" s="219" t="s">
        <v>505</v>
      </c>
      <c r="C69" s="150"/>
      <c r="D69" s="224"/>
      <c r="E69" s="31" t="str">
        <f>K2</f>
        <v>REGRA PERMANENTE</v>
      </c>
      <c r="F69" s="150"/>
      <c r="G69" s="150"/>
      <c r="H69" s="150"/>
      <c r="I69" s="221"/>
      <c r="J69" s="222"/>
      <c r="K69" s="153" t="s">
        <v>513</v>
      </c>
      <c r="L69" s="150"/>
      <c r="M69" s="150"/>
      <c r="N69" s="225">
        <f>IF(N68="NÃO CABE",0,N68)</f>
        <v>0</v>
      </c>
      <c r="O69" s="1063"/>
      <c r="P69" s="117" t="s">
        <v>700</v>
      </c>
      <c r="Q69" s="118">
        <v>3</v>
      </c>
      <c r="R69" s="118">
        <v>6</v>
      </c>
      <c r="S69" s="118">
        <v>9</v>
      </c>
      <c r="T69" s="118">
        <v>12</v>
      </c>
      <c r="U69" s="118">
        <v>15</v>
      </c>
      <c r="V69" s="118">
        <v>18</v>
      </c>
      <c r="W69" s="118">
        <v>21</v>
      </c>
      <c r="X69" s="118">
        <v>24</v>
      </c>
      <c r="Y69" s="118">
        <v>27</v>
      </c>
      <c r="Z69" s="118">
        <v>30</v>
      </c>
      <c r="AA69" s="118">
        <v>33</v>
      </c>
      <c r="AB69" s="118">
        <v>36</v>
      </c>
      <c r="AC69" s="127">
        <v>39</v>
      </c>
      <c r="AD69" s="70"/>
      <c r="AE69" s="70"/>
      <c r="AF69" s="70"/>
      <c r="AG69" s="69"/>
      <c r="AX69" s="5"/>
      <c r="AY69" s="5"/>
      <c r="AZ69" s="5"/>
      <c r="BA69" s="82"/>
    </row>
    <row r="70" spans="1:53" x14ac:dyDescent="0.15">
      <c r="A70" s="295"/>
      <c r="B70" s="219" t="s">
        <v>506</v>
      </c>
      <c r="C70" s="150"/>
      <c r="D70" s="45"/>
      <c r="E70" s="31" t="str">
        <f>E2</f>
        <v>VOLUNTÁRIA ESPECIAL</v>
      </c>
      <c r="F70" s="150"/>
      <c r="G70" s="150"/>
      <c r="H70" s="150"/>
      <c r="I70" s="221"/>
      <c r="J70" s="222"/>
      <c r="K70" s="150" t="s">
        <v>511</v>
      </c>
      <c r="L70" s="153"/>
      <c r="M70" s="150"/>
      <c r="N70" s="226" t="str">
        <f>IF(K2=O3,IF(M109&gt;=N109,N108,"NÃO CABE"),"NÃO CABE")</f>
        <v>NÃO CABE</v>
      </c>
      <c r="O70" s="1064"/>
      <c r="P70" s="124" t="s">
        <v>351</v>
      </c>
      <c r="Q70" s="128">
        <v>6.5000000000000002E-2</v>
      </c>
      <c r="R70" s="128">
        <v>0.13</v>
      </c>
      <c r="S70" s="128">
        <v>0.19500000000000001</v>
      </c>
      <c r="T70" s="128">
        <v>0.26</v>
      </c>
      <c r="U70" s="128">
        <v>0.32500000000000001</v>
      </c>
      <c r="V70" s="128">
        <v>0.39</v>
      </c>
      <c r="W70" s="128">
        <v>0.45500000000000002</v>
      </c>
      <c r="X70" s="128">
        <v>0.52</v>
      </c>
      <c r="Y70" s="128">
        <v>0.58499999999999996</v>
      </c>
      <c r="Z70" s="128">
        <v>0.65</v>
      </c>
      <c r="AA70" s="128">
        <v>0.71499999999999997</v>
      </c>
      <c r="AB70" s="128">
        <v>0.78</v>
      </c>
      <c r="AC70" s="147">
        <v>0.84499999999999997</v>
      </c>
      <c r="AD70" s="70"/>
      <c r="AE70" s="70"/>
      <c r="AF70" s="70"/>
      <c r="AG70" s="69"/>
      <c r="AX70" s="5"/>
      <c r="AY70" s="5"/>
      <c r="AZ70" s="11"/>
      <c r="BA70" s="84"/>
    </row>
    <row r="71" spans="1:53" x14ac:dyDescent="0.15">
      <c r="A71" s="295"/>
      <c r="B71" s="219" t="s">
        <v>501</v>
      </c>
      <c r="C71" s="150"/>
      <c r="D71" s="227"/>
      <c r="E71" s="29" t="str">
        <f>IF($E$2=$L$116,$O$116,IF($E$2=$L$117,$O$117,IF($E$2=$L$118,$O$118,IF($E$2=$L$119,$O$119,IF($E$2=$L$120,$O$120,$O$121)))))</f>
        <v>REANALISAR FUNDAMENTAÇÃO E/OU MODALIDADE</v>
      </c>
      <c r="F71" s="150"/>
      <c r="G71" s="228"/>
      <c r="H71" s="150"/>
      <c r="I71" s="229"/>
      <c r="J71" s="230"/>
      <c r="K71" s="153" t="s">
        <v>512</v>
      </c>
      <c r="L71" s="150"/>
      <c r="M71" s="150"/>
      <c r="N71" s="231">
        <f>IF(N70="NÃO CABE",0,N70)</f>
        <v>0</v>
      </c>
      <c r="AC71" s="7"/>
      <c r="AD71" s="70"/>
      <c r="AE71" s="70"/>
      <c r="AF71" s="70"/>
      <c r="AG71" s="69"/>
      <c r="AX71" s="5"/>
      <c r="AY71" s="5"/>
      <c r="AZ71" s="11"/>
      <c r="BA71" s="84"/>
    </row>
    <row r="72" spans="1:53" x14ac:dyDescent="0.15">
      <c r="A72" s="295"/>
      <c r="B72" s="219" t="s">
        <v>502</v>
      </c>
      <c r="C72" s="29"/>
      <c r="D72" s="227"/>
      <c r="E72" s="232"/>
      <c r="F72" s="72" t="b">
        <f>C64</f>
        <v>0</v>
      </c>
      <c r="G72" s="228"/>
      <c r="H72" s="153"/>
      <c r="I72" s="153"/>
      <c r="J72" s="153" t="s">
        <v>333</v>
      </c>
      <c r="K72" s="150"/>
      <c r="L72" s="153"/>
      <c r="M72" s="153"/>
      <c r="N72" s="233"/>
      <c r="P72" s="117" t="s">
        <v>604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38"/>
      <c r="AB72" s="127"/>
      <c r="AC72" s="69"/>
      <c r="AD72" s="21"/>
      <c r="AE72" s="21"/>
      <c r="AF72" s="21"/>
      <c r="AX72" s="11"/>
      <c r="AY72" s="11"/>
      <c r="AZ72" s="11"/>
      <c r="BA72" s="84"/>
    </row>
    <row r="73" spans="1:53" x14ac:dyDescent="0.15">
      <c r="A73" s="295"/>
      <c r="B73" s="219" t="s">
        <v>544</v>
      </c>
      <c r="C73" s="29" t="str">
        <f>IF(N8=0,"FALTA DATA",IF(N8&gt;=Q14,"APÓS CF/88: CONCURSO?","ANTERIOR CF/88"))</f>
        <v>FALTA DATA</v>
      </c>
      <c r="D73" s="227"/>
      <c r="E73" s="232"/>
      <c r="F73" s="72"/>
      <c r="G73" s="228"/>
      <c r="H73" s="153"/>
      <c r="I73" s="153"/>
      <c r="J73" s="153" t="s">
        <v>538</v>
      </c>
      <c r="K73" s="150"/>
      <c r="L73" s="150"/>
      <c r="M73" s="234" t="str">
        <f>IF($K$2=$O$3,$Q$4,IF($K$2=$O$4,$R$4,IF($K$2=$O$5,$T$4,IF($K$2=$O$6,$S$4,IF($K$2=$O$7,$U$4,"NÃO CABE")))))</f>
        <v>NÃO CUMPRE</v>
      </c>
      <c r="N73" s="233"/>
      <c r="P73" s="122" t="s">
        <v>349</v>
      </c>
      <c r="Q73" s="5">
        <v>5</v>
      </c>
      <c r="R73" s="5">
        <v>10</v>
      </c>
      <c r="S73" s="5">
        <v>15</v>
      </c>
      <c r="T73" s="5">
        <v>20</v>
      </c>
      <c r="U73" s="5">
        <v>25</v>
      </c>
      <c r="V73" s="5">
        <v>30</v>
      </c>
      <c r="W73" s="5">
        <v>35</v>
      </c>
      <c r="X73" s="5">
        <v>40</v>
      </c>
      <c r="Y73" s="5">
        <v>45</v>
      </c>
      <c r="Z73" s="5">
        <v>50</v>
      </c>
      <c r="AA73" s="5">
        <v>55</v>
      </c>
      <c r="AB73" s="76">
        <v>60</v>
      </c>
      <c r="AC73" s="69"/>
      <c r="AD73" s="21"/>
      <c r="AE73" s="21"/>
      <c r="AF73" s="21"/>
      <c r="AS73" s="5"/>
      <c r="AT73" s="5"/>
      <c r="AU73" s="5"/>
      <c r="AV73" s="5"/>
      <c r="AW73" s="5"/>
      <c r="AX73" s="5"/>
      <c r="AY73" s="5"/>
      <c r="AZ73" s="11"/>
      <c r="BA73" s="84"/>
    </row>
    <row r="74" spans="1:53" x14ac:dyDescent="0.15">
      <c r="A74" s="295"/>
      <c r="B74" s="219"/>
      <c r="C74" s="235">
        <f>IF(OR($J$8=0,$J$9=0),0,IF(OR($J$8&lt;$N$8,$J$9&lt;$N$8),"REVER INÍCIO DE CARGO E/OU CARREIRA","INÍCIO DE CARGO E/OU CARREIRA - OK"))</f>
        <v>0</v>
      </c>
      <c r="D74" s="227"/>
      <c r="E74" s="232"/>
      <c r="F74" s="72"/>
      <c r="G74" s="228"/>
      <c r="H74" s="153"/>
      <c r="I74" s="153"/>
      <c r="J74" s="153" t="s">
        <v>539</v>
      </c>
      <c r="K74" s="150"/>
      <c r="L74" s="150"/>
      <c r="M74" s="234" t="str">
        <f>IF($K$2=$O$6,S6,IF($K$2=$O$7,$U$6,"NÃO CABE"))</f>
        <v>NÃO CABE</v>
      </c>
      <c r="N74" s="236"/>
      <c r="P74" s="124" t="s">
        <v>351</v>
      </c>
      <c r="Q74" s="125">
        <v>0.05</v>
      </c>
      <c r="R74" s="125">
        <v>0.1</v>
      </c>
      <c r="S74" s="125">
        <v>0.15</v>
      </c>
      <c r="T74" s="125">
        <v>0.2</v>
      </c>
      <c r="U74" s="125">
        <v>0.25</v>
      </c>
      <c r="V74" s="125">
        <v>0.3</v>
      </c>
      <c r="W74" s="125">
        <v>0.35</v>
      </c>
      <c r="X74" s="125">
        <v>0.4</v>
      </c>
      <c r="Y74" s="125">
        <v>0.45</v>
      </c>
      <c r="Z74" s="125">
        <v>0.5</v>
      </c>
      <c r="AA74" s="125">
        <v>0.55000000000000004</v>
      </c>
      <c r="AB74" s="126">
        <v>0.6</v>
      </c>
      <c r="AC74" s="69"/>
      <c r="AD74" s="21"/>
      <c r="AE74" s="21"/>
      <c r="AF74" s="21"/>
      <c r="AS74" s="26"/>
      <c r="AT74" s="26"/>
      <c r="AU74" s="26"/>
      <c r="AV74" s="26"/>
      <c r="AW74" s="26"/>
      <c r="AX74" s="26"/>
      <c r="AY74" s="26"/>
      <c r="AZ74" s="11"/>
      <c r="BA74" s="85"/>
    </row>
    <row r="75" spans="1:53" ht="15" thickBot="1" x14ac:dyDescent="0.2">
      <c r="A75" s="295"/>
      <c r="B75" s="237" t="s">
        <v>452</v>
      </c>
      <c r="C75" s="238"/>
      <c r="D75" s="239">
        <f>IF(OR(E6=B205,E6=B217,E6=B228),IF(L217&gt;=25,"FAZ JUS A 1/6 DA REMUNERAÇÃO",IF(L228&gt;=25,"FAZ JUS A 1/6 DA REMUNERAÇÃO",IF(L205&gt;=25,"FAZ JUS A 1/6 DA REMUNERAÇÃO",0))),0)</f>
        <v>0</v>
      </c>
      <c r="E75" s="238"/>
      <c r="F75" s="238"/>
      <c r="G75" s="238"/>
      <c r="H75" s="238"/>
      <c r="I75" s="238"/>
      <c r="J75" s="240" t="s">
        <v>540</v>
      </c>
      <c r="K75" s="238"/>
      <c r="L75" s="238"/>
      <c r="M75" s="241" t="str">
        <f>IF($K$2=$O$3,$Q$7,IF($K$2=$O$6,$S$7,IF($K$2=$O$7,$U$7,$O$75)))</f>
        <v>NÃO CUMPRE</v>
      </c>
      <c r="N75" s="242"/>
      <c r="O75" s="255" t="str">
        <f>IF($K$2=$O$2,IF($O$10&lt;$Q$15,IF($F$72&lt;180,"NÃO CABE",$O$76),$O$76),$O$76)</f>
        <v>NÃO CUMPRE</v>
      </c>
      <c r="P75" s="129" t="s">
        <v>359</v>
      </c>
      <c r="Q75" s="130"/>
      <c r="R75" s="131"/>
      <c r="S75" s="132">
        <f>IF(ISERROR(HLOOKUP($J$182,$Q$73:$W$74,2)),0,HLOOKUP($J$182,$Q$73:$W$74,2))</f>
        <v>0</v>
      </c>
      <c r="T75" s="133" t="s">
        <v>451</v>
      </c>
      <c r="U75" s="132"/>
      <c r="V75" s="133"/>
      <c r="W75" s="132">
        <f>IF(ISERROR(HLOOKUP($K$182,$Q$73:$W$74,2)),0,HLOOKUP($K$182,$Q$73:$W$74,2))</f>
        <v>0</v>
      </c>
      <c r="X75" s="134" t="s">
        <v>507</v>
      </c>
      <c r="Y75" s="135"/>
      <c r="Z75" s="136"/>
      <c r="AA75" s="134"/>
      <c r="AB75" s="137">
        <f>IF(ISERROR(HLOOKUP($L$182,$Q$73:$W$74,2)),0,HLOOKUP($L$182,$Q$73:$W$74,2))</f>
        <v>0</v>
      </c>
      <c r="AC75" s="7"/>
      <c r="AD75" s="70"/>
      <c r="AE75" s="70"/>
      <c r="AF75" s="70"/>
      <c r="AG75" s="69"/>
      <c r="AX75" s="11"/>
      <c r="AY75" s="11"/>
      <c r="AZ75" s="11"/>
      <c r="BA75" s="85"/>
    </row>
    <row r="76" spans="1:53" x14ac:dyDescent="0.15">
      <c r="A76" s="295"/>
      <c r="C76" s="21"/>
      <c r="D76" s="21"/>
      <c r="K76" s="150"/>
      <c r="L76" s="150"/>
      <c r="M76" s="234"/>
      <c r="N76" s="260"/>
      <c r="O76" s="391" t="str">
        <f>IF($F$72="NADA A CUMPRIR","OK",IF($F$72="NÃO CABE","NÃO CABE","NÃO CUMPRE"))</f>
        <v>NÃO CUMPRE</v>
      </c>
      <c r="P76" s="28"/>
      <c r="Q76" s="8"/>
      <c r="R76" s="5"/>
      <c r="S76" s="27"/>
      <c r="T76" s="28"/>
      <c r="U76" s="27"/>
      <c r="V76" s="28"/>
      <c r="W76" s="27"/>
      <c r="X76" s="114"/>
      <c r="Y76" s="100"/>
      <c r="Z76" s="115"/>
      <c r="AA76" s="114"/>
      <c r="AB76" s="114"/>
      <c r="AC76" s="7"/>
      <c r="AD76" s="70"/>
      <c r="AE76" s="70"/>
      <c r="AF76" s="70"/>
      <c r="AG76" s="69"/>
      <c r="AX76" s="11"/>
      <c r="AY76" s="11"/>
      <c r="AZ76" s="11"/>
      <c r="BA76" s="85"/>
    </row>
    <row r="77" spans="1:53" ht="13.5" hidden="1" x14ac:dyDescent="0.15">
      <c r="A77" s="295"/>
      <c r="B77" s="35" t="s">
        <v>506</v>
      </c>
      <c r="C77" s="35" t="s">
        <v>501</v>
      </c>
      <c r="D77" s="412"/>
      <c r="E77" s="412" t="s">
        <v>747</v>
      </c>
      <c r="F77" s="413" t="s">
        <v>657</v>
      </c>
      <c r="G77" s="18"/>
      <c r="H77" s="412" t="s">
        <v>748</v>
      </c>
      <c r="I77" s="35" t="s">
        <v>749</v>
      </c>
      <c r="J77" s="9" t="s">
        <v>529</v>
      </c>
      <c r="K77" s="5" t="s">
        <v>530</v>
      </c>
      <c r="L77" s="74"/>
      <c r="M77" s="74" t="s">
        <v>750</v>
      </c>
      <c r="N77" s="412" t="s">
        <v>751</v>
      </c>
      <c r="O77" s="255"/>
      <c r="P77" s="117" t="s">
        <v>605</v>
      </c>
      <c r="Q77" s="118">
        <v>5</v>
      </c>
      <c r="R77" s="118">
        <v>10</v>
      </c>
      <c r="S77" s="118">
        <v>15</v>
      </c>
      <c r="T77" s="118">
        <v>20</v>
      </c>
      <c r="U77" s="118">
        <v>25</v>
      </c>
      <c r="V77" s="118">
        <v>30</v>
      </c>
      <c r="W77" s="118">
        <v>35</v>
      </c>
      <c r="X77" s="118">
        <v>40</v>
      </c>
      <c r="Y77" s="118">
        <v>45</v>
      </c>
      <c r="Z77" s="118">
        <v>50</v>
      </c>
      <c r="AA77" s="118">
        <v>55</v>
      </c>
      <c r="AB77" s="127">
        <v>60</v>
      </c>
      <c r="AC77" s="7"/>
      <c r="AD77" s="70"/>
      <c r="AE77" s="70"/>
      <c r="AF77" s="70"/>
      <c r="AG77" s="69"/>
      <c r="AX77" s="11"/>
      <c r="AY77" s="11"/>
      <c r="AZ77" s="11"/>
      <c r="BA77" s="85"/>
    </row>
    <row r="78" spans="1:53" ht="13.5" hidden="1" x14ac:dyDescent="0.15">
      <c r="A78" s="295"/>
      <c r="B78" s="35" t="s">
        <v>450</v>
      </c>
      <c r="C78" s="414" t="str">
        <f t="shared" ref="C78:C87" si="0">IF(OR($E$71="NADA A CRITICAR",$E$71="ATENDE LIMITE MÍNIMO DE IDADE"),"SIM","NÃO")</f>
        <v>NÃO</v>
      </c>
      <c r="D78" s="415"/>
      <c r="E78" s="18" t="s">
        <v>463</v>
      </c>
      <c r="F78" s="416"/>
      <c r="G78" s="18"/>
      <c r="H78" s="414" t="str">
        <f t="shared" ref="H78:H87" si="1">IF(OR($F$72="NADA A CUMPRIR",$F$72="NÃO CABE"),"SIM","NÃO")</f>
        <v>NÃO</v>
      </c>
      <c r="I78" s="413" t="str">
        <f>IF(N78="SIM","SIM","NÃO")</f>
        <v>NÃO</v>
      </c>
      <c r="J78" s="414" t="str">
        <f t="shared" ref="J78:J87" si="2">IF(OR($M$73="NÃO CABE",$M$73="ATENDE"),"SIM","NÃO")</f>
        <v>NÃO</v>
      </c>
      <c r="K78" s="414" t="str">
        <f t="shared" ref="K78:K87" si="3">IF(OR($M$74="NÃO CABE",$M$74="ATENDE"),"SIM","NÃO")</f>
        <v>SIM</v>
      </c>
      <c r="L78" s="412"/>
      <c r="M78" s="414" t="str">
        <f t="shared" ref="M78:M87" si="4">IF(OR($M$75="ATENDE",$M$75="OK"),"SIM","NÃO")</f>
        <v>NÃO</v>
      </c>
      <c r="N78" s="414" t="str">
        <f t="shared" ref="N78:N87" si="5">IF(AND(C78="SIM",H78="SIM",J78="SIM",K78="SIM",M78="SIM"),"SIM","NÃO")</f>
        <v>NÃO</v>
      </c>
      <c r="O78" s="255"/>
      <c r="P78" s="124" t="s">
        <v>351</v>
      </c>
      <c r="Q78" s="125">
        <v>0.1</v>
      </c>
      <c r="R78" s="125">
        <v>0.2</v>
      </c>
      <c r="S78" s="125">
        <v>0.3</v>
      </c>
      <c r="T78" s="125">
        <v>0.4</v>
      </c>
      <c r="U78" s="125">
        <v>0.5</v>
      </c>
      <c r="V78" s="125">
        <v>0.6</v>
      </c>
      <c r="W78" s="125">
        <v>0.7</v>
      </c>
      <c r="X78" s="125">
        <v>0.8</v>
      </c>
      <c r="Y78" s="125">
        <v>0.9</v>
      </c>
      <c r="Z78" s="125">
        <v>1</v>
      </c>
      <c r="AA78" s="125">
        <v>1.1000000000000001</v>
      </c>
      <c r="AB78" s="126">
        <v>1.2</v>
      </c>
      <c r="AC78" s="7"/>
      <c r="AD78" s="70"/>
      <c r="AE78" s="70"/>
      <c r="AF78" s="70"/>
      <c r="AG78" s="69"/>
      <c r="AX78" s="11"/>
      <c r="AY78" s="11"/>
      <c r="AZ78" s="11"/>
      <c r="BA78" s="85"/>
    </row>
    <row r="79" spans="1:53" ht="13.5" hidden="1" x14ac:dyDescent="0.15">
      <c r="A79" s="295"/>
      <c r="B79" s="35" t="s">
        <v>450</v>
      </c>
      <c r="C79" s="414" t="str">
        <f t="shared" si="0"/>
        <v>NÃO</v>
      </c>
      <c r="D79" s="415"/>
      <c r="E79" s="18" t="s">
        <v>485</v>
      </c>
      <c r="F79" s="18"/>
      <c r="G79" s="18"/>
      <c r="H79" s="414" t="str">
        <f t="shared" si="1"/>
        <v>NÃO</v>
      </c>
      <c r="I79" s="413" t="str">
        <f>IF($D$14="X",IF($N$79="SIM","SIM","NÃO"),"NÃO")</f>
        <v>NÃO</v>
      </c>
      <c r="J79" s="414" t="str">
        <f t="shared" si="2"/>
        <v>NÃO</v>
      </c>
      <c r="K79" s="414" t="str">
        <f t="shared" si="3"/>
        <v>SIM</v>
      </c>
      <c r="L79" s="412"/>
      <c r="M79" s="414" t="str">
        <f t="shared" si="4"/>
        <v>NÃO</v>
      </c>
      <c r="N79" s="414" t="str">
        <f t="shared" si="5"/>
        <v>NÃO</v>
      </c>
      <c r="O79" s="255"/>
      <c r="P79" s="28"/>
      <c r="Q79" s="8"/>
      <c r="R79" s="5"/>
      <c r="S79" s="27"/>
      <c r="T79" s="28"/>
      <c r="U79" s="27"/>
      <c r="V79" s="28"/>
      <c r="W79" s="27"/>
      <c r="X79" s="114"/>
      <c r="Y79" s="100"/>
      <c r="Z79" s="115"/>
      <c r="AA79" s="114"/>
      <c r="AB79" s="114"/>
      <c r="AC79" s="7"/>
      <c r="AD79" s="70"/>
      <c r="AE79" s="70"/>
      <c r="AF79" s="70"/>
      <c r="AG79" s="69"/>
      <c r="AX79" s="11"/>
      <c r="AY79" s="11"/>
      <c r="AZ79" s="11"/>
      <c r="BA79" s="85"/>
    </row>
    <row r="80" spans="1:53" ht="13.5" hidden="1" x14ac:dyDescent="0.15">
      <c r="A80" s="295"/>
      <c r="B80" s="35" t="s">
        <v>450</v>
      </c>
      <c r="C80" s="414" t="str">
        <f t="shared" si="0"/>
        <v>NÃO</v>
      </c>
      <c r="D80" s="415"/>
      <c r="E80" s="18" t="s">
        <v>752</v>
      </c>
      <c r="F80" s="18"/>
      <c r="G80" s="18"/>
      <c r="H80" s="414" t="str">
        <f t="shared" si="1"/>
        <v>NÃO</v>
      </c>
      <c r="I80" s="413" t="str">
        <f t="shared" ref="I80:I85" si="6">IF(N80="SIM","SIM","NÃO")</f>
        <v>NÃO</v>
      </c>
      <c r="J80" s="414" t="str">
        <f t="shared" si="2"/>
        <v>NÃO</v>
      </c>
      <c r="K80" s="414" t="str">
        <f t="shared" si="3"/>
        <v>SIM</v>
      </c>
      <c r="L80" s="412"/>
      <c r="M80" s="414" t="str">
        <f t="shared" si="4"/>
        <v>NÃO</v>
      </c>
      <c r="N80" s="414" t="str">
        <f t="shared" si="5"/>
        <v>NÃO</v>
      </c>
      <c r="O80" s="255"/>
      <c r="P80" s="117" t="s">
        <v>605</v>
      </c>
      <c r="Q80" s="118">
        <v>5</v>
      </c>
      <c r="R80" s="118">
        <v>10</v>
      </c>
      <c r="S80" s="118">
        <v>15</v>
      </c>
      <c r="T80" s="118">
        <v>20</v>
      </c>
      <c r="U80" s="118">
        <v>25</v>
      </c>
      <c r="V80" s="118">
        <v>30</v>
      </c>
      <c r="W80" s="127">
        <v>35</v>
      </c>
      <c r="X80" s="114"/>
      <c r="Y80" s="100"/>
      <c r="Z80" s="115"/>
      <c r="AA80" s="114"/>
      <c r="AB80" s="114"/>
      <c r="AC80" s="7"/>
      <c r="AD80" s="70"/>
      <c r="AE80" s="70"/>
      <c r="AF80" s="70"/>
      <c r="AG80" s="69"/>
      <c r="AX80" s="11"/>
      <c r="AY80" s="11"/>
      <c r="AZ80" s="11"/>
      <c r="BA80" s="85"/>
    </row>
    <row r="81" spans="1:64" ht="13.5" hidden="1" x14ac:dyDescent="0.15">
      <c r="A81" s="295"/>
      <c r="B81" s="35" t="s">
        <v>450</v>
      </c>
      <c r="C81" s="414" t="str">
        <f t="shared" si="0"/>
        <v>NÃO</v>
      </c>
      <c r="D81" s="415"/>
      <c r="E81" s="18" t="s">
        <v>753</v>
      </c>
      <c r="F81" s="18"/>
      <c r="G81" s="18"/>
      <c r="H81" s="414" t="str">
        <f t="shared" si="1"/>
        <v>NÃO</v>
      </c>
      <c r="I81" s="413" t="str">
        <f t="shared" si="6"/>
        <v>NÃO</v>
      </c>
      <c r="J81" s="414" t="str">
        <f t="shared" si="2"/>
        <v>NÃO</v>
      </c>
      <c r="K81" s="414" t="str">
        <f t="shared" si="3"/>
        <v>SIM</v>
      </c>
      <c r="L81" s="412"/>
      <c r="M81" s="414" t="str">
        <f t="shared" si="4"/>
        <v>NÃO</v>
      </c>
      <c r="N81" s="414" t="str">
        <f t="shared" si="5"/>
        <v>NÃO</v>
      </c>
      <c r="O81" s="255"/>
      <c r="P81" s="124" t="s">
        <v>351</v>
      </c>
      <c r="Q81" s="125">
        <v>0.1</v>
      </c>
      <c r="R81" s="125">
        <v>0.15</v>
      </c>
      <c r="S81" s="125">
        <v>0.2</v>
      </c>
      <c r="T81" s="125">
        <v>0.25</v>
      </c>
      <c r="U81" s="125">
        <v>0.3</v>
      </c>
      <c r="V81" s="125">
        <v>0.35</v>
      </c>
      <c r="W81" s="126">
        <v>0.4</v>
      </c>
      <c r="X81" s="114"/>
      <c r="Y81" s="100"/>
      <c r="Z81" s="115"/>
      <c r="AA81" s="114"/>
      <c r="AB81" s="114"/>
      <c r="AC81" s="7"/>
      <c r="AD81" s="70"/>
      <c r="AE81" s="70"/>
      <c r="AF81" s="70"/>
      <c r="AG81" s="69"/>
      <c r="AX81" s="11"/>
      <c r="AY81" s="11"/>
      <c r="AZ81" s="11"/>
      <c r="BA81" s="85"/>
    </row>
    <row r="82" spans="1:64" ht="13.5" hidden="1" x14ac:dyDescent="0.15">
      <c r="A82" s="295"/>
      <c r="B82" s="35" t="s">
        <v>450</v>
      </c>
      <c r="C82" s="414" t="str">
        <f t="shared" si="0"/>
        <v>NÃO</v>
      </c>
      <c r="D82" s="415"/>
      <c r="E82" s="18" t="s">
        <v>754</v>
      </c>
      <c r="F82" s="18"/>
      <c r="G82" s="18"/>
      <c r="H82" s="414" t="str">
        <f t="shared" si="1"/>
        <v>NÃO</v>
      </c>
      <c r="I82" s="413" t="str">
        <f t="shared" si="6"/>
        <v>NÃO</v>
      </c>
      <c r="J82" s="414" t="str">
        <f t="shared" si="2"/>
        <v>NÃO</v>
      </c>
      <c r="K82" s="414" t="str">
        <f t="shared" si="3"/>
        <v>SIM</v>
      </c>
      <c r="L82" s="412"/>
      <c r="M82" s="414" t="str">
        <f t="shared" si="4"/>
        <v>NÃO</v>
      </c>
      <c r="N82" s="414" t="str">
        <f t="shared" si="5"/>
        <v>NÃO</v>
      </c>
      <c r="O82" s="255"/>
      <c r="P82" s="28"/>
      <c r="Q82" s="8"/>
      <c r="R82" s="5"/>
      <c r="S82" s="27"/>
      <c r="T82" s="28"/>
      <c r="U82" s="27"/>
      <c r="V82" s="28"/>
      <c r="W82" s="27"/>
      <c r="X82" s="114"/>
      <c r="Y82" s="100"/>
      <c r="Z82" s="115"/>
      <c r="AA82" s="114"/>
      <c r="AB82" s="114"/>
      <c r="AC82" s="7"/>
      <c r="AD82" s="70"/>
      <c r="AE82" s="70"/>
      <c r="AF82" s="70"/>
      <c r="AG82" s="69"/>
      <c r="AX82" s="11"/>
      <c r="AY82" s="11"/>
      <c r="AZ82" s="11"/>
      <c r="BA82" s="85"/>
    </row>
    <row r="83" spans="1:64" ht="13.5" hidden="1" x14ac:dyDescent="0.15">
      <c r="A83" s="295"/>
      <c r="B83" s="616" t="s">
        <v>487</v>
      </c>
      <c r="C83" s="414" t="str">
        <f t="shared" si="0"/>
        <v>NÃO</v>
      </c>
      <c r="D83" s="415"/>
      <c r="E83" s="18" t="s">
        <v>463</v>
      </c>
      <c r="F83" s="416"/>
      <c r="G83" s="18"/>
      <c r="H83" s="414" t="str">
        <f t="shared" si="1"/>
        <v>NÃO</v>
      </c>
      <c r="I83" s="413" t="str">
        <f t="shared" si="6"/>
        <v>NÃO</v>
      </c>
      <c r="J83" s="414" t="str">
        <f t="shared" si="2"/>
        <v>NÃO</v>
      </c>
      <c r="K83" s="414" t="str">
        <f t="shared" si="3"/>
        <v>SIM</v>
      </c>
      <c r="L83" s="412"/>
      <c r="M83" s="414" t="str">
        <f t="shared" si="4"/>
        <v>NÃO</v>
      </c>
      <c r="N83" s="414" t="str">
        <f t="shared" si="5"/>
        <v>NÃO</v>
      </c>
      <c r="O83" s="255"/>
      <c r="P83" s="28"/>
      <c r="Q83" s="8"/>
      <c r="R83" s="5"/>
      <c r="S83" s="27"/>
      <c r="T83" s="28"/>
      <c r="U83" s="27"/>
      <c r="V83" s="28"/>
      <c r="W83" s="27"/>
      <c r="X83" s="114"/>
      <c r="Y83" s="100"/>
      <c r="Z83" s="115"/>
      <c r="AA83" s="114"/>
      <c r="AB83" s="114"/>
      <c r="AC83" s="7"/>
      <c r="AD83" s="70"/>
      <c r="AE83" s="70"/>
      <c r="AF83" s="70"/>
      <c r="AG83" s="69"/>
      <c r="AX83" s="11"/>
      <c r="AY83" s="11"/>
      <c r="AZ83" s="11"/>
      <c r="BA83" s="85"/>
    </row>
    <row r="84" spans="1:64" ht="13.5" hidden="1" x14ac:dyDescent="0.15">
      <c r="A84" s="295"/>
      <c r="B84" s="616" t="s">
        <v>487</v>
      </c>
      <c r="C84" s="414" t="str">
        <f t="shared" si="0"/>
        <v>NÃO</v>
      </c>
      <c r="D84" s="415"/>
      <c r="E84" s="18" t="s">
        <v>754</v>
      </c>
      <c r="F84" s="631"/>
      <c r="G84" s="18"/>
      <c r="H84" s="414" t="str">
        <f t="shared" si="1"/>
        <v>NÃO</v>
      </c>
      <c r="I84" s="413" t="str">
        <f t="shared" si="6"/>
        <v>NÃO</v>
      </c>
      <c r="J84" s="414" t="str">
        <f t="shared" si="2"/>
        <v>NÃO</v>
      </c>
      <c r="K84" s="414" t="str">
        <f t="shared" si="3"/>
        <v>SIM</v>
      </c>
      <c r="L84" s="412"/>
      <c r="M84" s="414" t="str">
        <f t="shared" si="4"/>
        <v>NÃO</v>
      </c>
      <c r="N84" s="414" t="str">
        <f t="shared" si="5"/>
        <v>NÃO</v>
      </c>
      <c r="O84" s="255"/>
      <c r="P84" s="28"/>
      <c r="Q84" s="8"/>
      <c r="R84" s="5"/>
      <c r="S84" s="27"/>
      <c r="T84" s="28"/>
      <c r="U84" s="27"/>
      <c r="V84" s="28"/>
      <c r="W84" s="27"/>
      <c r="X84" s="114"/>
      <c r="Y84" s="100"/>
      <c r="Z84" s="115"/>
      <c r="AA84" s="114"/>
      <c r="AB84" s="114"/>
      <c r="AC84" s="7"/>
      <c r="AD84" s="70"/>
      <c r="AE84" s="70"/>
      <c r="AF84" s="70"/>
      <c r="AG84" s="69"/>
      <c r="AX84" s="11"/>
      <c r="AY84" s="11"/>
      <c r="AZ84" s="11"/>
      <c r="BA84" s="85"/>
    </row>
    <row r="85" spans="1:64" ht="13.5" hidden="1" x14ac:dyDescent="0.15">
      <c r="A85" s="295"/>
      <c r="B85" s="412" t="s">
        <v>467</v>
      </c>
      <c r="C85" s="414" t="str">
        <f t="shared" si="0"/>
        <v>NÃO</v>
      </c>
      <c r="D85" s="415"/>
      <c r="E85" s="18" t="s">
        <v>463</v>
      </c>
      <c r="F85" s="416"/>
      <c r="G85" s="18"/>
      <c r="H85" s="414" t="str">
        <f t="shared" si="1"/>
        <v>NÃO</v>
      </c>
      <c r="I85" s="413" t="str">
        <f t="shared" si="6"/>
        <v>NÃO</v>
      </c>
      <c r="J85" s="414" t="str">
        <f t="shared" si="2"/>
        <v>NÃO</v>
      </c>
      <c r="K85" s="414" t="str">
        <f t="shared" si="3"/>
        <v>SIM</v>
      </c>
      <c r="L85" s="412"/>
      <c r="M85" s="414" t="str">
        <f t="shared" si="4"/>
        <v>NÃO</v>
      </c>
      <c r="N85" s="414" t="str">
        <f t="shared" si="5"/>
        <v>NÃO</v>
      </c>
      <c r="O85" s="255"/>
      <c r="P85" s="28"/>
      <c r="Q85" s="8"/>
      <c r="R85" s="5"/>
      <c r="S85" s="27"/>
      <c r="T85" s="28"/>
      <c r="U85" s="27"/>
      <c r="V85" s="28"/>
      <c r="W85" s="27"/>
      <c r="X85" s="114"/>
      <c r="Y85" s="100"/>
      <c r="Z85" s="115"/>
      <c r="AA85" s="114"/>
      <c r="AB85" s="114"/>
      <c r="AC85" s="7"/>
      <c r="AD85" s="70"/>
      <c r="AE85" s="70"/>
      <c r="AF85" s="70"/>
      <c r="AG85" s="69"/>
      <c r="AX85" s="11"/>
      <c r="AY85" s="11"/>
      <c r="AZ85" s="11"/>
      <c r="BA85" s="85"/>
    </row>
    <row r="86" spans="1:64" ht="13.5" hidden="1" x14ac:dyDescent="0.15">
      <c r="A86" s="295"/>
      <c r="B86" s="412" t="s">
        <v>467</v>
      </c>
      <c r="C86" s="414" t="str">
        <f t="shared" si="0"/>
        <v>NÃO</v>
      </c>
      <c r="D86" s="415"/>
      <c r="E86" s="18" t="s">
        <v>485</v>
      </c>
      <c r="F86" s="631"/>
      <c r="G86" s="18"/>
      <c r="H86" s="414" t="str">
        <f t="shared" si="1"/>
        <v>NÃO</v>
      </c>
      <c r="I86" s="413" t="str">
        <f>IF($D$14="X",IF($N$79="SIM","SIM","NÃO"),"NÃO")</f>
        <v>NÃO</v>
      </c>
      <c r="J86" s="414" t="str">
        <f t="shared" si="2"/>
        <v>NÃO</v>
      </c>
      <c r="K86" s="414" t="str">
        <f t="shared" si="3"/>
        <v>SIM</v>
      </c>
      <c r="L86" s="412"/>
      <c r="M86" s="414" t="str">
        <f t="shared" si="4"/>
        <v>NÃO</v>
      </c>
      <c r="N86" s="414" t="str">
        <f t="shared" si="5"/>
        <v>NÃO</v>
      </c>
      <c r="O86" s="255"/>
      <c r="P86" s="28"/>
      <c r="Q86" s="8"/>
      <c r="R86" s="5"/>
      <c r="S86" s="27"/>
      <c r="T86" s="28"/>
      <c r="U86" s="27"/>
      <c r="V86" s="28"/>
      <c r="W86" s="27"/>
      <c r="X86" s="114"/>
      <c r="Y86" s="100"/>
      <c r="Z86" s="115"/>
      <c r="AA86" s="114"/>
      <c r="AB86" s="114"/>
      <c r="AC86" s="7"/>
      <c r="AD86" s="70"/>
      <c r="AE86" s="70"/>
      <c r="AF86" s="70"/>
      <c r="AG86" s="69"/>
      <c r="AX86" s="11"/>
      <c r="AY86" s="11"/>
      <c r="AZ86" s="11"/>
      <c r="BA86" s="85"/>
    </row>
    <row r="87" spans="1:64" hidden="1" x14ac:dyDescent="0.15">
      <c r="A87" s="295"/>
      <c r="B87" s="616" t="s">
        <v>484</v>
      </c>
      <c r="C87" s="414" t="str">
        <f t="shared" si="0"/>
        <v>NÃO</v>
      </c>
      <c r="D87" s="546"/>
      <c r="E87" s="33" t="s">
        <v>464</v>
      </c>
      <c r="F87" s="416"/>
      <c r="G87" s="185"/>
      <c r="H87" s="414" t="str">
        <f t="shared" si="1"/>
        <v>NÃO</v>
      </c>
      <c r="I87" s="413" t="str">
        <f>IF($D$14="X",IF($N$79="SIM","SIM","NÃO"),"NÃO")</f>
        <v>NÃO</v>
      </c>
      <c r="J87" s="414" t="str">
        <f t="shared" si="2"/>
        <v>NÃO</v>
      </c>
      <c r="K87" s="414" t="str">
        <f t="shared" si="3"/>
        <v>SIM</v>
      </c>
      <c r="L87" s="185"/>
      <c r="M87" s="414" t="str">
        <f t="shared" si="4"/>
        <v>NÃO</v>
      </c>
      <c r="N87" s="414" t="str">
        <f t="shared" si="5"/>
        <v>NÃO</v>
      </c>
      <c r="O87" s="255"/>
      <c r="P87" s="28"/>
      <c r="Q87" s="8"/>
      <c r="R87" s="5"/>
      <c r="S87" s="27"/>
      <c r="T87" s="28"/>
      <c r="U87" s="27"/>
      <c r="V87" s="28"/>
      <c r="W87" s="27"/>
      <c r="X87" s="114"/>
      <c r="Y87" s="100"/>
      <c r="Z87" s="115"/>
      <c r="AA87" s="114"/>
      <c r="AB87" s="114"/>
      <c r="AC87" s="7"/>
      <c r="AD87" s="70"/>
      <c r="AE87" s="70"/>
      <c r="AF87" s="70"/>
      <c r="AG87" s="69"/>
      <c r="AX87" s="11"/>
      <c r="AY87" s="11"/>
      <c r="AZ87" s="11"/>
      <c r="BA87" s="85"/>
    </row>
    <row r="88" spans="1:64" ht="13.5" hidden="1" x14ac:dyDescent="0.15">
      <c r="A88" s="295"/>
      <c r="B88" s="18" t="s">
        <v>455</v>
      </c>
      <c r="C88" s="414" t="str">
        <f>IF(OR($E$71="NADA A CRITICAR",$E$71="ATENDE LIMITE MÍNIMO DE IDADE"),"SIM","NÃO")</f>
        <v>NÃO</v>
      </c>
      <c r="D88" s="415"/>
      <c r="E88" s="18" t="s">
        <v>463</v>
      </c>
      <c r="F88" s="416"/>
      <c r="G88" s="18"/>
      <c r="H88" s="414" t="str">
        <f>IF(OR($F$72="NADA A CUMPRIR",$F$72="NÃO CABE"),"SIM","NÃO")</f>
        <v>NÃO</v>
      </c>
      <c r="I88" s="413" t="str">
        <f>IF(N88="SIM","SIM","NÃO")</f>
        <v>NÃO</v>
      </c>
      <c r="J88" s="414" t="str">
        <f>IF(OR($M$73="NÃO CABE",$M$73="ATENDE"),"SIM","NÃO")</f>
        <v>NÃO</v>
      </c>
      <c r="K88" s="414" t="str">
        <f>IF(OR($M$74="NÃO CABE",$M$74="ATENDE"),"SIM","NÃO")</f>
        <v>SIM</v>
      </c>
      <c r="L88" s="412"/>
      <c r="M88" s="414" t="str">
        <f>IF(OR($M$75="ATENDE",$M$75="OK"),"SIM","NÃO")</f>
        <v>NÃO</v>
      </c>
      <c r="N88" s="414" t="str">
        <f>IF(AND(C88="SIM",H88="SIM",J88="SIM",K88="SIM",M88="SIM"),"SIM","NÃO")</f>
        <v>NÃO</v>
      </c>
      <c r="O88" s="255"/>
      <c r="P88" s="28"/>
      <c r="Q88" s="8"/>
      <c r="R88" s="5"/>
      <c r="S88" s="27"/>
      <c r="T88" s="28"/>
      <c r="U88" s="27"/>
      <c r="V88" s="28"/>
      <c r="W88" s="27"/>
      <c r="X88" s="114"/>
      <c r="Y88" s="100"/>
      <c r="Z88" s="115"/>
      <c r="AA88" s="114"/>
      <c r="AB88" s="114"/>
      <c r="AC88" s="7"/>
      <c r="AD88" s="70"/>
      <c r="AE88" s="70"/>
      <c r="AF88" s="70"/>
      <c r="AG88" s="69"/>
      <c r="AX88" s="11"/>
      <c r="AY88" s="11"/>
      <c r="AZ88" s="11"/>
      <c r="BA88" s="85"/>
    </row>
    <row r="89" spans="1:64" hidden="1" x14ac:dyDescent="0.15">
      <c r="A89" s="295"/>
      <c r="B89" s="18" t="s">
        <v>455</v>
      </c>
      <c r="C89" s="414" t="str">
        <f>IF(OR($E$71="NADA A CRITICAR",$E$71="ATENDE LIMITE MÍNIMO DE IDADE"),"SIM","NÃO")</f>
        <v>NÃO</v>
      </c>
      <c r="D89" s="546"/>
      <c r="E89" s="18" t="s">
        <v>752</v>
      </c>
      <c r="F89" s="416"/>
      <c r="G89" s="18"/>
      <c r="H89" s="414" t="str">
        <f>IF(OR($F$72="NADA A CUMPRIR",$F$72="NÃO CABE"),"SIM","NÃO")</f>
        <v>NÃO</v>
      </c>
      <c r="I89" s="413" t="str">
        <f>IF(N89="SIM","SIM","NÃO")</f>
        <v>NÃO</v>
      </c>
      <c r="J89" s="414" t="str">
        <f>IF(OR($M$73="NÃO CABE",$M$73="ATENDE"),"SIM","NÃO")</f>
        <v>NÃO</v>
      </c>
      <c r="K89" s="414" t="str">
        <f>IF(OR($M$74="NÃO CABE",$M$74="ATENDE"),"SIM","NÃO")</f>
        <v>SIM</v>
      </c>
      <c r="L89" s="412"/>
      <c r="M89" s="414" t="str">
        <f>IF(OR($M$75="ATENDE",$M$75="OK"),"SIM","NÃO")</f>
        <v>NÃO</v>
      </c>
      <c r="N89" s="414" t="str">
        <f>IF(AND(C89="SIM",H89="SIM",J89="SIM",K89="SIM",M89="SIM"),"SIM","NÃO")</f>
        <v>NÃO</v>
      </c>
      <c r="O89" s="255"/>
      <c r="P89" s="28"/>
      <c r="Q89" s="8"/>
      <c r="R89" s="5"/>
      <c r="S89" s="27"/>
      <c r="T89" s="28"/>
      <c r="U89" s="27"/>
      <c r="V89" s="28"/>
      <c r="W89" s="27"/>
      <c r="X89" s="114"/>
      <c r="Y89" s="100"/>
      <c r="Z89" s="115"/>
      <c r="AA89" s="114"/>
      <c r="AB89" s="114"/>
      <c r="AC89" s="7"/>
      <c r="AD89" s="70"/>
      <c r="AE89" s="70"/>
      <c r="AF89" s="70"/>
      <c r="AG89" s="69"/>
      <c r="AX89" s="11"/>
      <c r="AY89" s="11"/>
      <c r="AZ89" s="11"/>
      <c r="BA89" s="85"/>
    </row>
    <row r="90" spans="1:64" hidden="1" x14ac:dyDescent="0.15">
      <c r="A90" s="295"/>
      <c r="B90" s="18" t="s">
        <v>455</v>
      </c>
      <c r="C90" s="414" t="str">
        <f>IF(OR($E$71="NADA A CRITICAR",$E$71="ATENDE LIMITE MÍNIMO DE IDADE"),"SIM","NÃO")</f>
        <v>NÃO</v>
      </c>
      <c r="D90" s="546"/>
      <c r="E90" s="18" t="s">
        <v>754</v>
      </c>
      <c r="F90" s="416"/>
      <c r="G90" s="18"/>
      <c r="H90" s="414" t="str">
        <f>IF(OR($F$72="NADA A CUMPRIR",$F$72="NÃO CABE"),"SIM","NÃO")</f>
        <v>NÃO</v>
      </c>
      <c r="I90" s="413" t="str">
        <f>IF(N90="SIM","SIM","NÃO")</f>
        <v>NÃO</v>
      </c>
      <c r="J90" s="414" t="str">
        <f>IF(OR($M$73="NÃO CABE",$M$73="ATENDE"),"SIM","NÃO")</f>
        <v>NÃO</v>
      </c>
      <c r="K90" s="414" t="str">
        <f>IF(OR($M$74="NÃO CABE",$M$74="ATENDE"),"SIM","NÃO")</f>
        <v>SIM</v>
      </c>
      <c r="L90" s="412"/>
      <c r="M90" s="414" t="str">
        <f>IF(OR($M$75="ATENDE",$M$75="OK"),"SIM","NÃO")</f>
        <v>NÃO</v>
      </c>
      <c r="N90" s="414" t="str">
        <f>IF(AND(C90="SIM",H90="SIM",J90="SIM",K90="SIM",M90="SIM"),"SIM","NÃO")</f>
        <v>NÃO</v>
      </c>
      <c r="O90" s="255"/>
      <c r="P90" s="28"/>
      <c r="Q90" s="8"/>
      <c r="R90" s="5"/>
      <c r="S90" s="27"/>
      <c r="T90" s="28"/>
      <c r="U90" s="27"/>
      <c r="V90" s="28"/>
      <c r="W90" s="27"/>
      <c r="X90" s="114"/>
      <c r="Y90" s="100"/>
      <c r="Z90" s="115"/>
      <c r="AA90" s="114"/>
      <c r="AB90" s="114"/>
      <c r="AC90" s="7"/>
      <c r="AD90" s="70"/>
      <c r="AE90" s="70"/>
      <c r="AF90" s="70"/>
      <c r="AG90" s="69"/>
      <c r="AX90" s="11"/>
      <c r="AY90" s="11"/>
      <c r="AZ90" s="11"/>
      <c r="BA90" s="85"/>
    </row>
    <row r="91" spans="1:64" ht="13.5" hidden="1" x14ac:dyDescent="0.15">
      <c r="A91" s="295"/>
      <c r="B91" s="617" t="s">
        <v>455</v>
      </c>
      <c r="C91" s="641" t="str">
        <f>IF(OR($E$71="NADA A CRITICAR",$E$71="ATENDE LIMITE MÍNIMO DE IDADE"),"SIM","NÃO")</f>
        <v>NÃO</v>
      </c>
      <c r="D91" s="646"/>
      <c r="E91" s="617" t="s">
        <v>485</v>
      </c>
      <c r="F91" s="643">
        <f>I67</f>
        <v>0</v>
      </c>
      <c r="G91" s="617"/>
      <c r="H91" s="641" t="str">
        <f>IF(OR($F$72="NADA A CUMPRIR",$F$72="NÃO CABE"),"SIM","NÃO")</f>
        <v>NÃO</v>
      </c>
      <c r="I91" s="644" t="str">
        <f>IF($D$14="X",IF($N$79="SIM","SIM","NÃO"),"NÃO")</f>
        <v>NÃO</v>
      </c>
      <c r="J91" s="641" t="str">
        <f>IF(OR($M$73="NÃO CABE",$M$73="ATENDE"),"SIM","NÃO")</f>
        <v>NÃO</v>
      </c>
      <c r="K91" s="641" t="str">
        <f>IF(OR($M$74="NÃO CABE",$M$74="ATENDE"),"SIM","NÃO")</f>
        <v>SIM</v>
      </c>
      <c r="L91" s="645"/>
      <c r="M91" s="641" t="str">
        <f>IF(OR($M$75="ATENDE",$M$75="OK"),"SIM","NÃO")</f>
        <v>NÃO</v>
      </c>
      <c r="N91" s="641" t="str">
        <f>IF(AND(C91="SIM",H91="SIM",J91="SIM",K91="SIM",M91="SIM"),"SIM","NÃO")</f>
        <v>NÃO</v>
      </c>
      <c r="O91" s="255"/>
      <c r="P91" s="28"/>
      <c r="Q91" s="8"/>
      <c r="R91" s="5"/>
      <c r="S91" s="27"/>
      <c r="T91" s="28"/>
      <c r="U91" s="27"/>
      <c r="V91" s="28"/>
      <c r="W91" s="27"/>
      <c r="X91" s="114"/>
      <c r="Y91" s="100"/>
      <c r="Z91" s="115"/>
      <c r="AA91" s="114"/>
      <c r="AB91" s="114"/>
      <c r="AC91" s="7"/>
      <c r="AD91" s="70"/>
      <c r="AE91" s="70"/>
      <c r="AF91" s="70"/>
      <c r="AG91" s="69"/>
      <c r="AX91" s="11"/>
      <c r="AY91" s="11"/>
      <c r="AZ91" s="11"/>
      <c r="BA91" s="85"/>
    </row>
    <row r="92" spans="1:64" hidden="1" x14ac:dyDescent="0.15">
      <c r="A92" s="295"/>
      <c r="C92" s="21"/>
      <c r="D92" s="21"/>
      <c r="K92" s="150"/>
      <c r="L92" s="150"/>
      <c r="M92" s="234"/>
      <c r="N92" s="260"/>
      <c r="O92" s="255"/>
      <c r="P92" s="28"/>
      <c r="Q92" s="8"/>
      <c r="R92" s="5"/>
      <c r="S92" s="27"/>
      <c r="T92" s="28"/>
      <c r="U92" s="27"/>
      <c r="V92" s="28"/>
      <c r="W92" s="27"/>
      <c r="X92" s="114"/>
      <c r="Y92" s="100"/>
      <c r="Z92" s="115"/>
      <c r="AA92" s="114"/>
      <c r="AB92" s="114"/>
      <c r="AC92" s="7"/>
      <c r="AD92" s="70"/>
      <c r="AE92" s="70"/>
      <c r="AF92" s="70"/>
      <c r="AG92" s="69"/>
      <c r="AX92" s="11"/>
      <c r="AY92" s="11"/>
      <c r="AZ92" s="11"/>
      <c r="BA92" s="85"/>
    </row>
    <row r="93" spans="1:64" ht="15" hidden="1" thickBot="1" x14ac:dyDescent="0.2">
      <c r="A93" s="295"/>
      <c r="C93" s="21"/>
      <c r="D93" s="21"/>
      <c r="K93" s="150"/>
      <c r="L93" s="150"/>
      <c r="M93" s="234"/>
      <c r="N93" s="260"/>
      <c r="O93" s="255"/>
      <c r="P93" s="28"/>
      <c r="Q93" s="8"/>
      <c r="R93" s="5"/>
      <c r="S93" s="27"/>
      <c r="T93" s="28"/>
      <c r="U93" s="27"/>
      <c r="V93" s="28"/>
      <c r="W93" s="27"/>
      <c r="X93" s="114"/>
      <c r="Y93" s="100"/>
      <c r="Z93" s="115"/>
      <c r="AA93" s="114"/>
      <c r="AB93" s="114"/>
      <c r="AC93" s="7"/>
      <c r="AD93" s="70"/>
      <c r="AE93" s="70"/>
      <c r="AF93" s="70"/>
      <c r="AG93" s="69"/>
      <c r="AX93" s="11"/>
      <c r="AY93" s="11"/>
      <c r="AZ93" s="11"/>
      <c r="BA93" s="85"/>
    </row>
    <row r="94" spans="1:64" ht="15.95" hidden="1" customHeight="1" thickBot="1" x14ac:dyDescent="0.2">
      <c r="B94" s="88" t="s">
        <v>449</v>
      </c>
      <c r="C94" s="89"/>
      <c r="D94" s="97" t="s">
        <v>546</v>
      </c>
      <c r="E94" s="98"/>
      <c r="F94" s="99"/>
      <c r="G94" s="5"/>
      <c r="H94" s="5"/>
      <c r="I94" s="5"/>
      <c r="J94" s="5"/>
      <c r="K94" s="5"/>
      <c r="L94" s="5"/>
      <c r="M94" s="2"/>
      <c r="N94" s="5"/>
      <c r="O94" s="255"/>
      <c r="X94" s="5"/>
      <c r="Y94" s="5"/>
      <c r="Z94" s="5"/>
      <c r="AA94" s="5"/>
      <c r="AB94" s="5"/>
      <c r="AC94" s="69"/>
      <c r="AD94" s="70"/>
      <c r="AE94" s="70"/>
      <c r="AF94" s="70"/>
      <c r="AG94" s="69"/>
      <c r="AZ94" s="11"/>
      <c r="BA94" s="85"/>
      <c r="BB94" s="692"/>
      <c r="BC94" s="693"/>
      <c r="BD94" s="693"/>
      <c r="BE94" s="693"/>
      <c r="BF94" s="693"/>
      <c r="BG94" s="694"/>
      <c r="BH94" s="694"/>
      <c r="BI94" s="695"/>
      <c r="BJ94" s="696"/>
      <c r="BK94" s="697"/>
      <c r="BL94" s="698"/>
    </row>
    <row r="95" spans="1:64" ht="15.95" hidden="1" customHeight="1" thickBot="1" x14ac:dyDescent="0.2">
      <c r="B95" s="91" t="s">
        <v>450</v>
      </c>
      <c r="C95" s="90"/>
      <c r="D95" s="90"/>
      <c r="E95" s="90"/>
      <c r="F95" s="92"/>
      <c r="G95" s="5"/>
      <c r="H95" s="5"/>
      <c r="I95" s="5"/>
      <c r="J95" s="5"/>
      <c r="K95" s="5"/>
      <c r="L95" s="5"/>
      <c r="M95" s="2"/>
      <c r="N95" s="5"/>
      <c r="O95" s="255"/>
      <c r="X95" s="26"/>
      <c r="Y95" s="26"/>
      <c r="Z95" s="26"/>
      <c r="AA95" s="26"/>
      <c r="AB95" s="26"/>
      <c r="AC95" s="69"/>
      <c r="AD95" s="21"/>
      <c r="AE95" s="21"/>
      <c r="AF95" s="21"/>
      <c r="AZ95" s="11"/>
      <c r="BA95" s="85"/>
      <c r="BB95" s="699"/>
      <c r="BC95" s="700" t="e">
        <f>(#REF!+F45+F59)/365</f>
        <v>#REF!</v>
      </c>
      <c r="BD95" s="701"/>
      <c r="BE95" s="701"/>
      <c r="BF95" s="701"/>
      <c r="BG95" s="701"/>
      <c r="BH95" s="701"/>
      <c r="BI95" s="702">
        <v>0.45</v>
      </c>
      <c r="BJ95" s="703"/>
      <c r="BK95" s="704"/>
      <c r="BL95" s="705" t="s">
        <v>368</v>
      </c>
    </row>
    <row r="96" spans="1:64" ht="15.95" hidden="1" customHeight="1" x14ac:dyDescent="0.15">
      <c r="B96" s="91" t="s">
        <v>455</v>
      </c>
      <c r="C96" s="90"/>
      <c r="D96" s="90"/>
      <c r="E96" s="90"/>
      <c r="F96" s="92"/>
      <c r="G96" s="5"/>
      <c r="H96" s="5"/>
      <c r="I96" s="5"/>
      <c r="J96" s="5"/>
      <c r="K96" s="5"/>
      <c r="L96" s="5"/>
      <c r="M96" s="2"/>
      <c r="N96" s="5"/>
      <c r="O96" s="255"/>
      <c r="AD96" s="70"/>
      <c r="AE96" s="70"/>
      <c r="AF96" s="70"/>
      <c r="AG96" s="69"/>
      <c r="AZ96" s="11"/>
      <c r="BA96" s="85"/>
      <c r="BB96" s="706" t="s">
        <v>369</v>
      </c>
      <c r="BC96" s="707" t="s">
        <v>370</v>
      </c>
      <c r="BD96" s="708" t="s">
        <v>371</v>
      </c>
      <c r="BE96" s="708" t="s">
        <v>372</v>
      </c>
      <c r="BF96" s="708" t="s">
        <v>373</v>
      </c>
      <c r="BG96" s="708" t="s">
        <v>374</v>
      </c>
      <c r="BH96" s="709" t="s">
        <v>375</v>
      </c>
      <c r="BI96" s="710" t="e">
        <f>#REF!*1.45</f>
        <v>#REF!</v>
      </c>
      <c r="BJ96" s="711">
        <v>80.64</v>
      </c>
      <c r="BK96" s="712">
        <v>100</v>
      </c>
      <c r="BL96" s="713">
        <v>112</v>
      </c>
    </row>
    <row r="97" spans="2:64" ht="15.95" hidden="1" customHeight="1" x14ac:dyDescent="0.15">
      <c r="B97" s="91" t="s">
        <v>467</v>
      </c>
      <c r="C97" s="90"/>
      <c r="D97" s="90"/>
      <c r="E97" s="90"/>
      <c r="F97" s="92"/>
      <c r="G97" s="5"/>
      <c r="H97" s="5"/>
      <c r="I97" s="5"/>
      <c r="J97" s="5"/>
      <c r="K97" s="5"/>
      <c r="L97" s="5"/>
      <c r="M97" s="2"/>
      <c r="N97" s="5"/>
      <c r="O97" s="255"/>
      <c r="AD97" s="70"/>
      <c r="AE97" s="70"/>
      <c r="AF97" s="70"/>
      <c r="AG97" s="69"/>
      <c r="AZ97" s="11"/>
      <c r="BA97" s="85"/>
      <c r="BB97" s="714" t="s">
        <v>376</v>
      </c>
      <c r="BC97" s="715" t="s">
        <v>370</v>
      </c>
      <c r="BD97" s="716" t="s">
        <v>371</v>
      </c>
      <c r="BE97" s="716" t="s">
        <v>372</v>
      </c>
      <c r="BF97" s="716" t="s">
        <v>373</v>
      </c>
      <c r="BG97" s="716" t="s">
        <v>374</v>
      </c>
      <c r="BH97" s="717" t="s">
        <v>375</v>
      </c>
      <c r="BI97" s="718" t="e">
        <f>#REF!*1.45</f>
        <v>#REF!</v>
      </c>
      <c r="BJ97" s="719">
        <v>90.32</v>
      </c>
      <c r="BK97" s="720">
        <v>100</v>
      </c>
      <c r="BL97" s="721">
        <v>125.44</v>
      </c>
    </row>
    <row r="98" spans="2:64" ht="15.95" hidden="1" customHeight="1" x14ac:dyDescent="0.15">
      <c r="B98" s="91" t="s">
        <v>468</v>
      </c>
      <c r="C98" s="90"/>
      <c r="D98" s="90"/>
      <c r="E98" s="90"/>
      <c r="F98" s="92"/>
      <c r="G98" s="5"/>
      <c r="H98" s="5"/>
      <c r="I98" s="5"/>
      <c r="J98" s="5"/>
      <c r="K98" s="5"/>
      <c r="L98" s="5"/>
      <c r="M98" s="2"/>
      <c r="N98" s="5"/>
      <c r="O98" s="255"/>
      <c r="AD98" s="70"/>
      <c r="AE98" s="70"/>
      <c r="AF98" s="70"/>
      <c r="AG98" s="69"/>
      <c r="AZ98" s="11"/>
      <c r="BA98" s="85"/>
      <c r="BB98" s="714" t="s">
        <v>377</v>
      </c>
      <c r="BC98" s="715" t="s">
        <v>371</v>
      </c>
      <c r="BD98" s="716" t="s">
        <v>372</v>
      </c>
      <c r="BE98" s="716" t="s">
        <v>373</v>
      </c>
      <c r="BF98" s="716" t="s">
        <v>374</v>
      </c>
      <c r="BG98" s="716" t="s">
        <v>375</v>
      </c>
      <c r="BH98" s="717" t="s">
        <v>378</v>
      </c>
      <c r="BI98" s="718" t="e">
        <f>#REF!*1.45</f>
        <v>#REF!</v>
      </c>
      <c r="BJ98" s="719">
        <v>101.15</v>
      </c>
      <c r="BK98" s="720">
        <v>101.15</v>
      </c>
      <c r="BL98" s="721">
        <v>140.4</v>
      </c>
    </row>
    <row r="99" spans="2:64" ht="15.95" hidden="1" customHeight="1" x14ac:dyDescent="0.15">
      <c r="B99" s="91" t="s">
        <v>470</v>
      </c>
      <c r="C99" s="90"/>
      <c r="D99" s="90"/>
      <c r="E99" s="90"/>
      <c r="F99" s="92"/>
      <c r="G99" s="5"/>
      <c r="H99" s="5"/>
      <c r="I99" s="5"/>
      <c r="J99" s="5"/>
      <c r="K99" s="5"/>
      <c r="L99" s="5"/>
      <c r="M99" s="2"/>
      <c r="N99" s="5"/>
      <c r="O99" s="255"/>
      <c r="AD99" s="70"/>
      <c r="AE99" s="70"/>
      <c r="AF99" s="70"/>
      <c r="AG99" s="69"/>
      <c r="AZ99" s="11"/>
      <c r="BA99" s="85"/>
      <c r="BB99" s="714" t="s">
        <v>379</v>
      </c>
      <c r="BC99" s="715" t="s">
        <v>371</v>
      </c>
      <c r="BD99" s="716" t="s">
        <v>372</v>
      </c>
      <c r="BE99" s="716" t="s">
        <v>373</v>
      </c>
      <c r="BF99" s="716" t="s">
        <v>374</v>
      </c>
      <c r="BG99" s="716" t="s">
        <v>375</v>
      </c>
      <c r="BH99" s="717" t="s">
        <v>378</v>
      </c>
      <c r="BI99" s="718" t="e">
        <f>#REF!*1.45</f>
        <v>#REF!</v>
      </c>
      <c r="BJ99" s="719">
        <v>113.29</v>
      </c>
      <c r="BK99" s="720">
        <v>113.29</v>
      </c>
      <c r="BL99" s="721">
        <v>157.35</v>
      </c>
    </row>
    <row r="100" spans="2:64" ht="15.95" hidden="1" customHeight="1" x14ac:dyDescent="0.15">
      <c r="B100" s="91" t="s">
        <v>471</v>
      </c>
      <c r="C100" s="90"/>
      <c r="D100" s="90"/>
      <c r="E100" s="90"/>
      <c r="F100" s="92"/>
      <c r="G100" s="5"/>
      <c r="H100" s="5"/>
      <c r="I100" s="5"/>
      <c r="J100" s="5"/>
      <c r="K100" s="5"/>
      <c r="L100" s="5"/>
      <c r="M100" s="2"/>
      <c r="N100" s="5"/>
      <c r="O100" s="255"/>
      <c r="AD100" s="70"/>
      <c r="AE100" s="70"/>
      <c r="AF100" s="70"/>
      <c r="AG100" s="69"/>
      <c r="AZ100" s="11"/>
      <c r="BA100" s="85"/>
      <c r="BB100" s="714" t="s">
        <v>380</v>
      </c>
      <c r="BC100" s="715" t="s">
        <v>372</v>
      </c>
      <c r="BD100" s="716" t="s">
        <v>373</v>
      </c>
      <c r="BE100" s="716" t="s">
        <v>374</v>
      </c>
      <c r="BF100" s="716" t="s">
        <v>375</v>
      </c>
      <c r="BG100" s="716" t="s">
        <v>378</v>
      </c>
      <c r="BH100" s="717" t="s">
        <v>381</v>
      </c>
      <c r="BI100" s="718" t="e">
        <f>#REF!*1.45</f>
        <v>#REF!</v>
      </c>
      <c r="BJ100" s="719">
        <v>126.89</v>
      </c>
      <c r="BK100" s="720">
        <v>129.88999999999999</v>
      </c>
      <c r="BL100" s="721">
        <v>176.23</v>
      </c>
    </row>
    <row r="101" spans="2:64" ht="15.95" hidden="1" customHeight="1" x14ac:dyDescent="0.15">
      <c r="B101" s="93" t="s">
        <v>472</v>
      </c>
      <c r="C101" s="90"/>
      <c r="D101" s="90"/>
      <c r="E101" s="90"/>
      <c r="F101" s="92"/>
      <c r="G101" s="5"/>
      <c r="H101" s="5"/>
      <c r="I101" s="5"/>
      <c r="J101" s="5"/>
      <c r="K101" s="5"/>
      <c r="L101" s="5"/>
      <c r="M101" s="2"/>
      <c r="N101" s="5"/>
      <c r="O101" s="255"/>
      <c r="AD101" s="70"/>
      <c r="AE101" s="70"/>
      <c r="AF101" s="70"/>
      <c r="AG101" s="69"/>
      <c r="AZ101" s="11"/>
      <c r="BA101" s="85"/>
      <c r="BB101" s="714" t="s">
        <v>328</v>
      </c>
      <c r="BC101" s="715" t="s">
        <v>372</v>
      </c>
      <c r="BD101" s="716" t="s">
        <v>373</v>
      </c>
      <c r="BE101" s="716" t="s">
        <v>374</v>
      </c>
      <c r="BF101" s="716" t="s">
        <v>375</v>
      </c>
      <c r="BG101" s="716" t="s">
        <v>378</v>
      </c>
      <c r="BH101" s="717" t="s">
        <v>381</v>
      </c>
      <c r="BI101" s="718">
        <f>A134*1.45</f>
        <v>0</v>
      </c>
      <c r="BJ101" s="719">
        <v>80.64</v>
      </c>
      <c r="BK101" s="720">
        <v>100</v>
      </c>
      <c r="BL101" s="721">
        <v>112</v>
      </c>
    </row>
    <row r="102" spans="2:64" ht="15.95" hidden="1" customHeight="1" x14ac:dyDescent="0.15">
      <c r="B102" s="93" t="s">
        <v>487</v>
      </c>
      <c r="C102" s="90"/>
      <c r="D102" s="90"/>
      <c r="E102" s="90"/>
      <c r="F102" s="92"/>
      <c r="G102" s="5"/>
      <c r="H102" s="5"/>
      <c r="I102" s="5"/>
      <c r="J102" s="5"/>
      <c r="K102" s="5"/>
      <c r="L102" s="5"/>
      <c r="M102" s="2"/>
      <c r="N102" s="5"/>
      <c r="O102" s="255"/>
      <c r="AD102" s="70"/>
      <c r="AE102" s="70"/>
      <c r="AF102" s="70"/>
      <c r="AG102" s="69"/>
      <c r="AZ102" s="11"/>
      <c r="BA102" s="85"/>
      <c r="BB102" s="714" t="s">
        <v>382</v>
      </c>
      <c r="BC102" s="715" t="s">
        <v>372</v>
      </c>
      <c r="BD102" s="716" t="s">
        <v>373</v>
      </c>
      <c r="BE102" s="716" t="s">
        <v>374</v>
      </c>
      <c r="BF102" s="716" t="s">
        <v>375</v>
      </c>
      <c r="BG102" s="716" t="s">
        <v>378</v>
      </c>
      <c r="BH102" s="717" t="s">
        <v>381</v>
      </c>
      <c r="BI102" s="718">
        <f>A135*1.45</f>
        <v>0</v>
      </c>
      <c r="BJ102" s="719">
        <v>90.32</v>
      </c>
      <c r="BK102" s="720">
        <v>100</v>
      </c>
      <c r="BL102" s="721">
        <v>125.44</v>
      </c>
    </row>
    <row r="103" spans="2:64" ht="15.95" hidden="1" customHeight="1" thickBot="1" x14ac:dyDescent="0.2">
      <c r="B103" s="94" t="s">
        <v>484</v>
      </c>
      <c r="C103" s="95"/>
      <c r="D103" s="95"/>
      <c r="E103" s="95"/>
      <c r="F103" s="96"/>
      <c r="G103" s="5"/>
      <c r="H103" s="5"/>
      <c r="I103" s="5"/>
      <c r="J103" s="5"/>
      <c r="K103" s="5"/>
      <c r="L103" s="5"/>
      <c r="M103" s="2"/>
      <c r="N103" s="5"/>
      <c r="O103" s="255"/>
      <c r="AD103" s="70"/>
      <c r="AE103" s="70"/>
      <c r="AF103" s="70"/>
      <c r="AG103" s="69"/>
      <c r="AZ103" s="11"/>
      <c r="BA103" s="85"/>
      <c r="BB103" s="714" t="s">
        <v>383</v>
      </c>
      <c r="BC103" s="715" t="s">
        <v>372</v>
      </c>
      <c r="BD103" s="716" t="s">
        <v>373</v>
      </c>
      <c r="BE103" s="716" t="s">
        <v>374</v>
      </c>
      <c r="BF103" s="716" t="s">
        <v>375</v>
      </c>
      <c r="BG103" s="716" t="s">
        <v>378</v>
      </c>
      <c r="BH103" s="717" t="s">
        <v>381</v>
      </c>
      <c r="BI103" s="718">
        <f>A136*1.45</f>
        <v>0</v>
      </c>
      <c r="BJ103" s="719">
        <v>101.15</v>
      </c>
      <c r="BK103" s="720">
        <v>101.15</v>
      </c>
      <c r="BL103" s="721">
        <v>140.4</v>
      </c>
    </row>
    <row r="104" spans="2:64" ht="15.95" hidden="1" customHeight="1" x14ac:dyDescent="0.15">
      <c r="B104" s="3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2"/>
      <c r="N104" s="5"/>
      <c r="O104" s="255"/>
      <c r="AD104" s="70"/>
      <c r="AE104" s="70"/>
      <c r="AF104" s="70"/>
      <c r="AG104" s="69"/>
      <c r="AZ104" s="11"/>
      <c r="BA104" s="85"/>
      <c r="BB104" s="714" t="s">
        <v>384</v>
      </c>
      <c r="BC104" s="715" t="s">
        <v>372</v>
      </c>
      <c r="BD104" s="716" t="s">
        <v>373</v>
      </c>
      <c r="BE104" s="716" t="s">
        <v>374</v>
      </c>
      <c r="BF104" s="716" t="s">
        <v>375</v>
      </c>
      <c r="BG104" s="716" t="s">
        <v>378</v>
      </c>
      <c r="BH104" s="717" t="s">
        <v>381</v>
      </c>
      <c r="BI104" s="718">
        <f>A137*1.45</f>
        <v>1.45</v>
      </c>
      <c r="BJ104" s="719">
        <v>113.29</v>
      </c>
      <c r="BK104" s="720">
        <v>113.29</v>
      </c>
      <c r="BL104" s="721">
        <v>157.35</v>
      </c>
    </row>
    <row r="105" spans="2:64" ht="13.5" hidden="1" x14ac:dyDescent="0.15">
      <c r="B105" s="30"/>
      <c r="C105" s="5"/>
      <c r="D105" s="5"/>
      <c r="E105" s="5"/>
      <c r="F105" s="5"/>
      <c r="G105" s="5"/>
      <c r="H105" s="5"/>
      <c r="I105" s="5"/>
      <c r="J105" s="74"/>
      <c r="K105" s="5"/>
      <c r="L105" s="5"/>
      <c r="M105" s="2"/>
      <c r="N105" s="5"/>
      <c r="O105" s="255"/>
      <c r="AD105" s="70"/>
      <c r="AE105" s="70"/>
      <c r="AF105" s="70"/>
      <c r="AG105" s="69"/>
      <c r="AZ105" s="11"/>
      <c r="BA105" s="85"/>
      <c r="BB105" s="714" t="s">
        <v>385</v>
      </c>
      <c r="BC105" s="715" t="s">
        <v>372</v>
      </c>
      <c r="BD105" s="716" t="s">
        <v>373</v>
      </c>
      <c r="BE105" s="716" t="s">
        <v>374</v>
      </c>
      <c r="BF105" s="716" t="s">
        <v>375</v>
      </c>
      <c r="BG105" s="716" t="s">
        <v>378</v>
      </c>
      <c r="BH105" s="717" t="s">
        <v>381</v>
      </c>
      <c r="BI105" s="718">
        <f>A137*1.45</f>
        <v>1.45</v>
      </c>
      <c r="BJ105" s="719">
        <v>126.89</v>
      </c>
      <c r="BK105" s="720">
        <v>126.89</v>
      </c>
      <c r="BL105" s="721">
        <v>176.23</v>
      </c>
    </row>
    <row r="106" spans="2:64" ht="13.5" hidden="1" x14ac:dyDescent="0.15">
      <c r="B106" s="1849" t="s">
        <v>508</v>
      </c>
      <c r="C106" s="1849"/>
      <c r="D106" s="1849"/>
      <c r="E106" s="1849"/>
      <c r="H106" s="5"/>
      <c r="I106" s="37"/>
      <c r="J106" s="5"/>
      <c r="K106" s="27"/>
      <c r="L106" s="6"/>
      <c r="M106" s="27"/>
      <c r="N106" s="60"/>
      <c r="O106" s="255"/>
      <c r="AD106" s="70"/>
      <c r="AE106" s="70"/>
      <c r="AF106" s="70"/>
      <c r="AG106" s="69"/>
      <c r="AZ106" s="11"/>
      <c r="BA106" s="85"/>
      <c r="BB106" s="714" t="s">
        <v>386</v>
      </c>
      <c r="BC106" s="715" t="s">
        <v>372</v>
      </c>
      <c r="BD106" s="716" t="s">
        <v>373</v>
      </c>
      <c r="BE106" s="716" t="s">
        <v>374</v>
      </c>
      <c r="BF106" s="716" t="s">
        <v>375</v>
      </c>
      <c r="BG106" s="716" t="s">
        <v>378</v>
      </c>
      <c r="BH106" s="717" t="s">
        <v>381</v>
      </c>
      <c r="BI106" s="718">
        <f>A138*1.45</f>
        <v>2.9</v>
      </c>
      <c r="BJ106" s="719">
        <v>126.89</v>
      </c>
      <c r="BK106" s="720">
        <v>126.89</v>
      </c>
      <c r="BL106" s="721">
        <v>176.23</v>
      </c>
    </row>
    <row r="107" spans="2:64" hidden="1" thickBot="1" x14ac:dyDescent="0.2">
      <c r="B107" s="34" t="s">
        <v>463</v>
      </c>
      <c r="C107" s="17"/>
      <c r="D107" s="21"/>
      <c r="E107" s="36"/>
      <c r="F107" s="5"/>
      <c r="G107" s="28"/>
      <c r="H107" s="5"/>
      <c r="I107" s="17" t="s">
        <v>463</v>
      </c>
      <c r="J107" s="5" t="str">
        <f>IF(E2=B97,H108,IF(E2=B99,H108,IF(E2=B101,H108,IF(E2=B102,H108,"NÃO CABE"))))</f>
        <v>NÃO CABE</v>
      </c>
      <c r="K107" s="27"/>
      <c r="L107" s="6" t="s">
        <v>510</v>
      </c>
      <c r="M107" s="27"/>
      <c r="N107" s="60"/>
      <c r="O107" s="255"/>
      <c r="X107" s="11"/>
      <c r="Y107" s="11"/>
      <c r="Z107" s="11"/>
      <c r="AA107" s="11"/>
      <c r="AB107" s="11"/>
      <c r="AC107" s="69"/>
      <c r="AD107" s="70"/>
      <c r="AE107" s="70"/>
      <c r="AF107" s="70"/>
      <c r="AG107" s="69"/>
      <c r="AZ107" s="11"/>
      <c r="BA107" s="85"/>
      <c r="BB107" s="714" t="s">
        <v>387</v>
      </c>
      <c r="BC107" s="715" t="s">
        <v>373</v>
      </c>
      <c r="BD107" s="716" t="s">
        <v>374</v>
      </c>
      <c r="BE107" s="716" t="s">
        <v>375</v>
      </c>
      <c r="BF107" s="716" t="s">
        <v>378</v>
      </c>
      <c r="BG107" s="716" t="s">
        <v>381</v>
      </c>
      <c r="BH107" s="717" t="s">
        <v>388</v>
      </c>
      <c r="BI107" s="718" t="e">
        <f>A139*1.45</f>
        <v>#VALUE!</v>
      </c>
      <c r="BJ107" s="719">
        <v>142.12</v>
      </c>
      <c r="BK107" s="720">
        <v>142.12</v>
      </c>
      <c r="BL107" s="721">
        <v>197.38</v>
      </c>
    </row>
    <row r="108" spans="2:64" hidden="1" thickBot="1" x14ac:dyDescent="0.2">
      <c r="B108" s="34" t="s">
        <v>485</v>
      </c>
      <c r="C108" s="17"/>
      <c r="D108" s="16"/>
      <c r="E108" s="57" t="str">
        <f>IF($F$108="NÃO CABE","NÃO CABE",IF($G$10="X",$F$108/30,$F$108/35))</f>
        <v>NÃO CABE</v>
      </c>
      <c r="F108" s="10" t="str">
        <f>IF(E2="VOLUNTÁRIA ESPECIAL","NÃO CABE",IF(E2="VOLUNTÁRIA INTEGRAL","NÃO CABE",IF(E2="COMPULSÓRIA INTEGRAL","NÃO CABE",IF(E2="INVALIDEZ INTEGRAL","NÃO CABE",ROUNDDOWN(F61/365,0)))))</f>
        <v>NÃO CABE</v>
      </c>
      <c r="G108" s="28"/>
      <c r="H108" s="14">
        <f>IF(E108&gt;1,1,E108)</f>
        <v>1</v>
      </c>
      <c r="I108" s="17" t="s">
        <v>485</v>
      </c>
      <c r="J108" s="5" t="str">
        <f>IF($E$2=$B$97,H108,IF($E$2=$B$99,H108,IF($E$2=$B$101,H108,"NÃO CABE")))</f>
        <v>NÃO CABE</v>
      </c>
      <c r="K108" s="27"/>
      <c r="L108" s="57" t="str">
        <f>IF($F$108="NÃO CABE","NÃO CABE",IF($G$10="X",$F$61/10950,$F$61/12775))</f>
        <v>NÃO CABE</v>
      </c>
      <c r="M108" s="14">
        <f>IF(L108&gt;1,1,L108)</f>
        <v>1</v>
      </c>
      <c r="N108" s="5" t="str">
        <f>IF($E$2=$B$97,M108,IF($E$2=$B$99,M108,IF($E$2=$B$101,M108,"NÃO CABE")))</f>
        <v>NÃO CABE</v>
      </c>
      <c r="O108" s="255"/>
      <c r="X108" s="11"/>
      <c r="Y108" s="11"/>
      <c r="Z108" s="11"/>
      <c r="AA108" s="11"/>
      <c r="AB108" s="11"/>
      <c r="AC108" s="69"/>
      <c r="AD108" s="70"/>
      <c r="AE108" s="70"/>
      <c r="AF108" s="70"/>
      <c r="AG108" s="69"/>
      <c r="AZ108" s="11"/>
      <c r="BA108" s="85"/>
      <c r="BB108" s="714" t="s">
        <v>389</v>
      </c>
      <c r="BC108" s="715" t="s">
        <v>373</v>
      </c>
      <c r="BD108" s="716" t="s">
        <v>374</v>
      </c>
      <c r="BE108" s="716" t="s">
        <v>375</v>
      </c>
      <c r="BF108" s="716" t="s">
        <v>378</v>
      </c>
      <c r="BG108" s="716" t="s">
        <v>381</v>
      </c>
      <c r="BH108" s="717" t="s">
        <v>388</v>
      </c>
      <c r="BI108" s="718">
        <f>A141*1.45</f>
        <v>5.8</v>
      </c>
      <c r="BJ108" s="719">
        <v>90.32</v>
      </c>
      <c r="BK108" s="720">
        <v>100</v>
      </c>
      <c r="BL108" s="721">
        <v>125.44</v>
      </c>
    </row>
    <row r="109" spans="2:64" hidden="1" thickBot="1" x14ac:dyDescent="0.2">
      <c r="B109" s="34" t="s">
        <v>476</v>
      </c>
      <c r="C109" s="17"/>
      <c r="D109" s="16"/>
      <c r="E109" s="58" t="str">
        <f>IF(E2=B102,IF(C65&gt;0,"TEMPO A CUMPRIR",IF(F109=1,75%,IF(F109=2,80%,IF(F109=3,85%,IF(F109=4,90%,IF(F109=5,95%,IF(F109&gt;=6,100%,70%))))))),"NÃO CABE")</f>
        <v>NÃO CABE</v>
      </c>
      <c r="F109" s="10">
        <f>IF(G10="X",ROUNDDOWN((F61-(25*365+E43))/365,0),ROUNDDOWN((F61-(30*365+E43))/365,0))</f>
        <v>-30</v>
      </c>
      <c r="G109" s="28"/>
      <c r="I109" s="17" t="s">
        <v>476</v>
      </c>
      <c r="J109" s="5" t="str">
        <f>IF(E2=B102,E109,"NÃO CABE")</f>
        <v>NÃO CABE</v>
      </c>
      <c r="K109" s="27"/>
      <c r="L109" s="65"/>
      <c r="M109" s="66">
        <f>O10</f>
        <v>0</v>
      </c>
      <c r="N109" s="60">
        <v>38037</v>
      </c>
      <c r="O109" s="255"/>
      <c r="X109" s="11"/>
      <c r="Y109" s="11"/>
      <c r="Z109" s="11"/>
      <c r="AA109" s="11"/>
      <c r="AB109" s="11"/>
      <c r="AC109" s="69"/>
      <c r="AD109" s="70"/>
      <c r="AE109" s="70"/>
      <c r="AF109" s="70"/>
      <c r="AG109" s="69"/>
      <c r="AZ109" s="11"/>
      <c r="BA109" s="85"/>
      <c r="BB109" s="714" t="s">
        <v>390</v>
      </c>
      <c r="BC109" s="715" t="s">
        <v>373</v>
      </c>
      <c r="BD109" s="716" t="s">
        <v>374</v>
      </c>
      <c r="BE109" s="716" t="s">
        <v>375</v>
      </c>
      <c r="BF109" s="716" t="s">
        <v>378</v>
      </c>
      <c r="BG109" s="716" t="s">
        <v>381</v>
      </c>
      <c r="BH109" s="717" t="s">
        <v>388</v>
      </c>
      <c r="BI109" s="718"/>
      <c r="BJ109" s="719"/>
      <c r="BK109" s="720"/>
      <c r="BL109" s="721"/>
    </row>
    <row r="110" spans="2:64" hidden="1" thickBot="1" x14ac:dyDescent="0.2">
      <c r="B110" s="35" t="s">
        <v>464</v>
      </c>
      <c r="C110" s="33"/>
      <c r="D110" s="16"/>
      <c r="E110" s="36" t="s">
        <v>457</v>
      </c>
      <c r="F110" s="5">
        <f>IF($D$12="X",50-$N$11,55-$N$11)</f>
        <v>55</v>
      </c>
      <c r="G110" s="28"/>
      <c r="H110" s="59" t="str">
        <f>IF($G$10="X",IF($O$9&gt;=17532,IF($O$10&gt;=38718,1-($F$110*0.05),1-($F$110*0.035)),"NÃO CABE"),IF($O$9&gt;=19359,IF($O$10&gt;=38718,1-($F$111*0.05),1-($F$111*0.035)),"NÃO CABE"))</f>
        <v>NÃO CABE</v>
      </c>
      <c r="I110" s="33" t="s">
        <v>464</v>
      </c>
      <c r="J110" s="61" t="str">
        <f>IF(E2=B103,H111,"NÃO CABE")</f>
        <v>NÃO CABE</v>
      </c>
      <c r="K110" s="27"/>
      <c r="L110" s="6"/>
      <c r="M110" s="27"/>
      <c r="N110" s="60"/>
      <c r="O110" s="255"/>
      <c r="X110" s="11"/>
      <c r="Y110" s="11"/>
      <c r="Z110" s="11"/>
      <c r="AA110" s="11"/>
      <c r="AB110" s="11"/>
      <c r="AC110" s="69"/>
      <c r="AD110" s="70"/>
      <c r="AE110" s="70"/>
      <c r="AF110" s="70"/>
      <c r="AG110" s="69"/>
      <c r="AX110" s="11"/>
      <c r="AY110" s="11"/>
      <c r="AZ110" s="11"/>
      <c r="BA110" s="85"/>
      <c r="BB110" s="714" t="s">
        <v>391</v>
      </c>
      <c r="BC110" s="715" t="s">
        <v>373</v>
      </c>
      <c r="BD110" s="716" t="s">
        <v>374</v>
      </c>
      <c r="BE110" s="716" t="s">
        <v>375</v>
      </c>
      <c r="BF110" s="716" t="s">
        <v>378</v>
      </c>
      <c r="BG110" s="716" t="s">
        <v>381</v>
      </c>
      <c r="BH110" s="717" t="s">
        <v>388</v>
      </c>
      <c r="BI110" s="718" t="e">
        <f>A143*1.45</f>
        <v>#VALUE!</v>
      </c>
      <c r="BJ110" s="719">
        <v>101.15</v>
      </c>
      <c r="BK110" s="720">
        <v>101.15</v>
      </c>
      <c r="BL110" s="721">
        <v>140.4</v>
      </c>
    </row>
    <row r="111" spans="2:64" ht="13.5" hidden="1" x14ac:dyDescent="0.15">
      <c r="B111" s="39">
        <v>38717</v>
      </c>
      <c r="C111" s="11">
        <v>38717</v>
      </c>
      <c r="D111" s="16"/>
      <c r="E111" s="36" t="s">
        <v>456</v>
      </c>
      <c r="F111" s="5">
        <f>IF($D$12="X",55-$N$11,60-$N$11)</f>
        <v>60</v>
      </c>
      <c r="G111" s="28"/>
      <c r="H111" s="14">
        <f>IF(H110="NÃO CABE",0,IF(H110&gt;1,1,H110))</f>
        <v>0</v>
      </c>
      <c r="I111" s="18"/>
      <c r="J111" s="5"/>
      <c r="K111" s="27"/>
      <c r="L111" s="6"/>
      <c r="M111" s="27"/>
      <c r="N111" s="60"/>
      <c r="O111" s="255"/>
      <c r="X111" s="11"/>
      <c r="Y111" s="11"/>
      <c r="Z111" s="11"/>
      <c r="AA111" s="11"/>
      <c r="AB111" s="11"/>
      <c r="AC111" s="69"/>
      <c r="AD111" s="70"/>
      <c r="AE111" s="70"/>
      <c r="AF111" s="70"/>
      <c r="AG111" s="69"/>
      <c r="AS111" s="69"/>
      <c r="AX111" s="11"/>
      <c r="AY111" s="11"/>
      <c r="AZ111" s="11"/>
      <c r="BA111" s="85"/>
      <c r="BB111" s="714" t="s">
        <v>392</v>
      </c>
      <c r="BC111" s="715" t="s">
        <v>373</v>
      </c>
      <c r="BD111" s="716" t="s">
        <v>374</v>
      </c>
      <c r="BE111" s="716" t="s">
        <v>375</v>
      </c>
      <c r="BF111" s="716" t="s">
        <v>378</v>
      </c>
      <c r="BG111" s="716" t="s">
        <v>381</v>
      </c>
      <c r="BH111" s="717" t="s">
        <v>388</v>
      </c>
      <c r="BI111" s="718"/>
      <c r="BJ111" s="719"/>
      <c r="BK111" s="720"/>
      <c r="BL111" s="721"/>
    </row>
    <row r="112" spans="2:64" ht="13.5" hidden="1" x14ac:dyDescent="0.15">
      <c r="B112" s="39">
        <v>38718</v>
      </c>
      <c r="C112" s="11">
        <v>38718</v>
      </c>
      <c r="D112" s="8"/>
      <c r="E112" s="63"/>
      <c r="F112" s="6"/>
      <c r="G112" s="6"/>
      <c r="H112" s="6"/>
      <c r="I112" s="18"/>
      <c r="J112" s="9"/>
      <c r="K112" s="5"/>
      <c r="L112" s="6"/>
      <c r="M112" s="10"/>
      <c r="N112" s="11"/>
      <c r="O112" s="255"/>
      <c r="X112" s="11"/>
      <c r="Y112" s="11"/>
      <c r="Z112" s="11"/>
      <c r="AA112" s="11"/>
      <c r="AB112" s="11"/>
      <c r="AC112" s="69"/>
      <c r="AD112" s="70"/>
      <c r="AE112" s="70"/>
      <c r="AF112" s="70"/>
      <c r="AG112" s="69"/>
      <c r="AX112" s="11"/>
      <c r="AY112" s="11"/>
      <c r="AZ112" s="11"/>
      <c r="BA112" s="85"/>
      <c r="BB112" s="714" t="s">
        <v>393</v>
      </c>
      <c r="BC112" s="715" t="s">
        <v>373</v>
      </c>
      <c r="BD112" s="716" t="s">
        <v>374</v>
      </c>
      <c r="BE112" s="716" t="s">
        <v>375</v>
      </c>
      <c r="BF112" s="716" t="s">
        <v>378</v>
      </c>
      <c r="BG112" s="716" t="s">
        <v>381</v>
      </c>
      <c r="BH112" s="717" t="s">
        <v>388</v>
      </c>
      <c r="BI112" s="718">
        <f>A144*1.45</f>
        <v>8.6999999999999993</v>
      </c>
      <c r="BJ112" s="719">
        <v>113.29</v>
      </c>
      <c r="BK112" s="720">
        <v>113.29</v>
      </c>
      <c r="BL112" s="721">
        <v>157.35</v>
      </c>
    </row>
    <row r="113" spans="2:64" ht="13.5" hidden="1" x14ac:dyDescent="0.15">
      <c r="B113" s="62"/>
      <c r="C113" s="38">
        <v>38097</v>
      </c>
      <c r="D113" s="8"/>
      <c r="E113" s="5"/>
      <c r="F113" s="6"/>
      <c r="G113" s="6"/>
      <c r="H113" s="6"/>
      <c r="I113" s="6"/>
      <c r="J113" s="9"/>
      <c r="K113" s="5"/>
      <c r="L113" s="6"/>
      <c r="M113" s="10"/>
      <c r="N113" s="11"/>
      <c r="O113" s="255"/>
      <c r="X113" s="11"/>
      <c r="Y113" s="11"/>
      <c r="Z113" s="11"/>
      <c r="AA113" s="11"/>
      <c r="AB113" s="11"/>
      <c r="AC113" s="69"/>
      <c r="AD113" s="70"/>
      <c r="AE113" s="70"/>
      <c r="AF113" s="70"/>
      <c r="AG113" s="69"/>
      <c r="AX113" s="11"/>
      <c r="AY113" s="11"/>
      <c r="AZ113" s="11"/>
      <c r="BA113" s="85"/>
      <c r="BB113" s="714" t="s">
        <v>394</v>
      </c>
      <c r="BC113" s="715" t="s">
        <v>373</v>
      </c>
      <c r="BD113" s="716" t="s">
        <v>374</v>
      </c>
      <c r="BE113" s="716" t="s">
        <v>375</v>
      </c>
      <c r="BF113" s="716" t="s">
        <v>378</v>
      </c>
      <c r="BG113" s="716" t="s">
        <v>381</v>
      </c>
      <c r="BH113" s="717" t="s">
        <v>388</v>
      </c>
      <c r="BI113" s="718">
        <f>A145*1.45</f>
        <v>10.15</v>
      </c>
      <c r="BJ113" s="719">
        <v>113.29</v>
      </c>
      <c r="BK113" s="720">
        <v>113.29</v>
      </c>
      <c r="BL113" s="721">
        <v>157.35</v>
      </c>
    </row>
    <row r="114" spans="2:64" ht="13.5" hidden="1" x14ac:dyDescent="0.15">
      <c r="B114" s="6"/>
      <c r="C114" s="38"/>
      <c r="D114" s="8"/>
      <c r="E114" s="5"/>
      <c r="F114" s="6"/>
      <c r="G114" s="6"/>
      <c r="H114" s="6"/>
      <c r="I114" s="6"/>
      <c r="J114" s="9"/>
      <c r="K114" s="5"/>
      <c r="L114" s="6"/>
      <c r="M114" s="10"/>
      <c r="N114" s="11"/>
      <c r="O114" s="255"/>
      <c r="X114" s="11"/>
      <c r="Y114" s="11"/>
      <c r="Z114" s="11"/>
      <c r="AA114" s="11"/>
      <c r="AB114" s="11"/>
      <c r="AC114" s="69"/>
      <c r="AD114" s="70"/>
      <c r="AE114" s="70"/>
      <c r="AF114" s="70"/>
      <c r="AG114" s="69"/>
      <c r="AX114" s="11"/>
      <c r="AY114" s="11"/>
      <c r="AZ114" s="11"/>
      <c r="BA114" s="85"/>
      <c r="BB114" s="714" t="s">
        <v>395</v>
      </c>
      <c r="BC114" s="715" t="s">
        <v>396</v>
      </c>
      <c r="BD114" s="716" t="s">
        <v>397</v>
      </c>
      <c r="BE114" s="716" t="s">
        <v>397</v>
      </c>
      <c r="BF114" s="716" t="s">
        <v>398</v>
      </c>
      <c r="BG114" s="716" t="s">
        <v>398</v>
      </c>
      <c r="BH114" s="716" t="s">
        <v>398</v>
      </c>
      <c r="BI114" s="718"/>
      <c r="BJ114" s="719"/>
      <c r="BK114" s="720"/>
      <c r="BL114" s="721"/>
    </row>
    <row r="115" spans="2:64" ht="13.5" hidden="1" x14ac:dyDescent="0.15">
      <c r="B115" s="1849" t="s">
        <v>477</v>
      </c>
      <c r="C115" s="1849"/>
      <c r="D115" s="1849"/>
      <c r="E115" s="1849"/>
      <c r="F115" s="1849"/>
      <c r="G115" s="1849"/>
      <c r="H115" s="1849"/>
      <c r="I115" s="1849"/>
      <c r="J115" s="1849"/>
      <c r="K115" s="1849" t="s">
        <v>477</v>
      </c>
      <c r="L115" s="1849"/>
      <c r="M115" s="1849"/>
      <c r="N115" s="1849"/>
      <c r="O115" s="1849"/>
      <c r="P115" s="1849"/>
      <c r="Q115" s="1849"/>
      <c r="R115" s="1849"/>
      <c r="S115" s="1849"/>
      <c r="T115" s="11"/>
      <c r="U115" s="11"/>
      <c r="V115" s="11"/>
      <c r="W115" s="11"/>
      <c r="X115" s="11"/>
      <c r="Y115" s="11"/>
      <c r="Z115" s="11"/>
      <c r="AA115" s="11"/>
      <c r="AB115" s="11"/>
      <c r="AC115" s="69"/>
      <c r="AD115" s="70"/>
      <c r="AE115" s="70"/>
      <c r="AF115" s="70"/>
      <c r="AG115" s="69"/>
      <c r="AX115" s="11"/>
      <c r="AY115" s="11"/>
      <c r="AZ115" s="11"/>
      <c r="BA115" s="85"/>
      <c r="BB115" s="714" t="s">
        <v>399</v>
      </c>
      <c r="BC115" s="715" t="s">
        <v>396</v>
      </c>
      <c r="BD115" s="716" t="s">
        <v>397</v>
      </c>
      <c r="BE115" s="716" t="s">
        <v>397</v>
      </c>
      <c r="BF115" s="716" t="s">
        <v>398</v>
      </c>
      <c r="BG115" s="716" t="s">
        <v>398</v>
      </c>
      <c r="BH115" s="716" t="s">
        <v>398</v>
      </c>
      <c r="BI115" s="718">
        <f>A148*1.45</f>
        <v>13.049999999999999</v>
      </c>
      <c r="BJ115" s="719">
        <v>126.89</v>
      </c>
      <c r="BK115" s="720">
        <v>126.89</v>
      </c>
      <c r="BL115" s="721">
        <v>176.23</v>
      </c>
    </row>
    <row r="116" spans="2:64" ht="13.5" hidden="1" x14ac:dyDescent="0.15">
      <c r="B116" s="19" t="s">
        <v>480</v>
      </c>
      <c r="C116" s="8"/>
      <c r="D116" s="8"/>
      <c r="E116" s="5"/>
      <c r="F116" s="6" t="str">
        <f>IF(G10="X",IF(O9&gt;=20089,"ATENDE LIMITE MÍNIMO DE IDADE","NÃO ATENDE LIMITE MÍNIMO DE IDADE"),IF(O9&gt;=21914,"ATENDE LIMITE MÍNIMO DE IDADE","NÃO ATENDE LIMITE MÍNIMO DE IDADE"))</f>
        <v>NÃO ATENDE LIMITE MÍNIMO DE IDADE</v>
      </c>
      <c r="G116" s="6"/>
      <c r="H116" s="6"/>
      <c r="I116" s="6"/>
      <c r="J116" s="9"/>
      <c r="K116" s="5"/>
      <c r="L116" s="41" t="s">
        <v>450</v>
      </c>
      <c r="M116" s="10"/>
      <c r="N116" s="11"/>
      <c r="O116" s="255" t="b">
        <f>IF(E2=L116,IF(K2=O3,F116,IF(K2=O4,F118,IF(K2=O6,F116,IF(K2=O7,F117,IF(K2=O2,"NADA A CRITICAR","REANALISAR FUNDAMENTAÇÃO E/OU MODALIDADE"))))))</f>
        <v>0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69"/>
      <c r="AD116" s="70"/>
      <c r="AE116" s="70"/>
      <c r="AF116" s="70"/>
      <c r="AG116" s="69"/>
      <c r="AX116" s="11"/>
      <c r="AY116" s="11"/>
      <c r="AZ116" s="11"/>
      <c r="BA116" s="85"/>
      <c r="BB116" s="714" t="s">
        <v>400</v>
      </c>
      <c r="BC116" s="715" t="s">
        <v>396</v>
      </c>
      <c r="BD116" s="716" t="s">
        <v>397</v>
      </c>
      <c r="BE116" s="716" t="s">
        <v>397</v>
      </c>
      <c r="BF116" s="716" t="s">
        <v>398</v>
      </c>
      <c r="BG116" s="716" t="s">
        <v>398</v>
      </c>
      <c r="BH116" s="716" t="s">
        <v>398</v>
      </c>
      <c r="BI116" s="718"/>
      <c r="BJ116" s="719"/>
      <c r="BK116" s="720"/>
      <c r="BL116" s="721"/>
    </row>
    <row r="117" spans="2:64" ht="13.5" hidden="1" x14ac:dyDescent="0.15">
      <c r="B117" s="6" t="s">
        <v>481</v>
      </c>
      <c r="D117" s="10"/>
      <c r="E117" s="11"/>
      <c r="F117" s="6" t="str">
        <f>IF(G10="X",IF(O9&gt;=I130,"ATENDE LIMITE MÍNIMO DE IDADE","NÃO ATENDE LIMITE MÍNIMO DE IDADE"),IF(O9&gt;=J130,"ATENDE LIMITE MÍNIMO DE IDADE","NÃO ATENDE LIMITE MÍNIMO DE IDADE"))</f>
        <v>NÃO ATENDE LIMITE MÍNIMO DE IDADE</v>
      </c>
      <c r="G117" s="6"/>
      <c r="H117" s="6"/>
      <c r="I117" s="6"/>
      <c r="J117" s="9"/>
      <c r="L117" s="41" t="s">
        <v>455</v>
      </c>
      <c r="O117" s="255" t="str">
        <f>IF(E2=L117,IF(K2=O3,F119,IF(K2=O4,F122,IF(K2=O6,F119,IF(K2=O2,"NADA A CRITICAR","REANALISAR FUNDAMENTAÇÃO E/OU MODALIDADE")))),"REANALISAR FUNDAMENTAÇÃO E/OU MODALIDADE")</f>
        <v>REANALISAR FUNDAMENTAÇÃO E/OU MODALIDADE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69"/>
      <c r="AD117" s="70"/>
      <c r="AE117" s="70"/>
      <c r="AF117" s="70"/>
      <c r="AG117" s="69"/>
      <c r="AX117" s="11"/>
      <c r="AY117" s="11"/>
      <c r="AZ117" s="11"/>
      <c r="BA117" s="85"/>
      <c r="BB117" s="714" t="s">
        <v>401</v>
      </c>
      <c r="BC117" s="715" t="s">
        <v>396</v>
      </c>
      <c r="BD117" s="716" t="s">
        <v>397</v>
      </c>
      <c r="BE117" s="716" t="s">
        <v>397</v>
      </c>
      <c r="BF117" s="716" t="s">
        <v>398</v>
      </c>
      <c r="BG117" s="716" t="s">
        <v>398</v>
      </c>
      <c r="BH117" s="716" t="s">
        <v>398</v>
      </c>
      <c r="BI117" s="718">
        <f>A150*1.45</f>
        <v>15.95</v>
      </c>
      <c r="BJ117" s="719">
        <v>142.12</v>
      </c>
      <c r="BK117" s="720">
        <v>142.12</v>
      </c>
      <c r="BL117" s="721">
        <v>197.38</v>
      </c>
    </row>
    <row r="118" spans="2:64" ht="13.5" hidden="1" x14ac:dyDescent="0.15">
      <c r="B118" s="20" t="s">
        <v>482</v>
      </c>
      <c r="F118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K118" s="5"/>
      <c r="L118" s="41" t="s">
        <v>467</v>
      </c>
      <c r="O118" s="254" t="str">
        <f>IF(E2=L118,IF(K2=O3,F120,IF(K2=O2,F120,"REANALISAR FUNDAMENTAÇÃO E/OU MODALIDADE")),"REANALISAR FUNDAMENTAÇÃO E/OU MODALIDADE")</f>
        <v>REANALISAR FUNDAMENTAÇÃO E/OU MODALIDADE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69"/>
      <c r="AD118" s="70"/>
      <c r="AE118" s="70"/>
      <c r="AF118" s="70"/>
      <c r="AG118" s="69"/>
      <c r="AX118" s="11"/>
      <c r="AY118" s="11"/>
      <c r="AZ118" s="11"/>
      <c r="BA118" s="85"/>
      <c r="BB118" s="722" t="s">
        <v>402</v>
      </c>
      <c r="BC118" s="715" t="s">
        <v>396</v>
      </c>
      <c r="BD118" s="716" t="s">
        <v>397</v>
      </c>
      <c r="BE118" s="716" t="s">
        <v>397</v>
      </c>
      <c r="BF118" s="716" t="s">
        <v>398</v>
      </c>
      <c r="BG118" s="716" t="s">
        <v>398</v>
      </c>
      <c r="BH118" s="716" t="s">
        <v>398</v>
      </c>
      <c r="BI118" s="718"/>
      <c r="BJ118" s="719"/>
      <c r="BK118" s="720"/>
      <c r="BL118" s="721"/>
    </row>
    <row r="119" spans="2:64" ht="13.5" hidden="1" x14ac:dyDescent="0.15">
      <c r="B119" s="6" t="s">
        <v>478</v>
      </c>
      <c r="C119" s="8"/>
      <c r="D119" s="8"/>
      <c r="E119" s="5"/>
      <c r="F119" s="6" t="str">
        <f>IF(D12="X",IF(G10="X",IF(O9&gt;=18264,"ATENDE LIMITE MÍNIMO DE IDADE","NÃO ATENDE LIMITE MÍNIMO DE IDADE"),IF(O9&gt;=20089,"ATENDE LIMITE MÍNIMO DE IDADE","NÃO ATENDE LIMITE MÍNIMO DE IDADE")),"REANALISAR FUNDAMENTAÇÃO E/OU MODALIDADE")</f>
        <v>REANALISAR FUNDAMENTAÇÃO E/OU MODALIDADE</v>
      </c>
      <c r="G119" s="6"/>
      <c r="H119" s="6"/>
      <c r="I119" s="6"/>
      <c r="J119" s="9"/>
      <c r="K119" s="5"/>
      <c r="L119" s="11" t="s">
        <v>487</v>
      </c>
      <c r="M119" s="10"/>
      <c r="N119" s="11"/>
      <c r="O119" s="255" t="str">
        <f>IF(E2=L119,IF(K2=O4,F121,IF(K2=O2,"NADA A CRITICAR","REANALISAR FUNDAMENTAÇÃO E/OU MODALIDADE")),"REANALISAR FUNDAMENTAÇÃO E/OU MODALIDADE")</f>
        <v>REANALISAR FUNDAMENTAÇÃO E/OU MODALIDADE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69"/>
      <c r="AD119" s="70"/>
      <c r="AE119" s="70"/>
      <c r="AF119" s="70"/>
      <c r="AG119" s="69"/>
      <c r="AX119" s="11"/>
      <c r="AY119" s="11"/>
      <c r="AZ119" s="11"/>
      <c r="BA119" s="85"/>
      <c r="BB119" s="714" t="s">
        <v>403</v>
      </c>
      <c r="BC119" s="715" t="s">
        <v>396</v>
      </c>
      <c r="BD119" s="716" t="s">
        <v>397</v>
      </c>
      <c r="BE119" s="716" t="s">
        <v>397</v>
      </c>
      <c r="BF119" s="716" t="s">
        <v>398</v>
      </c>
      <c r="BG119" s="716" t="s">
        <v>398</v>
      </c>
      <c r="BH119" s="716" t="s">
        <v>398</v>
      </c>
      <c r="BI119" s="718">
        <f>A152*1.45</f>
        <v>18.849999999999998</v>
      </c>
      <c r="BJ119" s="719">
        <v>159.16999999999999</v>
      </c>
      <c r="BK119" s="720">
        <v>159.16999999999999</v>
      </c>
      <c r="BL119" s="721">
        <v>221.06</v>
      </c>
    </row>
    <row r="120" spans="2:64" ht="13.5" hidden="1" x14ac:dyDescent="0.15">
      <c r="B120" s="6" t="s">
        <v>479</v>
      </c>
      <c r="C120" s="8"/>
      <c r="D120" s="8"/>
      <c r="E120" s="5"/>
      <c r="F120" s="6" t="str">
        <f>IF(G10="X",IF(O9&gt;=21914,"ATENDE LIMITE MÍNIMO DE IDADE","NÃO ATENDE LIMITE MÍNIMO DE IDADE"),IF(O9&gt;=23739,"ATENDE LIMITE MÍNIMO DE IDADE","NÃO ATENDE LIMITE MÍNIMO DE IDADE"))</f>
        <v>NÃO ATENDE LIMITE MÍNIMO DE IDADE</v>
      </c>
      <c r="G120" s="6"/>
      <c r="H120" s="6"/>
      <c r="I120" s="6"/>
      <c r="J120" s="9"/>
      <c r="K120" s="5"/>
      <c r="L120" s="42" t="s">
        <v>484</v>
      </c>
      <c r="M120" s="10"/>
      <c r="N120" s="11"/>
      <c r="O120" s="255" t="str">
        <f>IF(E2=L120,IF(K2=O5,F118,"REANALISAR FUNDAMENTAÇÃO E/OU MODALIDADE"),"REANALISAR FUNDAMENTAÇÃO E/OU MODALIDADE")</f>
        <v>REANALISAR FUNDAMENTAÇÃO E/OU MODALIDADE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69"/>
      <c r="AD120" s="70"/>
      <c r="AE120" s="70"/>
      <c r="AF120" s="70"/>
      <c r="AG120" s="69"/>
      <c r="AX120" s="11"/>
      <c r="AY120" s="11"/>
      <c r="AZ120" s="11"/>
      <c r="BA120" s="85"/>
      <c r="BB120" s="714" t="s">
        <v>404</v>
      </c>
      <c r="BC120" s="715" t="s">
        <v>396</v>
      </c>
      <c r="BD120" s="716" t="s">
        <v>397</v>
      </c>
      <c r="BE120" s="716" t="s">
        <v>397</v>
      </c>
      <c r="BF120" s="716" t="s">
        <v>398</v>
      </c>
      <c r="BG120" s="716" t="s">
        <v>398</v>
      </c>
      <c r="BH120" s="716" t="s">
        <v>398</v>
      </c>
      <c r="BI120" s="718">
        <f>A153*1.45</f>
        <v>20.3</v>
      </c>
      <c r="BJ120" s="719">
        <v>101.15</v>
      </c>
      <c r="BK120" s="720">
        <v>101.15</v>
      </c>
      <c r="BL120" s="721">
        <v>140.4</v>
      </c>
    </row>
    <row r="121" spans="2:64" hidden="1" x14ac:dyDescent="0.15">
      <c r="B121" s="20" t="s">
        <v>483</v>
      </c>
      <c r="C121" s="43"/>
      <c r="D121" s="43"/>
      <c r="E121" s="44"/>
      <c r="F121" s="6" t="str">
        <f>IF(G10="X",IF(O9&gt;=17532,"ATENDE LIMITE MÍNIMO DE IDADE","NÃO ATENDE LIMITE MÍNIMO DE IDADE"),IF(O9&gt;=19359,"ATENDE LIMITE MÍNIMO DE IDADE","NÃO ATENDE LIMITE MÍNIMO DE IDADE"))</f>
        <v>NÃO ATENDE LIMITE MÍNIMO DE IDADE</v>
      </c>
      <c r="G121" s="44"/>
      <c r="H121" s="44"/>
      <c r="I121" s="44"/>
      <c r="J121" s="44"/>
      <c r="K121" s="45"/>
      <c r="L121" s="46" t="s">
        <v>488</v>
      </c>
      <c r="M121" s="46"/>
      <c r="N121" s="47"/>
      <c r="O121" s="255" t="str">
        <f>IF($K$2=$O$2,IF($E$2=$B$98,$F$123,IF(E2=$B$99,$F$123,IF($E$2=$B$100,"EX OFFICIO",IF($E$2=$B$101,"EX OFFICIO","REANALISAR FUNDAMENTAÇÃO E/OU MODALIDADE")))),IF($K$2=$O$3,IF($E$2=$B$98,$F$123,IF($E$2=$B$99,$F$123,IF($E$2=$B$100,"EX OFFICIO",IF($E$2=$B$101,"EX OFFICIO","REANALISAR FUNDAMENTAÇÃO E/OU MODADALIDADE"))))))</f>
        <v>REANALISAR FUNDAMENTAÇÃO E/OU MODADALIDADE</v>
      </c>
      <c r="P121" s="3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69"/>
      <c r="AD121" s="70"/>
      <c r="AE121" s="70"/>
      <c r="AF121" s="70"/>
      <c r="AG121" s="69"/>
      <c r="AX121" s="11"/>
      <c r="AY121" s="11"/>
      <c r="AZ121" s="11"/>
      <c r="BA121" s="85"/>
      <c r="BB121" s="714" t="s">
        <v>405</v>
      </c>
      <c r="BC121" s="715" t="s">
        <v>396</v>
      </c>
      <c r="BD121" s="716" t="s">
        <v>397</v>
      </c>
      <c r="BE121" s="716" t="s">
        <v>397</v>
      </c>
      <c r="BF121" s="716" t="s">
        <v>398</v>
      </c>
      <c r="BG121" s="716" t="s">
        <v>398</v>
      </c>
      <c r="BH121" s="716" t="s">
        <v>398</v>
      </c>
      <c r="BI121" s="718"/>
      <c r="BJ121" s="719"/>
      <c r="BK121" s="720"/>
      <c r="BL121" s="721"/>
    </row>
    <row r="122" spans="2:64" ht="13.5" hidden="1" x14ac:dyDescent="0.15">
      <c r="B122" s="20" t="s">
        <v>486</v>
      </c>
      <c r="C122" s="43"/>
      <c r="D122" s="43"/>
      <c r="E122" s="44"/>
      <c r="F122" s="6" t="str">
        <f>IF(D12="X",IF(G10="X",IF(O9&gt;=17532,"ATENDE LIMITE MÍNIMO DE IDADE","NÃO ATENDE LIMITE MÍNIMO DE IDADE"),IF(O9&gt;=19359,"ATENDE LIMITE MÍNIMO DE IDADE","NÃO ATENDE LIMITE MÍNIMO DE IDADE")),"REANALISAR FUNDAMENTAÇÃO E/OU MODALIDADE")</f>
        <v>REANALISAR FUNDAMENTAÇÃO E/OU MODALIDADE</v>
      </c>
      <c r="G122" s="44"/>
      <c r="H122" s="44"/>
      <c r="I122" s="44"/>
      <c r="J122" s="44"/>
      <c r="K122" s="46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69"/>
      <c r="AD122" s="70"/>
      <c r="AE122" s="70"/>
      <c r="AF122" s="70"/>
      <c r="AG122" s="69"/>
      <c r="AX122" s="11"/>
      <c r="AY122" s="11"/>
      <c r="AZ122" s="11"/>
      <c r="BA122" s="85"/>
      <c r="BB122" s="723" t="s">
        <v>406</v>
      </c>
      <c r="BC122" s="715" t="s">
        <v>396</v>
      </c>
      <c r="BD122" s="716" t="s">
        <v>397</v>
      </c>
      <c r="BE122" s="716" t="s">
        <v>397</v>
      </c>
      <c r="BF122" s="716" t="s">
        <v>398</v>
      </c>
      <c r="BG122" s="716" t="s">
        <v>398</v>
      </c>
      <c r="BH122" s="716" t="s">
        <v>398</v>
      </c>
      <c r="BI122" s="718"/>
      <c r="BJ122" s="719"/>
      <c r="BK122" s="720"/>
      <c r="BL122" s="721"/>
    </row>
    <row r="123" spans="2:64" ht="13.5" hidden="1" x14ac:dyDescent="0.15">
      <c r="B123" s="44" t="s">
        <v>503</v>
      </c>
      <c r="C123" s="43"/>
      <c r="D123" s="43"/>
      <c r="E123" s="44"/>
      <c r="F123" s="44" t="str">
        <f>IF($N$11&gt;=70,"ATENDE LIMITE MÍNIMO DE IDADE","NÃO ATENDE LIMITE MÍNIMO DE IDADE")</f>
        <v>NÃO ATENDE LIMITE MÍNIMO DE IDADE</v>
      </c>
      <c r="G123" s="44"/>
      <c r="H123" s="44"/>
      <c r="I123" s="44"/>
      <c r="J123" s="44"/>
      <c r="K123" s="46"/>
      <c r="L123" s="48"/>
      <c r="M123" s="48"/>
      <c r="N123" s="47"/>
      <c r="O123" s="255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69"/>
      <c r="AD123" s="70"/>
      <c r="AE123" s="70"/>
      <c r="AF123" s="70"/>
      <c r="AG123" s="69"/>
      <c r="AX123" s="11"/>
      <c r="AY123" s="11"/>
      <c r="AZ123" s="11"/>
      <c r="BA123" s="85"/>
      <c r="BB123" s="723" t="s">
        <v>407</v>
      </c>
      <c r="BC123" s="715" t="s">
        <v>396</v>
      </c>
      <c r="BD123" s="716" t="s">
        <v>397</v>
      </c>
      <c r="BE123" s="716" t="s">
        <v>397</v>
      </c>
      <c r="BF123" s="716" t="s">
        <v>398</v>
      </c>
      <c r="BG123" s="716" t="s">
        <v>398</v>
      </c>
      <c r="BH123" s="716" t="s">
        <v>398</v>
      </c>
      <c r="BI123" s="718"/>
      <c r="BJ123" s="719"/>
      <c r="BK123" s="720"/>
      <c r="BL123" s="721"/>
    </row>
    <row r="124" spans="2:64" ht="13.5" hidden="1" x14ac:dyDescent="0.15">
      <c r="B124" s="44"/>
      <c r="C124" s="43"/>
      <c r="D124" s="43"/>
      <c r="E124" s="44"/>
      <c r="F124" s="44"/>
      <c r="G124" s="44"/>
      <c r="H124" s="44"/>
      <c r="I124" s="44"/>
      <c r="J124" s="44"/>
      <c r="K124" s="46"/>
      <c r="L124" s="49" t="s">
        <v>498</v>
      </c>
      <c r="M124" s="11"/>
      <c r="N124" s="11"/>
      <c r="O124" s="255"/>
      <c r="P124" s="79"/>
      <c r="Q124" s="79"/>
      <c r="R124" s="79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69"/>
      <c r="AD124" s="70"/>
      <c r="AE124" s="70"/>
      <c r="AF124" s="70"/>
      <c r="AG124" s="69"/>
      <c r="AX124" s="11"/>
      <c r="AY124" s="11"/>
      <c r="AZ124" s="11"/>
      <c r="BA124" s="85"/>
      <c r="BB124" s="723" t="s">
        <v>408</v>
      </c>
      <c r="BC124" s="715" t="s">
        <v>396</v>
      </c>
      <c r="BD124" s="716" t="s">
        <v>397</v>
      </c>
      <c r="BE124" s="716" t="s">
        <v>397</v>
      </c>
      <c r="BF124" s="716" t="s">
        <v>398</v>
      </c>
      <c r="BG124" s="716" t="s">
        <v>398</v>
      </c>
      <c r="BH124" s="716" t="s">
        <v>398</v>
      </c>
      <c r="BI124" s="718"/>
      <c r="BJ124" s="719"/>
      <c r="BK124" s="720"/>
      <c r="BL124" s="721"/>
    </row>
    <row r="125" spans="2:64" ht="13.5" hidden="1" x14ac:dyDescent="0.15">
      <c r="B125" s="50"/>
      <c r="C125" s="50"/>
      <c r="D125" s="50"/>
      <c r="E125" s="50"/>
      <c r="F125" s="50"/>
      <c r="G125" s="50"/>
      <c r="H125" s="50"/>
      <c r="I125" s="50"/>
      <c r="J125" s="50"/>
      <c r="K125" s="51"/>
      <c r="L125" s="11" t="s">
        <v>499</v>
      </c>
      <c r="M125" s="11"/>
      <c r="N125" s="11"/>
      <c r="O125" s="255"/>
      <c r="P125" s="79"/>
      <c r="Q125" s="86" t="b">
        <f>IF(K2=O4,IF(E2=B95,R125,IF(E2=B96,R125,IF(E2=B102,R125,IF(G10="X",(30*365)-F61,(35*365)-F61)))),IF(K2=O5,IF(E2=B103,R125,IF(G10="X",(30*365)-F61,(35*365)-F61))))</f>
        <v>0</v>
      </c>
      <c r="R125" s="86" t="b">
        <f>IF($K$2=$O$4,IF($F$61&gt;=($F$37+$E$44),0,($F$37+$E$44)-$F$61),IF($K$2=$O$5,IF($F$61&gt;=($F$37+$E$44),0,($F$37+$E$44)-$F$61)))</f>
        <v>0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69"/>
      <c r="AD125" s="70"/>
      <c r="AE125" s="70"/>
      <c r="AF125" s="70"/>
      <c r="AG125" s="69"/>
      <c r="AX125" s="11"/>
      <c r="AY125" s="11"/>
      <c r="AZ125" s="11"/>
      <c r="BA125" s="85"/>
      <c r="BB125" s="723" t="s">
        <v>409</v>
      </c>
      <c r="BC125" s="715" t="s">
        <v>396</v>
      </c>
      <c r="BD125" s="716" t="s">
        <v>397</v>
      </c>
      <c r="BE125" s="716" t="s">
        <v>397</v>
      </c>
      <c r="BF125" s="716" t="s">
        <v>398</v>
      </c>
      <c r="BG125" s="716" t="s">
        <v>398</v>
      </c>
      <c r="BH125" s="716" t="s">
        <v>398</v>
      </c>
      <c r="BI125" s="718"/>
      <c r="BJ125" s="719"/>
      <c r="BK125" s="720"/>
      <c r="BL125" s="721"/>
    </row>
    <row r="126" spans="2:64" ht="13.5" hidden="1" x14ac:dyDescent="0.15">
      <c r="B126" s="52"/>
      <c r="C126" s="52"/>
      <c r="D126" s="52"/>
      <c r="E126" s="52"/>
      <c r="F126" s="52"/>
      <c r="G126" s="52"/>
      <c r="H126" s="52"/>
      <c r="I126" s="52"/>
      <c r="J126" s="52"/>
      <c r="K126" s="53"/>
      <c r="L126" s="42" t="s">
        <v>500</v>
      </c>
      <c r="M126" s="11"/>
      <c r="N126" s="11"/>
      <c r="O126" s="255"/>
      <c r="P126" s="79"/>
      <c r="Q126" s="86" t="b">
        <f>IF(E2="VOLUNTÁRIA ESPECIAL",IF(D12="X",IF(G10="X",(25*365)-F61,(30*365)-F61)),IF(G10="X",(30*365)-F61,(35*365)-F61))</f>
        <v>0</v>
      </c>
      <c r="R126" s="79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69"/>
      <c r="AD126" s="70"/>
      <c r="AE126" s="70"/>
      <c r="AF126" s="70"/>
      <c r="AG126" s="69"/>
      <c r="AX126" s="11"/>
      <c r="AY126" s="11"/>
      <c r="AZ126" s="11"/>
      <c r="BA126" s="85"/>
      <c r="BB126" s="723" t="s">
        <v>410</v>
      </c>
      <c r="BC126" s="715" t="s">
        <v>396</v>
      </c>
      <c r="BD126" s="716" t="s">
        <v>397</v>
      </c>
      <c r="BE126" s="716" t="s">
        <v>397</v>
      </c>
      <c r="BF126" s="716" t="s">
        <v>398</v>
      </c>
      <c r="BG126" s="716" t="s">
        <v>398</v>
      </c>
      <c r="BH126" s="716" t="s">
        <v>398</v>
      </c>
      <c r="BI126" s="718"/>
      <c r="BJ126" s="719"/>
      <c r="BK126" s="720"/>
      <c r="BL126" s="721"/>
    </row>
    <row r="127" spans="2:64" ht="13.5" hidden="1" x14ac:dyDescent="0.15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17" t="s">
        <v>463</v>
      </c>
      <c r="M127" s="11"/>
      <c r="N127" s="11"/>
      <c r="O127" s="255" t="s">
        <v>504</v>
      </c>
      <c r="P127" s="79"/>
      <c r="Q127" s="87"/>
      <c r="R127" s="86" t="b">
        <f>IF(E2="VOLUNTÁRIA ESPECIAL",IF(D12="X",IF(G10="X",(25*365)-$F$37,(30*365)-$F$37)),IF(G10="X",(30*365)-$F$37,(35*365)-$F$37))</f>
        <v>0</v>
      </c>
      <c r="S127" s="11"/>
      <c r="T127" s="5"/>
      <c r="U127" s="5"/>
      <c r="V127" s="5"/>
      <c r="W127" s="5"/>
      <c r="X127" s="5"/>
      <c r="Y127" s="5"/>
      <c r="Z127" s="5"/>
      <c r="AA127" s="5"/>
      <c r="AB127" s="5"/>
      <c r="AC127" s="69"/>
      <c r="AD127" s="70"/>
      <c r="AE127" s="70"/>
      <c r="AF127" s="70"/>
      <c r="AG127" s="69"/>
      <c r="AX127" s="11"/>
      <c r="AY127" s="11"/>
      <c r="AZ127" s="5"/>
      <c r="BA127" s="724"/>
      <c r="BB127" s="723" t="s">
        <v>411</v>
      </c>
      <c r="BC127" s="715" t="s">
        <v>396</v>
      </c>
      <c r="BD127" s="716" t="s">
        <v>397</v>
      </c>
      <c r="BE127" s="716" t="s">
        <v>397</v>
      </c>
      <c r="BF127" s="716" t="s">
        <v>398</v>
      </c>
      <c r="BG127" s="716" t="s">
        <v>398</v>
      </c>
      <c r="BH127" s="716" t="s">
        <v>398</v>
      </c>
      <c r="BI127" s="718"/>
      <c r="BJ127" s="719"/>
      <c r="BK127" s="720"/>
      <c r="BL127" s="721"/>
    </row>
    <row r="128" spans="2:64" ht="13.5" hidden="1" customHeight="1" x14ac:dyDescent="0.15">
      <c r="B128" s="6"/>
      <c r="C128" s="1943" t="s">
        <v>459</v>
      </c>
      <c r="D128" s="1943"/>
      <c r="E128" s="1943"/>
      <c r="F128" s="1943" t="s">
        <v>460</v>
      </c>
      <c r="G128" s="1943"/>
      <c r="H128" s="1943"/>
      <c r="I128" s="1943" t="s">
        <v>461</v>
      </c>
      <c r="J128" s="1943"/>
      <c r="K128" s="51"/>
      <c r="L128" s="51"/>
      <c r="M128" s="54"/>
      <c r="N128" s="54"/>
      <c r="O128" s="255" t="s">
        <v>487</v>
      </c>
      <c r="P128" s="78"/>
      <c r="Q128" s="78"/>
      <c r="R128" s="86">
        <f>IF(E2=B102,IF(G10="X",(25*365)-$F$37,(30*365)-$F$37),IF(G10="X",(30*365)-$F$37,(35*365)-$F$37))</f>
        <v>12775</v>
      </c>
      <c r="AX128" s="11"/>
      <c r="AY128" s="11"/>
      <c r="BB128" s="723" t="s">
        <v>412</v>
      </c>
      <c r="BC128" s="715" t="s">
        <v>396</v>
      </c>
      <c r="BD128" s="716" t="s">
        <v>397</v>
      </c>
      <c r="BE128" s="716" t="s">
        <v>397</v>
      </c>
      <c r="BF128" s="716" t="s">
        <v>398</v>
      </c>
      <c r="BG128" s="716" t="s">
        <v>398</v>
      </c>
      <c r="BH128" s="716" t="s">
        <v>398</v>
      </c>
      <c r="BI128" s="718"/>
      <c r="BJ128" s="719"/>
      <c r="BK128" s="720"/>
      <c r="BL128" s="721"/>
    </row>
    <row r="129" spans="1:64" ht="12.75" hidden="1" customHeight="1" x14ac:dyDescent="0.15">
      <c r="B129" s="40" t="s">
        <v>454</v>
      </c>
      <c r="C129" s="40" t="s">
        <v>457</v>
      </c>
      <c r="D129" s="8"/>
      <c r="E129" s="5" t="s">
        <v>456</v>
      </c>
      <c r="F129" s="6" t="s">
        <v>457</v>
      </c>
      <c r="G129" s="6"/>
      <c r="H129" s="6" t="s">
        <v>456</v>
      </c>
      <c r="I129" s="8" t="s">
        <v>457</v>
      </c>
      <c r="J129" s="8" t="s">
        <v>456</v>
      </c>
      <c r="K129" s="51"/>
      <c r="L129" s="18" t="s">
        <v>466</v>
      </c>
      <c r="M129" s="54"/>
      <c r="N129" s="54"/>
      <c r="O129" s="255" t="s">
        <v>509</v>
      </c>
      <c r="P129" s="78"/>
      <c r="Q129" s="86">
        <f>IF(K2=O7,IF($E$2=B95,IF($G$10="X",(30*365)-$F$61,(35*365)-$F$61)),IF($G$10="X",(30*365)-$F$61,(35*365)-$F$61))</f>
        <v>12775</v>
      </c>
      <c r="R129" s="78"/>
      <c r="AX129" s="11"/>
      <c r="AY129" s="11"/>
      <c r="BB129" s="723" t="s">
        <v>413</v>
      </c>
      <c r="BC129" s="715" t="s">
        <v>396</v>
      </c>
      <c r="BD129" s="716" t="s">
        <v>397</v>
      </c>
      <c r="BE129" s="716" t="s">
        <v>397</v>
      </c>
      <c r="BF129" s="716" t="s">
        <v>398</v>
      </c>
      <c r="BG129" s="716" t="s">
        <v>398</v>
      </c>
      <c r="BH129" s="716" t="s">
        <v>398</v>
      </c>
      <c r="BI129" s="718"/>
      <c r="BJ129" s="719"/>
      <c r="BK129" s="720"/>
      <c r="BL129" s="721"/>
    </row>
    <row r="130" spans="1:64" ht="13.5" hidden="1" customHeight="1" x14ac:dyDescent="0.15">
      <c r="B130" s="16" t="s">
        <v>450</v>
      </c>
      <c r="C130" s="55">
        <f>30*365</f>
        <v>10950</v>
      </c>
      <c r="D130" s="55"/>
      <c r="E130" s="55">
        <f>35*365</f>
        <v>12775</v>
      </c>
      <c r="F130" s="55">
        <v>20089</v>
      </c>
      <c r="G130" s="55"/>
      <c r="H130" s="55">
        <v>21914</v>
      </c>
      <c r="I130" s="55">
        <f>F130-C133</f>
        <v>31039</v>
      </c>
      <c r="J130" s="55">
        <f>H130-E133</f>
        <v>34689</v>
      </c>
      <c r="K130" s="51"/>
      <c r="L130" s="51"/>
      <c r="M130" s="54"/>
      <c r="N130" s="54"/>
      <c r="P130" s="78"/>
      <c r="Q130" s="78"/>
      <c r="R130" s="78"/>
      <c r="AX130" s="11"/>
      <c r="AY130" s="11"/>
      <c r="BB130" s="723" t="s">
        <v>414</v>
      </c>
      <c r="BC130" s="715" t="s">
        <v>396</v>
      </c>
      <c r="BD130" s="716" t="s">
        <v>397</v>
      </c>
      <c r="BE130" s="716" t="s">
        <v>397</v>
      </c>
      <c r="BF130" s="716" t="s">
        <v>398</v>
      </c>
      <c r="BG130" s="716" t="s">
        <v>398</v>
      </c>
      <c r="BH130" s="716" t="s">
        <v>398</v>
      </c>
      <c r="BI130" s="718"/>
      <c r="BJ130" s="719"/>
      <c r="BK130" s="720"/>
      <c r="BL130" s="721"/>
    </row>
    <row r="131" spans="1:64" ht="12.75" hidden="1" customHeight="1" x14ac:dyDescent="0.15">
      <c r="B131" s="16" t="s">
        <v>455</v>
      </c>
      <c r="C131" s="47">
        <f>25*365</f>
        <v>9125</v>
      </c>
      <c r="D131" s="47"/>
      <c r="E131" s="47">
        <f>30*365</f>
        <v>10950</v>
      </c>
      <c r="F131" s="55">
        <v>18264</v>
      </c>
      <c r="G131" s="55"/>
      <c r="H131" s="55">
        <v>20089</v>
      </c>
      <c r="I131" s="47">
        <f>ROUNDDOWN(I130/365,0)</f>
        <v>85</v>
      </c>
      <c r="J131" s="47">
        <f>ROUNDDOWN(J130/365,0)</f>
        <v>95</v>
      </c>
      <c r="K131" s="51"/>
      <c r="L131" s="51"/>
      <c r="M131" s="54"/>
      <c r="N131" s="54"/>
      <c r="P131" s="78"/>
      <c r="Q131" s="78"/>
      <c r="R131" s="78"/>
      <c r="AX131" s="11"/>
      <c r="AY131" s="11"/>
      <c r="BB131" s="723" t="s">
        <v>415</v>
      </c>
      <c r="BC131" s="715" t="s">
        <v>396</v>
      </c>
      <c r="BD131" s="716" t="s">
        <v>397</v>
      </c>
      <c r="BE131" s="716" t="s">
        <v>397</v>
      </c>
      <c r="BF131" s="716" t="s">
        <v>398</v>
      </c>
      <c r="BG131" s="716" t="s">
        <v>398</v>
      </c>
      <c r="BH131" s="716" t="s">
        <v>398</v>
      </c>
      <c r="BI131" s="718"/>
      <c r="BJ131" s="719"/>
      <c r="BK131" s="720"/>
      <c r="BL131" s="721"/>
    </row>
    <row r="132" spans="1:64" ht="12.75" hidden="1" customHeight="1" x14ac:dyDescent="0.15">
      <c r="B132" s="48"/>
      <c r="C132" s="48"/>
      <c r="D132" s="48"/>
      <c r="E132" s="46"/>
      <c r="F132" s="48"/>
      <c r="G132" s="48"/>
      <c r="H132" s="48"/>
      <c r="I132" s="48"/>
      <c r="J132" s="46"/>
      <c r="K132" s="51"/>
      <c r="L132" s="51"/>
      <c r="M132" s="54"/>
      <c r="N132" s="54"/>
      <c r="AX132" s="5"/>
      <c r="AY132" s="5"/>
      <c r="BB132" s="723" t="s">
        <v>416</v>
      </c>
      <c r="BC132" s="715" t="s">
        <v>396</v>
      </c>
      <c r="BD132" s="716" t="s">
        <v>397</v>
      </c>
      <c r="BE132" s="716" t="s">
        <v>397</v>
      </c>
      <c r="BF132" s="716" t="s">
        <v>398</v>
      </c>
      <c r="BG132" s="716" t="s">
        <v>398</v>
      </c>
      <c r="BH132" s="716" t="s">
        <v>398</v>
      </c>
      <c r="BI132" s="718"/>
      <c r="BJ132" s="719"/>
      <c r="BK132" s="720"/>
      <c r="BL132" s="721"/>
    </row>
    <row r="133" spans="1:64" ht="12.75" hidden="1" customHeight="1" x14ac:dyDescent="0.15">
      <c r="B133" s="48" t="s">
        <v>458</v>
      </c>
      <c r="C133" s="56">
        <f>ROUNDDOWN((F61-C130),0)</f>
        <v>-10950</v>
      </c>
      <c r="D133" s="48"/>
      <c r="E133" s="56">
        <f>ROUNDDOWN((F61-E130),0)</f>
        <v>-12775</v>
      </c>
      <c r="F133" s="48"/>
      <c r="G133" s="48"/>
      <c r="H133" s="48"/>
      <c r="I133" s="48"/>
      <c r="J133" s="46"/>
      <c r="K133" s="51"/>
      <c r="L133" s="51"/>
      <c r="M133" s="54"/>
      <c r="N133" s="54"/>
      <c r="BB133" s="723" t="s">
        <v>417</v>
      </c>
      <c r="BC133" s="715" t="s">
        <v>396</v>
      </c>
      <c r="BD133" s="716" t="s">
        <v>397</v>
      </c>
      <c r="BE133" s="716" t="s">
        <v>397</v>
      </c>
      <c r="BF133" s="716" t="s">
        <v>398</v>
      </c>
      <c r="BG133" s="716" t="s">
        <v>398</v>
      </c>
      <c r="BH133" s="716" t="s">
        <v>398</v>
      </c>
      <c r="BI133" s="718"/>
      <c r="BJ133" s="719"/>
      <c r="BK133" s="720"/>
      <c r="BL133" s="721"/>
    </row>
    <row r="134" spans="1:64" ht="12.75" hidden="1" customHeight="1" x14ac:dyDescent="0.15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4"/>
      <c r="N134" s="54"/>
      <c r="BB134" s="723" t="s">
        <v>418</v>
      </c>
      <c r="BC134" s="715" t="s">
        <v>396</v>
      </c>
      <c r="BD134" s="716" t="s">
        <v>397</v>
      </c>
      <c r="BE134" s="716" t="s">
        <v>397</v>
      </c>
      <c r="BF134" s="716" t="s">
        <v>398</v>
      </c>
      <c r="BG134" s="716" t="s">
        <v>398</v>
      </c>
      <c r="BH134" s="716" t="s">
        <v>398</v>
      </c>
      <c r="BI134" s="718"/>
      <c r="BJ134" s="719"/>
      <c r="BK134" s="720"/>
      <c r="BL134" s="721"/>
    </row>
    <row r="135" spans="1:64" ht="12.75" hidden="1" customHeight="1" thickBot="1" x14ac:dyDescent="0.2">
      <c r="B135" s="1848" t="s">
        <v>548</v>
      </c>
      <c r="C135" s="1848"/>
      <c r="D135" s="1848"/>
      <c r="E135" s="1848"/>
      <c r="F135" s="1848"/>
      <c r="G135" s="1848"/>
      <c r="H135" s="1848"/>
      <c r="I135" s="1848"/>
      <c r="J135" s="1848"/>
      <c r="K135" s="1848"/>
      <c r="L135" s="1848"/>
      <c r="M135" s="1848"/>
      <c r="N135" s="1848"/>
      <c r="BB135" s="312"/>
      <c r="BC135" s="313"/>
      <c r="BD135" s="314"/>
      <c r="BE135" s="314"/>
      <c r="BF135" s="315"/>
      <c r="BG135" s="315"/>
      <c r="BH135" s="316"/>
      <c r="BI135" s="317">
        <f>A155*1.45</f>
        <v>23.2</v>
      </c>
      <c r="BJ135" s="318">
        <v>113.29</v>
      </c>
      <c r="BK135" s="319">
        <v>113.29</v>
      </c>
      <c r="BL135" s="320">
        <v>157.35</v>
      </c>
    </row>
    <row r="136" spans="1:64" ht="12.75" hidden="1" customHeight="1" x14ac:dyDescent="0.15">
      <c r="B136" s="51" t="s">
        <v>656</v>
      </c>
      <c r="C136" s="21" t="s">
        <v>657</v>
      </c>
      <c r="D136" s="101">
        <v>36145</v>
      </c>
      <c r="E136" s="101">
        <v>37986</v>
      </c>
      <c r="F136" s="102">
        <v>37986</v>
      </c>
      <c r="G136" s="246" t="s">
        <v>608</v>
      </c>
      <c r="H136" s="51" t="s">
        <v>609</v>
      </c>
      <c r="I136" s="51" t="s">
        <v>610</v>
      </c>
      <c r="J136" s="21" t="s">
        <v>612</v>
      </c>
      <c r="M136" s="40" t="s">
        <v>658</v>
      </c>
      <c r="P136" s="109"/>
      <c r="Q136" s="110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BB136" s="321"/>
      <c r="BC136" s="322"/>
      <c r="BD136" s="322"/>
      <c r="BE136" s="322"/>
      <c r="BF136" s="323"/>
      <c r="BG136" s="323"/>
      <c r="BH136" s="323"/>
      <c r="BI136" s="324"/>
      <c r="BJ136" s="325"/>
      <c r="BK136" s="326"/>
      <c r="BL136" s="327"/>
    </row>
    <row r="137" spans="1:64" ht="12.75" hidden="1" customHeight="1" x14ac:dyDescent="0.15">
      <c r="A137" s="259">
        <v>1</v>
      </c>
      <c r="B137" s="107" t="s">
        <v>549</v>
      </c>
      <c r="C137" s="21" t="s">
        <v>613</v>
      </c>
      <c r="D137" s="104">
        <f>IF(ISERROR(HLOOKUP($N$34,$Q$39:$AA$40,2)),0,HLOOKUP($N$34,$Q$39:$AA$40,2))</f>
        <v>0</v>
      </c>
      <c r="E137" s="105">
        <f>IF(ISERROR(HLOOKUP($O$34,$Q$39:$AA$40,2)),0,HLOOKUP($O$34,$Q$39:$AA$40,2))</f>
        <v>0</v>
      </c>
      <c r="F137" s="106">
        <f>IF(ISERROR(HLOOKUP($O$60,$Q$39:$AA$40,2)),0,HLOOKUP($O$60,$Q$39:$AA$40,2))</f>
        <v>0</v>
      </c>
      <c r="G137" s="21" t="s">
        <v>611</v>
      </c>
      <c r="J137" s="21" t="s">
        <v>611</v>
      </c>
      <c r="M137" s="21" t="s">
        <v>659</v>
      </c>
      <c r="P137" s="328"/>
      <c r="Q137" s="328"/>
      <c r="R137" s="5"/>
      <c r="S137" s="8"/>
      <c r="T137" s="5"/>
      <c r="U137" s="5"/>
      <c r="V137" s="5"/>
      <c r="W137" s="27"/>
      <c r="X137" s="5"/>
      <c r="Y137" s="5"/>
      <c r="Z137" s="100"/>
      <c r="AA137" s="5"/>
      <c r="AB137" s="5"/>
      <c r="BB137" s="321"/>
      <c r="BC137" s="322"/>
      <c r="BD137" s="322"/>
      <c r="BE137" s="322"/>
      <c r="BF137" s="323"/>
      <c r="BG137" s="323"/>
      <c r="BH137" s="323"/>
      <c r="BI137" s="324"/>
      <c r="BJ137" s="325"/>
      <c r="BK137" s="326"/>
      <c r="BL137" s="327"/>
    </row>
    <row r="138" spans="1:64" ht="12.75" hidden="1" customHeight="1" x14ac:dyDescent="0.15">
      <c r="A138" s="259">
        <v>2</v>
      </c>
      <c r="B138" s="51" t="s">
        <v>550</v>
      </c>
      <c r="C138" s="21" t="s">
        <v>527</v>
      </c>
      <c r="D138" s="104">
        <f>IF(ISERROR(HLOOKUP($J$138,$Q$26:$AT$27,2)),0,HLOOKUP($J$138,$Q$26:$AT$27,2))</f>
        <v>0</v>
      </c>
      <c r="E138" s="105">
        <f>IF(ISERROR(HLOOKUP($K$138,$Q$26:$AT$27,2)),0,HLOOKUP($K$138,$Q$26:$AT$27,2))</f>
        <v>0</v>
      </c>
      <c r="F138" s="106">
        <f>IF(ISERROR(HLOOKUP($L$138,$Q$26:$AT$27,2)),0,HLOOKUP($L$138,$Q$26:$AT$27,2))</f>
        <v>0</v>
      </c>
      <c r="G138" s="67">
        <f>SUM($F$27:$F$32)</f>
        <v>0</v>
      </c>
      <c r="H138" s="67">
        <f>SUM($F$27:$F$32)+$J$51</f>
        <v>0</v>
      </c>
      <c r="I138" s="67">
        <f>SUM($F$27:$F$32)+$J$51+$J$60</f>
        <v>0</v>
      </c>
      <c r="J138" s="21">
        <f t="shared" ref="J138:J160" si="7">ROUNDDOWN(G138/365,0)</f>
        <v>0</v>
      </c>
      <c r="K138" s="21">
        <f t="shared" ref="K138:K160" si="8">ROUNDDOWN(H138/365,0)</f>
        <v>0</v>
      </c>
      <c r="L138" s="21">
        <f t="shared" ref="L138:L160" si="9">ROUNDDOWN(I138/365,0)</f>
        <v>0</v>
      </c>
      <c r="M138" s="21" t="s">
        <v>660</v>
      </c>
      <c r="P138" s="328"/>
      <c r="Q138" s="328"/>
      <c r="BB138" s="321"/>
      <c r="BC138" s="322"/>
      <c r="BD138" s="322"/>
      <c r="BE138" s="322"/>
      <c r="BF138" s="323"/>
      <c r="BG138" s="323"/>
      <c r="BH138" s="323"/>
      <c r="BI138" s="324"/>
      <c r="BJ138" s="325"/>
      <c r="BK138" s="326"/>
      <c r="BL138" s="327"/>
    </row>
    <row r="139" spans="1:64" ht="12.75" hidden="1" customHeight="1" x14ac:dyDescent="0.15">
      <c r="A139" s="259" t="s">
        <v>554</v>
      </c>
      <c r="B139" s="51" t="s">
        <v>615</v>
      </c>
      <c r="C139" s="21" t="s">
        <v>613</v>
      </c>
      <c r="D139" s="104">
        <f>IF(ISERROR(HLOOKUP($J$139,$Q$45:$AB$46,2)),0,HLOOKUP($J$139,$Q$45:$AB$46,2))</f>
        <v>0</v>
      </c>
      <c r="E139" s="105">
        <f>IF(ISERROR(HLOOKUP($K$139,$Q$45:$AB$46,2)),0,HLOOKUP($K$139,$Q$45:$AB$46,2))</f>
        <v>0</v>
      </c>
      <c r="F139" s="106">
        <f>IF(ISERROR(HLOOKUP($L$139,$Q$45:$AB$46,2)),0,HLOOKUP($L$139,$Q$45:$AB$46,2))</f>
        <v>0</v>
      </c>
      <c r="G139" s="67">
        <f>SUM($F$27:$F$32)</f>
        <v>0</v>
      </c>
      <c r="H139" s="67">
        <f>SUM($F$27:$F$32)+$J$51</f>
        <v>0</v>
      </c>
      <c r="I139" s="67">
        <f>SUM($F$27:$F$32)+$J$51+$J$60</f>
        <v>0</v>
      </c>
      <c r="J139" s="21">
        <f t="shared" si="7"/>
        <v>0</v>
      </c>
      <c r="K139" s="21">
        <f t="shared" si="8"/>
        <v>0</v>
      </c>
      <c r="L139" s="21">
        <f t="shared" si="9"/>
        <v>0</v>
      </c>
      <c r="M139" s="21" t="s">
        <v>660</v>
      </c>
      <c r="P139" s="328"/>
      <c r="Q139" s="328"/>
      <c r="BB139" s="321"/>
      <c r="BC139" s="322"/>
      <c r="BD139" s="322"/>
      <c r="BE139" s="322"/>
      <c r="BF139" s="323"/>
      <c r="BG139" s="323"/>
      <c r="BH139" s="323"/>
      <c r="BI139" s="324"/>
      <c r="BJ139" s="325"/>
      <c r="BK139" s="326"/>
      <c r="BL139" s="327"/>
    </row>
    <row r="140" spans="1:64" ht="12.75" hidden="1" customHeight="1" x14ac:dyDescent="0.15">
      <c r="A140" s="259">
        <v>3</v>
      </c>
      <c r="B140" s="51" t="s">
        <v>551</v>
      </c>
      <c r="C140" s="21" t="s">
        <v>613</v>
      </c>
      <c r="D140" s="104">
        <f>IF(ISERROR(HLOOKUP($J$140,$Q$48:$AB$49,2)),0,HLOOKUP($J$140,$Q$48:$AB$49,2))</f>
        <v>0</v>
      </c>
      <c r="E140" s="105">
        <f>IF(ISERROR(HLOOKUP($K$140,$Q$48:$AB$49,2)),0,HLOOKUP($K$140,$Q$48:$AB$49,2))</f>
        <v>0</v>
      </c>
      <c r="F140" s="106">
        <f>IF(ISERROR(HLOOKUP($L$140,$Q$48:$AB$49,2)),0,HLOOKUP($L$140,$Q$48:$AB$49,2))</f>
        <v>0</v>
      </c>
      <c r="G140" s="67">
        <f>SUM($F$30:$F$32)</f>
        <v>0</v>
      </c>
      <c r="H140" s="67">
        <f>SUM($F$30:$F$32)+$J$51</f>
        <v>0</v>
      </c>
      <c r="I140" s="67">
        <f>SUM($F$30:$F$32)+$J$51+$J$60</f>
        <v>0</v>
      </c>
      <c r="J140" s="21">
        <f t="shared" si="7"/>
        <v>0</v>
      </c>
      <c r="K140" s="21">
        <f t="shared" si="8"/>
        <v>0</v>
      </c>
      <c r="L140" s="21">
        <f t="shared" si="9"/>
        <v>0</v>
      </c>
      <c r="M140" s="21" t="s">
        <v>660</v>
      </c>
      <c r="P140" s="328"/>
      <c r="Q140" s="328"/>
      <c r="BB140" s="69"/>
      <c r="BC140" s="69"/>
      <c r="BD140" s="69"/>
      <c r="BE140" s="69"/>
      <c r="BF140" s="69"/>
      <c r="BG140" s="69"/>
      <c r="BH140" s="69"/>
      <c r="BI140" s="69"/>
      <c r="BJ140" s="69"/>
      <c r="BK140" s="326"/>
      <c r="BL140" s="327"/>
    </row>
    <row r="141" spans="1:64" ht="12.75" hidden="1" customHeight="1" x14ac:dyDescent="0.15">
      <c r="A141" s="259">
        <v>4</v>
      </c>
      <c r="B141" s="51" t="s">
        <v>552</v>
      </c>
      <c r="C141" s="21" t="s">
        <v>613</v>
      </c>
      <c r="D141" s="104">
        <f>IF(ISERROR(HLOOKUP($J$141,$Q$48:$Z$49,2)),0,HLOOKUP($J$141,$Q$48:$Z$49,2))</f>
        <v>0</v>
      </c>
      <c r="E141" s="105">
        <f>IF(ISERROR(HLOOKUP($K$141,$Q$48:$Z$49,2)),0,HLOOKUP($K$141,$Q$48:$Z$49,2))</f>
        <v>0</v>
      </c>
      <c r="F141" s="106">
        <f>IF(ISERROR(HLOOKUP($L$141,$Q$48:$Z$49,2)),0,HLOOKUP($L$141,$Q$48:$Z$49,2))</f>
        <v>0</v>
      </c>
      <c r="G141" s="67">
        <f>SUM($F$27:$F$32)</f>
        <v>0</v>
      </c>
      <c r="H141" s="67">
        <f>SUM($F$27:$F$32)+$J$51</f>
        <v>0</v>
      </c>
      <c r="I141" s="67">
        <f>SUM($F$27:$F$32)+$J$51+$J$60</f>
        <v>0</v>
      </c>
      <c r="J141" s="21">
        <f t="shared" si="7"/>
        <v>0</v>
      </c>
      <c r="K141" s="21">
        <f t="shared" si="8"/>
        <v>0</v>
      </c>
      <c r="L141" s="21">
        <f t="shared" si="9"/>
        <v>0</v>
      </c>
      <c r="M141" s="21" t="s">
        <v>660</v>
      </c>
      <c r="P141" s="328"/>
      <c r="Q141" s="328"/>
      <c r="BB141" s="69"/>
      <c r="BC141" s="69"/>
      <c r="BD141" s="69" t="s">
        <v>349</v>
      </c>
      <c r="BE141" s="70">
        <v>5</v>
      </c>
      <c r="BF141" s="70">
        <v>10</v>
      </c>
      <c r="BG141" s="70">
        <v>15</v>
      </c>
      <c r="BH141" s="70">
        <v>20</v>
      </c>
      <c r="BI141" s="70">
        <v>25</v>
      </c>
      <c r="BJ141" s="329" t="s">
        <v>365</v>
      </c>
      <c r="BK141" s="326"/>
      <c r="BL141" s="327"/>
    </row>
    <row r="142" spans="1:64" ht="12.75" hidden="1" customHeight="1" x14ac:dyDescent="0.15">
      <c r="A142" s="259">
        <v>5</v>
      </c>
      <c r="B142" s="51" t="s">
        <v>553</v>
      </c>
      <c r="C142" s="21" t="s">
        <v>613</v>
      </c>
      <c r="D142" s="104">
        <f>IF(ISERROR(HLOOKUP($J$142,$Q$48:$AB$49,2)),0,HLOOKUP($J$142,$Q$48:$AB$49,2))</f>
        <v>0</v>
      </c>
      <c r="E142" s="105">
        <f>IF(ISERROR(HLOOKUP($K$142,$Q$48:$AB$49,2)),0,HLOOKUP($K$142,$Q$48:$AB$49,2))</f>
        <v>0</v>
      </c>
      <c r="F142" s="106">
        <f>IF(ISERROR(HLOOKUP($L$142,$Q$48:$AB$49,2)),0,HLOOKUP($L$142,$Q$48:$AB$49,2))</f>
        <v>0</v>
      </c>
      <c r="G142" s="67">
        <f>SUM($F$30:$F$32)</f>
        <v>0</v>
      </c>
      <c r="H142" s="67">
        <f>SUM($F$30:$F$32)+$J$51</f>
        <v>0</v>
      </c>
      <c r="I142" s="67">
        <f>SUM($F$30:$F$32)+$J$51+$J$60</f>
        <v>0</v>
      </c>
      <c r="J142" s="21">
        <f t="shared" si="7"/>
        <v>0</v>
      </c>
      <c r="K142" s="21">
        <f t="shared" si="8"/>
        <v>0</v>
      </c>
      <c r="L142" s="21">
        <f t="shared" si="9"/>
        <v>0</v>
      </c>
      <c r="M142" s="21" t="s">
        <v>660</v>
      </c>
      <c r="P142" s="328"/>
      <c r="Q142" s="328"/>
      <c r="BB142" s="69"/>
      <c r="BC142" s="330" t="s">
        <v>419</v>
      </c>
      <c r="BD142" s="330" t="s">
        <v>420</v>
      </c>
      <c r="BE142" s="69" t="s">
        <v>421</v>
      </c>
      <c r="BF142" s="69" t="s">
        <v>422</v>
      </c>
      <c r="BG142" s="69" t="s">
        <v>423</v>
      </c>
      <c r="BH142" s="69" t="s">
        <v>424</v>
      </c>
      <c r="BI142" s="69" t="s">
        <v>425</v>
      </c>
      <c r="BJ142" s="69" t="s">
        <v>426</v>
      </c>
      <c r="BK142" s="326"/>
      <c r="BL142" s="327"/>
    </row>
    <row r="143" spans="1:64" ht="12.75" hidden="1" customHeight="1" x14ac:dyDescent="0.15">
      <c r="A143" s="259" t="s">
        <v>555</v>
      </c>
      <c r="B143" s="51" t="s">
        <v>616</v>
      </c>
      <c r="C143" s="21" t="s">
        <v>613</v>
      </c>
      <c r="D143" s="104">
        <f>IF(ISERROR(HLOOKUP($J$143,$Q$48:$V$49,2)),0,HLOOKUP($J$143,$Q$48:$V$49,2))</f>
        <v>0</v>
      </c>
      <c r="E143" s="105">
        <f>IF(ISERROR(HLOOKUP($K$143,$Q$48:$V$49,2)),0,HLOOKUP($K$143,$Q$48:$V$49,2))</f>
        <v>0</v>
      </c>
      <c r="F143" s="106">
        <f>IF(ISERROR(HLOOKUP($L$143,$Q$48:$V$49,2)),0,HLOOKUP($L$143,$Q$48:$V$49,2))</f>
        <v>0</v>
      </c>
      <c r="G143" s="67">
        <f>SUM($F$30:$F$32)</f>
        <v>0</v>
      </c>
      <c r="H143" s="67">
        <f>SUM($F$30:$F$32)+$J$51</f>
        <v>0</v>
      </c>
      <c r="I143" s="67">
        <f>SUM($F$30:$F$32)+$J$51+$J$60</f>
        <v>0</v>
      </c>
      <c r="J143" s="21">
        <f t="shared" si="7"/>
        <v>0</v>
      </c>
      <c r="K143" s="21">
        <f t="shared" si="8"/>
        <v>0</v>
      </c>
      <c r="L143" s="21">
        <f t="shared" si="9"/>
        <v>0</v>
      </c>
      <c r="M143" s="21" t="s">
        <v>660</v>
      </c>
      <c r="P143" s="328"/>
      <c r="Q143" s="328"/>
      <c r="BB143" s="69"/>
      <c r="BC143" s="330" t="s">
        <v>427</v>
      </c>
      <c r="BD143" s="330" t="s">
        <v>428</v>
      </c>
      <c r="BE143" s="69" t="s">
        <v>421</v>
      </c>
      <c r="BF143" s="69" t="s">
        <v>422</v>
      </c>
      <c r="BG143" s="69" t="s">
        <v>423</v>
      </c>
      <c r="BH143" s="69" t="s">
        <v>424</v>
      </c>
      <c r="BI143" s="69" t="s">
        <v>425</v>
      </c>
      <c r="BJ143" s="69" t="s">
        <v>426</v>
      </c>
      <c r="BK143" s="326"/>
      <c r="BL143" s="327"/>
    </row>
    <row r="144" spans="1:64" ht="12.75" hidden="1" customHeight="1" x14ac:dyDescent="0.15">
      <c r="A144" s="259">
        <v>6</v>
      </c>
      <c r="B144" s="51" t="s">
        <v>556</v>
      </c>
      <c r="C144" s="21" t="s">
        <v>613</v>
      </c>
      <c r="D144" s="104">
        <f>IF(ISERROR(HLOOKUP($J$144,$Q$48:$AA$49,2)),0,HLOOKUP($J$144,$Q$48:$AA$49,2))</f>
        <v>0</v>
      </c>
      <c r="E144" s="105">
        <f>IF(ISERROR(HLOOKUP(K144,$Q$48:$AA$49,2)),0,HLOOKUP(K144,$Q$48:$AA$49,2))</f>
        <v>0</v>
      </c>
      <c r="F144" s="106">
        <f>IF(ISERROR(HLOOKUP(L144,$Q$48:$AA$49,2)),0,HLOOKUP(L144,$Q$48:$AA$49,2))</f>
        <v>0</v>
      </c>
      <c r="G144" s="396">
        <f>SUM($F$27:$F$33)</f>
        <v>0</v>
      </c>
      <c r="H144" s="103">
        <f>SUM($F$27:$F$33)+$J$51</f>
        <v>0</v>
      </c>
      <c r="I144" s="103">
        <f>SUM($F$27:$F$33)+$J$51+$J$60</f>
        <v>0</v>
      </c>
      <c r="J144" s="21">
        <f t="shared" si="7"/>
        <v>0</v>
      </c>
      <c r="K144" s="21">
        <f t="shared" si="8"/>
        <v>0</v>
      </c>
      <c r="L144" s="21">
        <f t="shared" si="9"/>
        <v>0</v>
      </c>
      <c r="M144" s="21" t="s">
        <v>660</v>
      </c>
      <c r="P144" s="328"/>
      <c r="Q144" s="328"/>
      <c r="BB144" s="69"/>
      <c r="BC144" s="330" t="s">
        <v>429</v>
      </c>
      <c r="BD144" s="330" t="s">
        <v>430</v>
      </c>
      <c r="BE144" s="69" t="s">
        <v>421</v>
      </c>
      <c r="BF144" s="69" t="s">
        <v>422</v>
      </c>
      <c r="BG144" s="69" t="s">
        <v>423</v>
      </c>
      <c r="BH144" s="69" t="s">
        <v>424</v>
      </c>
      <c r="BI144" s="69" t="s">
        <v>425</v>
      </c>
      <c r="BJ144" s="69" t="s">
        <v>426</v>
      </c>
      <c r="BK144" s="7"/>
      <c r="BL144" s="7"/>
    </row>
    <row r="145" spans="1:64" ht="12.75" hidden="1" customHeight="1" x14ac:dyDescent="0.15">
      <c r="A145" s="259">
        <v>7</v>
      </c>
      <c r="B145" s="51" t="s">
        <v>557</v>
      </c>
      <c r="C145" s="21" t="s">
        <v>547</v>
      </c>
      <c r="D145" s="104">
        <f>IF(ISERROR(HLOOKUP($J$145,$Q$77:$W$78,2)),0,HLOOKUP($J$145,$Q$77:$W$78,2))</f>
        <v>0</v>
      </c>
      <c r="E145" s="105">
        <f>IF(ISERROR(HLOOKUP(K145,$Q$77:$W$78,2)),0,HLOOKUP(K145,$Q$77:$W$78,2))</f>
        <v>0</v>
      </c>
      <c r="F145" s="106">
        <f>IF(ISERROR(HLOOKUP(L145,$Q$77:$W$78,2)),0,HLOOKUP(L145,$Q$77:$W$78,2))</f>
        <v>0</v>
      </c>
      <c r="G145" s="396">
        <f>SUM($F$30:$F$32)</f>
        <v>0</v>
      </c>
      <c r="H145" s="103">
        <f>SUM($F$30:$F$32)+$J$51</f>
        <v>0</v>
      </c>
      <c r="I145" s="103">
        <f>SUM($F$30:$F$32)+$J$51+$J$60</f>
        <v>0</v>
      </c>
      <c r="J145" s="21">
        <f t="shared" si="7"/>
        <v>0</v>
      </c>
      <c r="K145" s="21">
        <f t="shared" si="8"/>
        <v>0</v>
      </c>
      <c r="L145" s="21">
        <f t="shared" si="9"/>
        <v>0</v>
      </c>
      <c r="M145" s="21" t="s">
        <v>660</v>
      </c>
      <c r="P145" s="328"/>
      <c r="Q145" s="328"/>
      <c r="BB145" s="69"/>
      <c r="BC145" s="330" t="s">
        <v>431</v>
      </c>
      <c r="BD145" s="330" t="s">
        <v>430</v>
      </c>
      <c r="BE145" s="69" t="s">
        <v>421</v>
      </c>
      <c r="BF145" s="69" t="s">
        <v>422</v>
      </c>
      <c r="BG145" s="69" t="s">
        <v>423</v>
      </c>
      <c r="BH145" s="69" t="s">
        <v>424</v>
      </c>
      <c r="BI145" s="69" t="s">
        <v>425</v>
      </c>
      <c r="BJ145" s="69" t="s">
        <v>426</v>
      </c>
      <c r="BK145" s="5"/>
      <c r="BL145" s="5"/>
    </row>
    <row r="146" spans="1:64" ht="12.75" hidden="1" customHeight="1" x14ac:dyDescent="0.15">
      <c r="A146" s="259" t="s">
        <v>558</v>
      </c>
      <c r="B146" s="51" t="s">
        <v>614</v>
      </c>
      <c r="C146" s="21" t="s">
        <v>547</v>
      </c>
      <c r="D146" s="104">
        <f>IF(ISERROR(HLOOKUP($J$146,$Q$77:$W$78,2)),0,HLOOKUP($J$146,$Q$77:$W$78,2))</f>
        <v>0</v>
      </c>
      <c r="E146" s="105">
        <f>IF(ISERROR(HLOOKUP(K146,$Q$77:$W$78,2)),0,HLOOKUP(K146,$Q$77:$W$78,2))</f>
        <v>0</v>
      </c>
      <c r="F146" s="106">
        <f>IF(ISERROR(HLOOKUP(L146,$Q$77:$W$78,2)),0,HLOOKUP(L146,$Q$77:$W$78,2))</f>
        <v>0</v>
      </c>
      <c r="G146" s="396">
        <f>SUM($F$30:$F$32)</f>
        <v>0</v>
      </c>
      <c r="H146" s="103">
        <f>SUM($F$30:$F$32)+$J$51</f>
        <v>0</v>
      </c>
      <c r="I146" s="103">
        <f>SUM($F$30:$F$32)+$J$51+$J$60</f>
        <v>0</v>
      </c>
      <c r="J146" s="21">
        <f t="shared" si="7"/>
        <v>0</v>
      </c>
      <c r="K146" s="21">
        <f t="shared" si="8"/>
        <v>0</v>
      </c>
      <c r="L146" s="21">
        <f t="shared" si="9"/>
        <v>0</v>
      </c>
      <c r="M146" s="21" t="s">
        <v>660</v>
      </c>
      <c r="P146" s="328"/>
      <c r="Q146" s="328"/>
      <c r="BB146" s="69"/>
      <c r="BC146" s="69" t="s">
        <v>400</v>
      </c>
      <c r="BD146" s="69"/>
      <c r="BE146" s="69" t="s">
        <v>329</v>
      </c>
      <c r="BF146" s="69" t="s">
        <v>356</v>
      </c>
      <c r="BG146" s="69" t="s">
        <v>432</v>
      </c>
      <c r="BH146" s="69" t="s">
        <v>432</v>
      </c>
      <c r="BI146" s="69" t="s">
        <v>432</v>
      </c>
      <c r="BJ146" s="69" t="s">
        <v>432</v>
      </c>
      <c r="BK146" s="5"/>
      <c r="BL146" s="5"/>
    </row>
    <row r="147" spans="1:64" ht="12.75" hidden="1" customHeight="1" x14ac:dyDescent="0.15">
      <c r="A147" s="259">
        <v>8</v>
      </c>
      <c r="B147" s="51" t="s">
        <v>559</v>
      </c>
      <c r="C147" s="21" t="s">
        <v>547</v>
      </c>
      <c r="D147" s="104">
        <f>IF(ISERROR(HLOOKUP($J$147,$Q$73:$W$74,2)),0,HLOOKUP($J$147,$Q$73:$W$74,2))</f>
        <v>0</v>
      </c>
      <c r="E147" s="105">
        <f>IF(ISERROR(HLOOKUP(K147,$Q$73:$W$74,2)),0,HLOOKUP(K147,$Q$73:$W$74,2))</f>
        <v>0</v>
      </c>
      <c r="F147" s="106">
        <f>IF(ISERROR(HLOOKUP(L147,$Q$73:$W$74,2)),0,HLOOKUP(L147,$Q$73:$W$74,2))</f>
        <v>0</v>
      </c>
      <c r="G147" s="396">
        <f>SUM($F$27:$F$32)</f>
        <v>0</v>
      </c>
      <c r="H147" s="103">
        <f>SUM($F$27:$F$32)+$J$51</f>
        <v>0</v>
      </c>
      <c r="I147" s="103">
        <f>SUM($F$27:$F$32)+$J$51+$J$60</f>
        <v>0</v>
      </c>
      <c r="J147" s="21">
        <f t="shared" si="7"/>
        <v>0</v>
      </c>
      <c r="K147" s="21">
        <f t="shared" si="8"/>
        <v>0</v>
      </c>
      <c r="L147" s="21">
        <f t="shared" si="9"/>
        <v>0</v>
      </c>
      <c r="M147" s="21" t="s">
        <v>660</v>
      </c>
      <c r="P147" s="328"/>
      <c r="Q147" s="328"/>
      <c r="BB147" s="69">
        <v>26</v>
      </c>
      <c r="BC147" s="69"/>
      <c r="BD147" s="69"/>
      <c r="BE147" s="69"/>
      <c r="BF147" s="69"/>
      <c r="BG147" s="69"/>
      <c r="BH147" s="69"/>
      <c r="BI147" s="69"/>
      <c r="BJ147" s="69"/>
      <c r="BK147" s="5"/>
      <c r="BL147" s="5"/>
    </row>
    <row r="148" spans="1:64" ht="12.75" hidden="1" customHeight="1" x14ac:dyDescent="0.15">
      <c r="A148" s="259">
        <v>9</v>
      </c>
      <c r="B148" s="51" t="s">
        <v>560</v>
      </c>
      <c r="C148" s="21" t="s">
        <v>547</v>
      </c>
      <c r="D148" s="104">
        <f>IF(ISERROR(HLOOKUP($J$148,$Q$77:$W$78,2)),0,HLOOKUP($J$148,$Q$77:$W$78,2))</f>
        <v>0</v>
      </c>
      <c r="E148" s="105">
        <f>IF(ISERROR(HLOOKUP(K148,$Q$77:$W$78,2)),0,HLOOKUP(K148,$Q$77:$W$78,2))</f>
        <v>0</v>
      </c>
      <c r="F148" s="106">
        <f>IF(ISERROR(HLOOKUP(L148,$Q$77:$W$78,2)),0,HLOOKUP(L148,$Q$77:$W$78,2))</f>
        <v>0</v>
      </c>
      <c r="G148" s="396">
        <f>SUM($F$27:$F$32)</f>
        <v>0</v>
      </c>
      <c r="H148" s="103">
        <f>SUM($F$27:$F$32)+$J$51</f>
        <v>0</v>
      </c>
      <c r="I148" s="103">
        <f>SUM($F$27:$F$32)+$J$51+$J$60</f>
        <v>0</v>
      </c>
      <c r="J148" s="21">
        <f t="shared" si="7"/>
        <v>0</v>
      </c>
      <c r="K148" s="21">
        <f t="shared" si="8"/>
        <v>0</v>
      </c>
      <c r="L148" s="21">
        <f t="shared" si="9"/>
        <v>0</v>
      </c>
      <c r="M148" s="21" t="s">
        <v>660</v>
      </c>
      <c r="P148" s="328"/>
      <c r="Q148" s="328"/>
      <c r="BB148" s="69"/>
      <c r="BC148" s="331"/>
      <c r="BD148" s="116"/>
      <c r="BE148" s="69"/>
      <c r="BF148" s="69"/>
      <c r="BG148" s="69"/>
      <c r="BH148" s="69"/>
      <c r="BI148" s="69"/>
      <c r="BJ148" s="69"/>
      <c r="BK148" s="5"/>
      <c r="BL148" s="5"/>
    </row>
    <row r="149" spans="1:64" ht="12.75" hidden="1" customHeight="1" x14ac:dyDescent="0.15">
      <c r="A149" s="259">
        <v>10</v>
      </c>
      <c r="B149" s="51" t="s">
        <v>561</v>
      </c>
      <c r="C149" s="21" t="s">
        <v>613</v>
      </c>
      <c r="D149" s="104">
        <f>IF(ISERROR(HLOOKUP($J$149,$Q$39:$Y$40,2)),0,HLOOKUP($J$149,$Q$39:$Y$40,2))</f>
        <v>0</v>
      </c>
      <c r="E149" s="105">
        <f>IF(ISERROR(HLOOKUP(K149,$Q$39:$Y$40,2)),0,HLOOKUP(K149,$Q$39:$Y$40,2))</f>
        <v>0</v>
      </c>
      <c r="F149" s="106">
        <f>IF(ISERROR(HLOOKUP(L149,$Q$39:$Y$40,2)),0,HLOOKUP(L149,$Q$39:$Y$40,2))</f>
        <v>0</v>
      </c>
      <c r="G149" s="396">
        <f>SUM($F$27:$F$32)</f>
        <v>0</v>
      </c>
      <c r="H149" s="103">
        <f>SUM($F$27:$F$32)+$J$51</f>
        <v>0</v>
      </c>
      <c r="I149" s="103">
        <f>SUM($F$27:$F$32)+$J$51+$J$60</f>
        <v>0</v>
      </c>
      <c r="J149" s="21">
        <f t="shared" si="7"/>
        <v>0</v>
      </c>
      <c r="K149" s="21">
        <f t="shared" si="8"/>
        <v>0</v>
      </c>
      <c r="L149" s="21">
        <f t="shared" si="9"/>
        <v>0</v>
      </c>
      <c r="M149" s="21" t="s">
        <v>660</v>
      </c>
      <c r="P149" s="328"/>
      <c r="Q149" s="328"/>
      <c r="BB149" s="69"/>
      <c r="BC149" s="69"/>
      <c r="BD149" s="69"/>
      <c r="BE149" s="69"/>
      <c r="BF149" s="69"/>
      <c r="BG149" s="69"/>
      <c r="BH149" s="69"/>
      <c r="BI149" s="69"/>
      <c r="BJ149" s="69"/>
      <c r="BK149" s="5"/>
      <c r="BL149" s="5"/>
    </row>
    <row r="150" spans="1:64" ht="12.75" hidden="1" customHeight="1" x14ac:dyDescent="0.15">
      <c r="A150" s="259">
        <v>11</v>
      </c>
      <c r="B150" s="51" t="s">
        <v>562</v>
      </c>
      <c r="C150" s="21" t="s">
        <v>547</v>
      </c>
      <c r="D150" s="104">
        <f>IF(ISERROR(HLOOKUP($J$150,$Q$73:$AB$74,2)),0,HLOOKUP($J$150,$Q$73:$AB$74,2))</f>
        <v>0</v>
      </c>
      <c r="E150" s="105">
        <f>IF(ISERROR(HLOOKUP(K150,$Q$73:$AB$74,2)),0,HLOOKUP(K150,$Q$73:$AB$74,2))</f>
        <v>0</v>
      </c>
      <c r="F150" s="106">
        <f>IF(ISERROR(HLOOKUP(L150,$Q$73:$AB$74,2)),0,HLOOKUP(L150,$Q$73:$AB$74,2))</f>
        <v>0</v>
      </c>
      <c r="G150" s="396">
        <f>SUM($F$30:$F$32)</f>
        <v>0</v>
      </c>
      <c r="H150" s="103">
        <f>SUM($F$30:$F$32)+$J$51</f>
        <v>0</v>
      </c>
      <c r="I150" s="103">
        <f>SUM($F$30:$F$32)+$J$51+$J$60</f>
        <v>0</v>
      </c>
      <c r="J150" s="21">
        <f t="shared" si="7"/>
        <v>0</v>
      </c>
      <c r="K150" s="21">
        <f t="shared" si="8"/>
        <v>0</v>
      </c>
      <c r="L150" s="21">
        <f t="shared" si="9"/>
        <v>0</v>
      </c>
      <c r="M150" s="21" t="s">
        <v>660</v>
      </c>
      <c r="P150" s="328"/>
      <c r="Q150" s="328"/>
      <c r="BB150" s="69"/>
      <c r="BC150" s="69"/>
      <c r="BD150" s="69"/>
      <c r="BE150" s="69"/>
      <c r="BF150" s="69"/>
      <c r="BG150" s="69"/>
      <c r="BH150" s="69"/>
      <c r="BI150" s="69"/>
      <c r="BJ150" s="69"/>
      <c r="BK150" s="5"/>
      <c r="BL150" s="5"/>
    </row>
    <row r="151" spans="1:64" ht="12.75" hidden="1" customHeight="1" x14ac:dyDescent="0.15">
      <c r="A151" s="259">
        <v>12</v>
      </c>
      <c r="B151" s="51" t="s">
        <v>563</v>
      </c>
      <c r="C151" s="21"/>
      <c r="D151" s="104"/>
      <c r="E151" s="105"/>
      <c r="F151" s="106"/>
      <c r="G151" s="396">
        <f>SUM($F$30:$F$32)</f>
        <v>0</v>
      </c>
      <c r="H151" s="103">
        <f>SUM($F$30:$F$32)+$J$51</f>
        <v>0</v>
      </c>
      <c r="I151" s="103">
        <f>SUM($F$30:$F$32)+$J$51+$J$60</f>
        <v>0</v>
      </c>
      <c r="J151" s="21">
        <f t="shared" si="7"/>
        <v>0</v>
      </c>
      <c r="K151" s="21">
        <f t="shared" si="8"/>
        <v>0</v>
      </c>
      <c r="L151" s="21">
        <f t="shared" si="9"/>
        <v>0</v>
      </c>
      <c r="M151" s="21" t="s">
        <v>660</v>
      </c>
      <c r="P151" s="328"/>
      <c r="Q151" s="328"/>
      <c r="BB151" s="69"/>
      <c r="BC151" s="69"/>
      <c r="BD151" s="69"/>
      <c r="BE151" s="69"/>
      <c r="BF151" s="69"/>
      <c r="BG151" s="69"/>
      <c r="BH151" s="69"/>
      <c r="BI151" s="69"/>
      <c r="BJ151" s="69"/>
      <c r="BK151" s="5"/>
      <c r="BL151" s="5"/>
    </row>
    <row r="152" spans="1:64" ht="12.75" hidden="1" customHeight="1" x14ac:dyDescent="0.15">
      <c r="A152" s="259">
        <v>13</v>
      </c>
      <c r="B152" s="51" t="s">
        <v>686</v>
      </c>
      <c r="C152" s="21" t="s">
        <v>527</v>
      </c>
      <c r="D152" s="104">
        <f>IF(ISERROR(HLOOKUP($J$152,$Q$26:$AT$27,2)),0,HLOOKUP($J$152,$Q$26:$AT$27,2))</f>
        <v>0</v>
      </c>
      <c r="E152" s="104">
        <f>IF(ISERROR(HLOOKUP(K152,$Q$26:$AT$27,2)),0,HLOOKUP(K152,$Q$26:$AT$27,2))</f>
        <v>0</v>
      </c>
      <c r="F152" s="104">
        <f>IF(ISERROR(HLOOKUP(L152,$Q$26:$AT$27,2)),0,HLOOKUP(L152,$Q$26:$AT$27,2))</f>
        <v>0</v>
      </c>
      <c r="G152" s="396">
        <f>SUM($F$30:$F$32)</f>
        <v>0</v>
      </c>
      <c r="H152" s="103">
        <f>SUM($F$30:$F$32)+$J$51</f>
        <v>0</v>
      </c>
      <c r="I152" s="103">
        <f>SUM($F$30:$F$32)+$J$51+$J$60</f>
        <v>0</v>
      </c>
      <c r="J152" s="21">
        <f t="shared" si="7"/>
        <v>0</v>
      </c>
      <c r="K152" s="21">
        <f t="shared" si="8"/>
        <v>0</v>
      </c>
      <c r="L152" s="21">
        <f t="shared" si="9"/>
        <v>0</v>
      </c>
      <c r="M152" s="21" t="s">
        <v>660</v>
      </c>
      <c r="P152" s="328"/>
      <c r="Q152" s="328"/>
      <c r="BB152" s="69"/>
      <c r="BC152" s="69"/>
      <c r="BD152" s="69"/>
      <c r="BE152" s="69"/>
      <c r="BF152" s="69"/>
      <c r="BG152" s="69"/>
      <c r="BH152" s="69"/>
      <c r="BI152" s="69"/>
      <c r="BJ152" s="69"/>
      <c r="BK152" s="5"/>
      <c r="BL152" s="5"/>
    </row>
    <row r="153" spans="1:64" ht="12.75" hidden="1" customHeight="1" x14ac:dyDescent="0.15">
      <c r="A153" s="259">
        <v>14</v>
      </c>
      <c r="B153" s="51" t="s">
        <v>564</v>
      </c>
      <c r="C153" s="21" t="s">
        <v>613</v>
      </c>
      <c r="D153" s="104">
        <f>IF(ISERROR(HLOOKUP(J153,$Q$48:$AB$49,2)),0,HLOOKUP(J153,$Q$48:$AB$49,2))</f>
        <v>0</v>
      </c>
      <c r="E153" s="104">
        <f>IF(ISERROR(HLOOKUP(K153,$Q$48:$AB$49,2)),0,HLOOKUP(K153,$Q$48:$AB$49,2))</f>
        <v>0</v>
      </c>
      <c r="F153" s="104">
        <f>IF(ISERROR(HLOOKUP(L153,$Q$48:$AB$49,2)),0,HLOOKUP(L153,$Q$48:$AB$49,2))</f>
        <v>0</v>
      </c>
      <c r="G153" s="396">
        <f>SUM($F$27:$F$32)</f>
        <v>0</v>
      </c>
      <c r="H153" s="103">
        <f>SUM($F$27:$F$32)+$J$51</f>
        <v>0</v>
      </c>
      <c r="I153" s="103">
        <f>SUM($F$27:$F$32)+$J$51+$J$60</f>
        <v>0</v>
      </c>
      <c r="J153" s="21">
        <f t="shared" si="7"/>
        <v>0</v>
      </c>
      <c r="K153" s="21">
        <f t="shared" si="8"/>
        <v>0</v>
      </c>
      <c r="L153" s="21">
        <f t="shared" si="9"/>
        <v>0</v>
      </c>
      <c r="M153" s="21" t="s">
        <v>660</v>
      </c>
      <c r="P153" s="328"/>
      <c r="Q153" s="328"/>
      <c r="AS153" s="5"/>
      <c r="BB153" s="69"/>
      <c r="BC153" s="69"/>
      <c r="BD153" s="69"/>
      <c r="BE153" s="69"/>
      <c r="BF153" s="69"/>
      <c r="BG153" s="69"/>
      <c r="BH153" s="69"/>
      <c r="BI153" s="69"/>
      <c r="BJ153" s="69"/>
      <c r="BK153" s="5"/>
      <c r="BL153" s="5"/>
    </row>
    <row r="154" spans="1:64" ht="12.75" hidden="1" customHeight="1" x14ac:dyDescent="0.15">
      <c r="A154" s="259">
        <v>15</v>
      </c>
      <c r="B154" s="51" t="s">
        <v>565</v>
      </c>
      <c r="C154" s="21" t="s">
        <v>613</v>
      </c>
      <c r="D154" s="104">
        <f>IF(ISERROR(HLOOKUP(J154,$Q$42:$AG$43,2)),0,HLOOKUP(J154,$Q$42:$AG$43,2))</f>
        <v>0</v>
      </c>
      <c r="E154" s="104">
        <f>IF(ISERROR(HLOOKUP(K154,$Q$42:$AG$43,2)),0,HLOOKUP(K154,$Q$42:$AG$43,2))</f>
        <v>0</v>
      </c>
      <c r="F154" s="104">
        <f>IF(ISERROR(HLOOKUP(L154,$Q$42:$AG$43,2)),0,HLOOKUP(L154,$Q$42:$AG$43,2))</f>
        <v>0</v>
      </c>
      <c r="G154" s="396">
        <f>SUM($F$27:$F$32)</f>
        <v>0</v>
      </c>
      <c r="H154" s="103">
        <f>SUM($F$27:$F$32)+$J$51</f>
        <v>0</v>
      </c>
      <c r="I154" s="103">
        <f>SUM($F$27:$F$32)+$J$51+$J$60</f>
        <v>0</v>
      </c>
      <c r="J154" s="21">
        <f t="shared" si="7"/>
        <v>0</v>
      </c>
      <c r="K154" s="21">
        <f t="shared" si="8"/>
        <v>0</v>
      </c>
      <c r="L154" s="21">
        <f t="shared" si="9"/>
        <v>0</v>
      </c>
      <c r="M154" s="21" t="s">
        <v>660</v>
      </c>
      <c r="P154" s="328"/>
      <c r="Q154" s="328"/>
      <c r="AS154" s="5"/>
      <c r="BB154" s="69" t="s">
        <v>427</v>
      </c>
      <c r="BC154" s="69"/>
      <c r="BD154" s="69"/>
      <c r="BE154" s="69"/>
      <c r="BF154" s="69"/>
      <c r="BG154" s="69"/>
      <c r="BH154" s="69"/>
      <c r="BI154" s="69"/>
      <c r="BJ154" s="69"/>
      <c r="BK154" s="116"/>
      <c r="BL154" s="332"/>
    </row>
    <row r="155" spans="1:64" ht="12.75" hidden="1" customHeight="1" x14ac:dyDescent="0.15">
      <c r="A155" s="259">
        <v>16</v>
      </c>
      <c r="B155" s="51" t="s">
        <v>566</v>
      </c>
      <c r="C155" s="21" t="s">
        <v>527</v>
      </c>
      <c r="D155" s="104">
        <f>IF(ISERROR(HLOOKUP(J155,$Q$26:$AT$27,2)),0,HLOOKUP(J155,$Q$26:$AT$27,2))</f>
        <v>0</v>
      </c>
      <c r="E155" s="104">
        <f>IF(ISERROR(HLOOKUP(K155,$Q$26:$AT$27,2)),0,HLOOKUP(K155,$Q$26:$AT$27,2))</f>
        <v>0</v>
      </c>
      <c r="F155" s="104">
        <f>IF(ISERROR(HLOOKUP(L155,$Q$26:$AT$27,2)),0,HLOOKUP(L155,$Q$26:$AT$27,2))</f>
        <v>0</v>
      </c>
      <c r="G155" s="396">
        <f t="shared" ref="G155:G160" si="10">SUM($F$30:$F$32)</f>
        <v>0</v>
      </c>
      <c r="H155" s="103">
        <f t="shared" ref="H155:H160" si="11">SUM($F$30:$F$32)+$J$51</f>
        <v>0</v>
      </c>
      <c r="I155" s="103">
        <f t="shared" ref="I155:I160" si="12">SUM($F$30:$F$32)+$J$51+$J$60</f>
        <v>0</v>
      </c>
      <c r="J155" s="21">
        <f t="shared" si="7"/>
        <v>0</v>
      </c>
      <c r="K155" s="21">
        <f t="shared" si="8"/>
        <v>0</v>
      </c>
      <c r="L155" s="21">
        <f t="shared" si="9"/>
        <v>0</v>
      </c>
      <c r="M155" s="21" t="s">
        <v>660</v>
      </c>
      <c r="P155" s="328"/>
      <c r="Q155" s="328"/>
      <c r="AS155" s="5"/>
      <c r="BB155" s="69"/>
      <c r="BC155" s="69"/>
      <c r="BD155" s="69"/>
      <c r="BE155" s="333"/>
      <c r="BF155" s="69"/>
      <c r="BG155" s="69"/>
      <c r="BH155" s="69"/>
      <c r="BI155" s="69"/>
      <c r="BJ155" s="69"/>
      <c r="BK155" s="69"/>
      <c r="BL155" s="69"/>
    </row>
    <row r="156" spans="1:64" ht="12.75" hidden="1" customHeight="1" x14ac:dyDescent="0.15">
      <c r="A156" s="259">
        <v>17</v>
      </c>
      <c r="B156" s="51" t="s">
        <v>567</v>
      </c>
      <c r="C156" s="21" t="s">
        <v>547</v>
      </c>
      <c r="D156" s="104">
        <f>IF(ISERROR(HLOOKUP(J156,$Q$73:$V$74,2)),0,HLOOKUP(J156,$Q$73:$V$74,2))</f>
        <v>0</v>
      </c>
      <c r="E156" s="104">
        <f>IF(ISERROR(HLOOKUP(K156,$Q$73:$V$74,2)),0,HLOOKUP(K156,$Q$73:$V$74,2))</f>
        <v>0</v>
      </c>
      <c r="F156" s="104">
        <f>IF(ISERROR(HLOOKUP(L156,$Q$73:$V$74,2)),0,HLOOKUP(L156,$Q$73:$V$74,2))</f>
        <v>0</v>
      </c>
      <c r="G156" s="396">
        <f t="shared" si="10"/>
        <v>0</v>
      </c>
      <c r="H156" s="103">
        <f t="shared" si="11"/>
        <v>0</v>
      </c>
      <c r="I156" s="103">
        <f t="shared" si="12"/>
        <v>0</v>
      </c>
      <c r="J156" s="21">
        <f t="shared" si="7"/>
        <v>0</v>
      </c>
      <c r="K156" s="21">
        <f t="shared" si="8"/>
        <v>0</v>
      </c>
      <c r="L156" s="21">
        <f t="shared" si="9"/>
        <v>0</v>
      </c>
      <c r="M156" s="21" t="s">
        <v>660</v>
      </c>
      <c r="P156" s="328"/>
      <c r="Q156" s="328"/>
      <c r="AS156" s="5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</row>
    <row r="157" spans="1:64" ht="12.75" hidden="1" customHeight="1" x14ac:dyDescent="0.15">
      <c r="A157" s="259">
        <v>18</v>
      </c>
      <c r="B157" s="51" t="s">
        <v>568</v>
      </c>
      <c r="C157" s="21" t="s">
        <v>527</v>
      </c>
      <c r="D157" s="104">
        <f>IF(ISERROR(HLOOKUP(J157,$Q$32:$AF$33,2)),0,HLOOKUP(J157,$Q$32:$AF$33,2))</f>
        <v>0</v>
      </c>
      <c r="E157" s="104">
        <f>IF(ISERROR(HLOOKUP(K157,$Q$32:$AF$33,2)),0,HLOOKUP(K157,$Q$32:$AF$33,2))</f>
        <v>0</v>
      </c>
      <c r="F157" s="104">
        <f>IF(ISERROR(HLOOKUP(L157,$Q$32:$AF$33,2)),0,HLOOKUP(L157,$Q$32:$AF$33,2))</f>
        <v>0</v>
      </c>
      <c r="G157" s="396">
        <f t="shared" si="10"/>
        <v>0</v>
      </c>
      <c r="H157" s="103">
        <f t="shared" si="11"/>
        <v>0</v>
      </c>
      <c r="I157" s="103">
        <f t="shared" si="12"/>
        <v>0</v>
      </c>
      <c r="J157" s="21">
        <f t="shared" si="7"/>
        <v>0</v>
      </c>
      <c r="K157" s="21">
        <f t="shared" si="8"/>
        <v>0</v>
      </c>
      <c r="L157" s="21">
        <f t="shared" si="9"/>
        <v>0</v>
      </c>
      <c r="M157" s="21" t="s">
        <v>660</v>
      </c>
      <c r="P157" s="328"/>
      <c r="Q157" s="328"/>
      <c r="AS157" s="5"/>
      <c r="BB157" s="69"/>
      <c r="BC157" s="69"/>
      <c r="BD157" s="69"/>
      <c r="BE157" s="333"/>
      <c r="BF157" s="69"/>
      <c r="BG157" s="69"/>
      <c r="BH157" s="69"/>
      <c r="BI157" s="69"/>
      <c r="BJ157" s="69"/>
      <c r="BK157" s="69"/>
      <c r="BL157" s="69"/>
    </row>
    <row r="158" spans="1:64" ht="12.75" hidden="1" customHeight="1" x14ac:dyDescent="0.15">
      <c r="A158" s="259">
        <v>19</v>
      </c>
      <c r="B158" s="51" t="s">
        <v>569</v>
      </c>
      <c r="C158" s="21" t="s">
        <v>613</v>
      </c>
      <c r="D158" s="104">
        <f>IF(ISERROR(HLOOKUP(J158,$Q$42:$AG$43,2)),0,HLOOKUP(J158,$Q$42:$AG$43,2))</f>
        <v>0</v>
      </c>
      <c r="E158" s="104">
        <f>IF(ISERROR(HLOOKUP(K158,$Q$42:$AG$43,2)),0,HLOOKUP(K158,$Q$42:$AG$43,2))</f>
        <v>0</v>
      </c>
      <c r="F158" s="104">
        <f>IF(ISERROR(HLOOKUP(L158,$Q$42:$AG$43,2)),0,HLOOKUP(L158,$Q$42:$AG$43,2))</f>
        <v>0</v>
      </c>
      <c r="G158" s="396">
        <f t="shared" si="10"/>
        <v>0</v>
      </c>
      <c r="H158" s="103">
        <f t="shared" si="11"/>
        <v>0</v>
      </c>
      <c r="I158" s="103">
        <f t="shared" si="12"/>
        <v>0</v>
      </c>
      <c r="J158" s="21">
        <f t="shared" si="7"/>
        <v>0</v>
      </c>
      <c r="K158" s="21">
        <f t="shared" si="8"/>
        <v>0</v>
      </c>
      <c r="L158" s="21">
        <f t="shared" si="9"/>
        <v>0</v>
      </c>
      <c r="M158" s="21" t="s">
        <v>660</v>
      </c>
      <c r="P158" s="328"/>
      <c r="Q158" s="328"/>
      <c r="AS158" s="5"/>
      <c r="BB158" s="11"/>
      <c r="BC158" s="5"/>
    </row>
    <row r="159" spans="1:64" ht="12.75" hidden="1" customHeight="1" x14ac:dyDescent="0.15">
      <c r="A159" s="259">
        <v>20</v>
      </c>
      <c r="B159" s="51" t="s">
        <v>570</v>
      </c>
      <c r="C159" s="21" t="s">
        <v>613</v>
      </c>
      <c r="D159" s="104">
        <f t="shared" ref="D159:F160" si="13">IF(ISERROR(HLOOKUP(J159,$Q$39:$Y$40,2)),0,HLOOKUP(J159,$Q$39:$Y$40,2))</f>
        <v>0</v>
      </c>
      <c r="E159" s="104">
        <f t="shared" si="13"/>
        <v>0</v>
      </c>
      <c r="F159" s="104">
        <f t="shared" si="13"/>
        <v>0</v>
      </c>
      <c r="G159" s="396">
        <f t="shared" si="10"/>
        <v>0</v>
      </c>
      <c r="H159" s="103">
        <f t="shared" si="11"/>
        <v>0</v>
      </c>
      <c r="I159" s="103">
        <f t="shared" si="12"/>
        <v>0</v>
      </c>
      <c r="J159" s="21">
        <f t="shared" si="7"/>
        <v>0</v>
      </c>
      <c r="K159" s="21">
        <f t="shared" si="8"/>
        <v>0</v>
      </c>
      <c r="L159" s="21">
        <f t="shared" si="9"/>
        <v>0</v>
      </c>
      <c r="M159" s="21" t="s">
        <v>660</v>
      </c>
      <c r="P159" s="328"/>
      <c r="Q159" s="328"/>
      <c r="AS159" s="5"/>
      <c r="BB159" s="11"/>
      <c r="BC159" s="5"/>
    </row>
    <row r="160" spans="1:64" ht="12.75" hidden="1" customHeight="1" x14ac:dyDescent="0.15">
      <c r="A160" s="259">
        <v>21</v>
      </c>
      <c r="B160" s="51" t="s">
        <v>571</v>
      </c>
      <c r="C160" s="21" t="s">
        <v>613</v>
      </c>
      <c r="D160" s="104">
        <f t="shared" si="13"/>
        <v>0</v>
      </c>
      <c r="E160" s="104">
        <f t="shared" si="13"/>
        <v>0</v>
      </c>
      <c r="F160" s="104">
        <f t="shared" si="13"/>
        <v>0</v>
      </c>
      <c r="G160" s="396">
        <f t="shared" si="10"/>
        <v>0</v>
      </c>
      <c r="H160" s="103">
        <f t="shared" si="11"/>
        <v>0</v>
      </c>
      <c r="I160" s="103">
        <f t="shared" si="12"/>
        <v>0</v>
      </c>
      <c r="J160" s="21">
        <f t="shared" si="7"/>
        <v>0</v>
      </c>
      <c r="K160" s="21">
        <f t="shared" si="8"/>
        <v>0</v>
      </c>
      <c r="L160" s="21">
        <f t="shared" si="9"/>
        <v>0</v>
      </c>
      <c r="M160" s="21" t="s">
        <v>660</v>
      </c>
      <c r="P160" s="328"/>
      <c r="Q160" s="328"/>
      <c r="AS160" s="5"/>
      <c r="BB160" s="11"/>
      <c r="BC160" s="5"/>
    </row>
    <row r="161" spans="1:55" ht="12.75" hidden="1" customHeight="1" x14ac:dyDescent="0.15">
      <c r="A161" s="259">
        <v>22</v>
      </c>
      <c r="B161" s="51" t="s">
        <v>572</v>
      </c>
      <c r="C161" s="21"/>
      <c r="D161" s="334"/>
      <c r="E161" s="335"/>
      <c r="F161" s="336"/>
      <c r="G161" s="397"/>
      <c r="H161" s="51"/>
      <c r="M161" s="21" t="s">
        <v>660</v>
      </c>
      <c r="P161" s="328"/>
      <c r="Q161" s="328"/>
      <c r="AS161" s="5"/>
      <c r="BB161" s="11"/>
      <c r="BC161" s="5"/>
    </row>
    <row r="162" spans="1:55" ht="12.75" hidden="1" customHeight="1" x14ac:dyDescent="0.15">
      <c r="A162" s="259">
        <v>23</v>
      </c>
      <c r="B162" s="51" t="s">
        <v>573</v>
      </c>
      <c r="C162" s="21"/>
      <c r="D162" s="334"/>
      <c r="E162" s="335"/>
      <c r="F162" s="336"/>
      <c r="G162" s="397"/>
      <c r="H162" s="51"/>
      <c r="M162" s="21" t="s">
        <v>660</v>
      </c>
      <c r="P162" s="328"/>
      <c r="Q162" s="328"/>
      <c r="AS162" s="5"/>
    </row>
    <row r="163" spans="1:55" ht="12.75" hidden="1" customHeight="1" x14ac:dyDescent="0.15">
      <c r="A163" s="259">
        <v>24</v>
      </c>
      <c r="B163" s="51" t="s">
        <v>574</v>
      </c>
      <c r="C163" s="21" t="s">
        <v>613</v>
      </c>
      <c r="D163" s="104">
        <f>IF(ISERROR(HLOOKUP(J163,$Q$42:$AG$43,2)),0,HLOOKUP(J163,$Q$42:$AG$43,2))</f>
        <v>0</v>
      </c>
      <c r="E163" s="104">
        <f>IF(ISERROR(HLOOKUP(K163,$Q$42:$AG$43,2)),0,HLOOKUP(K163,$Q$42:$AG$43,2))</f>
        <v>0</v>
      </c>
      <c r="F163" s="104">
        <f>IF(ISERROR(HLOOKUP(L163,$Q$42:$AG$43,2)),0,HLOOKUP(L163,$Q$42:$AG$43,2))</f>
        <v>0</v>
      </c>
      <c r="G163" s="396">
        <f>SUM($F$27:$F$32)</f>
        <v>0</v>
      </c>
      <c r="H163" s="103">
        <f>SUM($F$27:$F$32)+$J$51</f>
        <v>0</v>
      </c>
      <c r="I163" s="103">
        <f>SUM($F$27:$F$32)+$J$51+$J$60</f>
        <v>0</v>
      </c>
      <c r="J163" s="21">
        <f t="shared" ref="J163:J194" si="14">ROUNDDOWN(G163/365,0)</f>
        <v>0</v>
      </c>
      <c r="K163" s="21">
        <f t="shared" ref="K163:K194" si="15">ROUNDDOWN(H163/365,0)</f>
        <v>0</v>
      </c>
      <c r="L163" s="21">
        <f t="shared" ref="L163:L194" si="16">ROUNDDOWN(I163/365,0)</f>
        <v>0</v>
      </c>
      <c r="M163" s="21" t="s">
        <v>660</v>
      </c>
      <c r="P163" s="328"/>
      <c r="Q163" s="328"/>
      <c r="AS163" s="5"/>
    </row>
    <row r="164" spans="1:55" ht="12.75" hidden="1" customHeight="1" x14ac:dyDescent="0.15">
      <c r="A164" s="259">
        <v>25</v>
      </c>
      <c r="B164" s="51" t="s">
        <v>580</v>
      </c>
      <c r="C164" s="21" t="s">
        <v>527</v>
      </c>
      <c r="D164" s="104">
        <f>IF(ISERROR(HLOOKUP(J164,$Q$29:$AT$30,2)),0,HLOOKUP(J164,$Q$29:$AT$30,2))</f>
        <v>0</v>
      </c>
      <c r="E164" s="104">
        <f>IF(ISERROR(HLOOKUP(K164,$Q$29:$AT$30,2)),0,HLOOKUP(K164,$Q$29:$AT$30,2))</f>
        <v>0</v>
      </c>
      <c r="F164" s="104">
        <f>IF(ISERROR(HLOOKUP(L164,$Q$29:$AT$30,2)),0,HLOOKUP(L164,$Q$29:$AT$30,2))</f>
        <v>0</v>
      </c>
      <c r="G164" s="396">
        <f>SUM($F$30:$F$32)</f>
        <v>0</v>
      </c>
      <c r="H164" s="103">
        <f>SUM($F$30:$F$32)+$J$51</f>
        <v>0</v>
      </c>
      <c r="I164" s="103">
        <f>SUM($F$30:$F$32)+$J$51+$J$60</f>
        <v>0</v>
      </c>
      <c r="J164" s="21">
        <f t="shared" si="14"/>
        <v>0</v>
      </c>
      <c r="K164" s="21">
        <f t="shared" si="15"/>
        <v>0</v>
      </c>
      <c r="L164" s="21">
        <f t="shared" si="16"/>
        <v>0</v>
      </c>
      <c r="M164" s="21" t="s">
        <v>660</v>
      </c>
      <c r="P164" s="328"/>
      <c r="Q164" s="328"/>
      <c r="AS164" s="5"/>
    </row>
    <row r="165" spans="1:55" ht="12.75" hidden="1" customHeight="1" x14ac:dyDescent="0.15">
      <c r="A165" s="259">
        <v>26</v>
      </c>
      <c r="B165" s="51" t="s">
        <v>581</v>
      </c>
      <c r="C165" s="21" t="s">
        <v>547</v>
      </c>
      <c r="D165" s="104">
        <f>IF(ISERROR(HLOOKUP(J165,$Q$73:$W$74,2)),0,HLOOKUP(J165,$Q$73:$W$74,2))</f>
        <v>0</v>
      </c>
      <c r="E165" s="104">
        <f>IF(ISERROR(HLOOKUP(K165,$Q$73:$W$74,2)),0,HLOOKUP(K165,$Q$73:$W$74,2))</f>
        <v>0</v>
      </c>
      <c r="F165" s="104">
        <f>IF(ISERROR(HLOOKUP(L165,$Q$73:$W$74,2)),0,HLOOKUP(L165,$Q$73:$W$74,2))</f>
        <v>0</v>
      </c>
      <c r="G165" s="396">
        <f>SUM($F$27:$F$32)</f>
        <v>0</v>
      </c>
      <c r="H165" s="103">
        <f>SUM($F$27:$F$32)+$J$51</f>
        <v>0</v>
      </c>
      <c r="I165" s="103">
        <f>SUM($F$27:$F$32)+$J$51+$J$60</f>
        <v>0</v>
      </c>
      <c r="J165" s="21">
        <f t="shared" si="14"/>
        <v>0</v>
      </c>
      <c r="K165" s="21">
        <f t="shared" si="15"/>
        <v>0</v>
      </c>
      <c r="L165" s="21">
        <f t="shared" si="16"/>
        <v>0</v>
      </c>
      <c r="M165" s="21" t="s">
        <v>660</v>
      </c>
      <c r="P165" s="328"/>
      <c r="Q165" s="328"/>
      <c r="AS165" s="5"/>
    </row>
    <row r="166" spans="1:55" ht="12.75" hidden="1" customHeight="1" x14ac:dyDescent="0.15">
      <c r="A166" s="259" t="s">
        <v>582</v>
      </c>
      <c r="B166" s="51" t="s">
        <v>684</v>
      </c>
      <c r="C166" s="21" t="s">
        <v>547</v>
      </c>
      <c r="D166" s="104">
        <f>IF(ISERROR(HLOOKUP(J166,$Q$73:$V$74,2)),0,HLOOKUP(J166,$Q$73:$V$74,2))</f>
        <v>0</v>
      </c>
      <c r="E166" s="104">
        <f>IF(ISERROR(HLOOKUP(K166,$Q$73:$V$74,2)),0,HLOOKUP(K166,$Q$73:$V$74,2))</f>
        <v>0</v>
      </c>
      <c r="F166" s="104">
        <f>IF(ISERROR(HLOOKUP(L166,$Q$73:$V$74,2)),0,HLOOKUP(L166,$Q$73:$V$74,2))</f>
        <v>0</v>
      </c>
      <c r="G166" s="396">
        <f>SUM($F$27:$F$32)</f>
        <v>0</v>
      </c>
      <c r="H166" s="103">
        <f>SUM($F$27:$F$32)+$J$51</f>
        <v>0</v>
      </c>
      <c r="I166" s="103">
        <f>SUM($F$27:$F$32)+$J$51+$J$60</f>
        <v>0</v>
      </c>
      <c r="J166" s="21">
        <f t="shared" si="14"/>
        <v>0</v>
      </c>
      <c r="K166" s="21">
        <f t="shared" si="15"/>
        <v>0</v>
      </c>
      <c r="L166" s="21">
        <f t="shared" si="16"/>
        <v>0</v>
      </c>
      <c r="M166" s="21" t="s">
        <v>660</v>
      </c>
      <c r="P166" s="328"/>
      <c r="Q166" s="328"/>
      <c r="AS166" s="5"/>
    </row>
    <row r="167" spans="1:55" ht="12.75" hidden="1" customHeight="1" x14ac:dyDescent="0.15">
      <c r="A167" s="259">
        <v>27</v>
      </c>
      <c r="B167" s="51" t="s">
        <v>583</v>
      </c>
      <c r="C167" s="21" t="s">
        <v>613</v>
      </c>
      <c r="D167" s="104">
        <f>IF(ISERROR(HLOOKUP(J167,$Q$48:$Z$49,2)),0,HLOOKUP(J167,$Q$48:$Z$49,2))</f>
        <v>0</v>
      </c>
      <c r="E167" s="104">
        <f>IF(ISERROR(HLOOKUP(K167,$Q$48:$Z$49,2)),0,HLOOKUP(K167,$Q$48:$Z$49,2))</f>
        <v>0</v>
      </c>
      <c r="F167" s="104">
        <f>IF(ISERROR(HLOOKUP(L167,$Q$48:$Z$49,2)),0,HLOOKUP(L167,$Q$48:$Z$49,2))</f>
        <v>0</v>
      </c>
      <c r="G167" s="396">
        <f t="shared" ref="G167:G174" si="17">SUM($F$30:$F$32)</f>
        <v>0</v>
      </c>
      <c r="H167" s="103">
        <f t="shared" ref="H167:H174" si="18">SUM($F$30:$F$32)+$J$51</f>
        <v>0</v>
      </c>
      <c r="I167" s="103">
        <f t="shared" ref="I167:I174" si="19">SUM($F$30:$F$32)+$J$51+$J$60</f>
        <v>0</v>
      </c>
      <c r="J167" s="21">
        <f t="shared" si="14"/>
        <v>0</v>
      </c>
      <c r="K167" s="21">
        <f t="shared" si="15"/>
        <v>0</v>
      </c>
      <c r="L167" s="21">
        <f t="shared" si="16"/>
        <v>0</v>
      </c>
      <c r="M167" s="21" t="s">
        <v>660</v>
      </c>
      <c r="P167" s="328"/>
      <c r="Q167" s="328"/>
      <c r="AS167" s="5"/>
    </row>
    <row r="168" spans="1:55" ht="12.75" hidden="1" customHeight="1" x14ac:dyDescent="0.15">
      <c r="A168" s="259">
        <v>28</v>
      </c>
      <c r="B168" s="51" t="s">
        <v>584</v>
      </c>
      <c r="C168" s="21" t="s">
        <v>547</v>
      </c>
      <c r="D168" s="104">
        <f>IF(ISERROR(HLOOKUP(J168,$Q$73:$W$74,2)),0,HLOOKUP(J168,$Q$73:$W$74,2))</f>
        <v>0</v>
      </c>
      <c r="E168" s="104">
        <f>IF(ISERROR(HLOOKUP(K168,$Q$73:$W$74,2)),0,HLOOKUP(K168,$Q$73:$W$74,2))</f>
        <v>0</v>
      </c>
      <c r="F168" s="104">
        <f>IF(ISERROR(HLOOKUP(L168,$Q$73:$W$74,2)),0,HLOOKUP(L168,$Q$73:$W$74,2))</f>
        <v>0</v>
      </c>
      <c r="G168" s="396">
        <f t="shared" si="17"/>
        <v>0</v>
      </c>
      <c r="H168" s="103">
        <f t="shared" si="18"/>
        <v>0</v>
      </c>
      <c r="I168" s="103">
        <f t="shared" si="19"/>
        <v>0</v>
      </c>
      <c r="J168" s="21">
        <f t="shared" si="14"/>
        <v>0</v>
      </c>
      <c r="K168" s="21">
        <f t="shared" si="15"/>
        <v>0</v>
      </c>
      <c r="L168" s="21">
        <f t="shared" si="16"/>
        <v>0</v>
      </c>
      <c r="M168" s="21" t="s">
        <v>660</v>
      </c>
      <c r="P168" s="328"/>
      <c r="Q168" s="328"/>
      <c r="AS168" s="5"/>
    </row>
    <row r="169" spans="1:55" ht="12.75" hidden="1" customHeight="1" x14ac:dyDescent="0.15">
      <c r="A169" s="259">
        <v>29</v>
      </c>
      <c r="B169" s="51" t="s">
        <v>585</v>
      </c>
      <c r="C169" s="21" t="s">
        <v>613</v>
      </c>
      <c r="D169" s="104">
        <f>IF(ISERROR(HLOOKUP(J169,$Q$48:$V$49,2)),0,HLOOKUP(J169,$Q$48:$V$49,2))</f>
        <v>0</v>
      </c>
      <c r="E169" s="104">
        <f>IF(ISERROR(HLOOKUP(K169,$Q$48:$V$49,2)),0,HLOOKUP(K169,$Q$48:$V$49,2))</f>
        <v>0</v>
      </c>
      <c r="F169" s="104">
        <f>IF(ISERROR(HLOOKUP(L169,$Q$48:$V$49,2)),0,HLOOKUP(L169,$Q$48:$V$49,2))</f>
        <v>0</v>
      </c>
      <c r="G169" s="396">
        <f t="shared" si="17"/>
        <v>0</v>
      </c>
      <c r="H169" s="103">
        <f t="shared" si="18"/>
        <v>0</v>
      </c>
      <c r="I169" s="103">
        <f t="shared" si="19"/>
        <v>0</v>
      </c>
      <c r="J169" s="21">
        <f t="shared" si="14"/>
        <v>0</v>
      </c>
      <c r="K169" s="21">
        <f t="shared" si="15"/>
        <v>0</v>
      </c>
      <c r="L169" s="21">
        <f t="shared" si="16"/>
        <v>0</v>
      </c>
      <c r="M169" s="21" t="s">
        <v>660</v>
      </c>
      <c r="P169" s="328"/>
      <c r="Q169" s="328"/>
      <c r="AS169" s="5"/>
    </row>
    <row r="170" spans="1:55" ht="13.5" hidden="1" customHeight="1" x14ac:dyDescent="0.15">
      <c r="A170" s="259">
        <v>30</v>
      </c>
      <c r="B170" s="51" t="s">
        <v>586</v>
      </c>
      <c r="C170" s="21" t="s">
        <v>613</v>
      </c>
      <c r="D170" s="104">
        <f>IF(ISERROR(HLOOKUP(J170,$Q$48:$AA$49,2)),0,HLOOKUP(J170,$Q$48:$AA$49,2))</f>
        <v>0</v>
      </c>
      <c r="E170" s="104">
        <f>IF(ISERROR(HLOOKUP(K170,$Q$48:$AA$49,2)),0,HLOOKUP(K170,$Q$48:$AA$49,2))</f>
        <v>0</v>
      </c>
      <c r="F170" s="104">
        <f>IF(ISERROR(HLOOKUP(L170,$Q$48:$AA$49,2)),0,HLOOKUP(L170,$Q$48:$AA$49,2))</f>
        <v>0</v>
      </c>
      <c r="G170" s="396">
        <f t="shared" si="17"/>
        <v>0</v>
      </c>
      <c r="H170" s="103">
        <f t="shared" si="18"/>
        <v>0</v>
      </c>
      <c r="I170" s="103">
        <f t="shared" si="19"/>
        <v>0</v>
      </c>
      <c r="J170" s="21">
        <f t="shared" si="14"/>
        <v>0</v>
      </c>
      <c r="K170" s="21">
        <f t="shared" si="15"/>
        <v>0</v>
      </c>
      <c r="L170" s="21">
        <f t="shared" si="16"/>
        <v>0</v>
      </c>
      <c r="M170" s="21" t="s">
        <v>660</v>
      </c>
      <c r="P170" s="328"/>
      <c r="Q170" s="328"/>
      <c r="AS170" s="5"/>
    </row>
    <row r="171" spans="1:55" ht="12.75" hidden="1" customHeight="1" x14ac:dyDescent="0.15">
      <c r="A171" s="259" t="s">
        <v>587</v>
      </c>
      <c r="B171" s="51" t="s">
        <v>685</v>
      </c>
      <c r="C171" s="21" t="s">
        <v>547</v>
      </c>
      <c r="D171" s="104">
        <f>IF(ISERROR(HLOOKUP(J171,$Q$73:$X$74,2)),0,HLOOKUP(J171,$Q$73:$X$74,2))</f>
        <v>0</v>
      </c>
      <c r="E171" s="104">
        <f>IF(ISERROR(HLOOKUP(K171,$Q$73:$X$74,2)),0,HLOOKUP(K171,$Q$73:$X$74,2))</f>
        <v>0</v>
      </c>
      <c r="F171" s="104">
        <f>IF(ISERROR(HLOOKUP(L171,$Q$73:$X$74,2)),0,HLOOKUP(L171,$Q$73:$X$74,2))</f>
        <v>0</v>
      </c>
      <c r="G171" s="396">
        <f t="shared" si="17"/>
        <v>0</v>
      </c>
      <c r="H171" s="103">
        <f t="shared" si="18"/>
        <v>0</v>
      </c>
      <c r="I171" s="103">
        <f t="shared" si="19"/>
        <v>0</v>
      </c>
      <c r="J171" s="21">
        <f t="shared" si="14"/>
        <v>0</v>
      </c>
      <c r="K171" s="21">
        <f t="shared" si="15"/>
        <v>0</v>
      </c>
      <c r="L171" s="21">
        <f t="shared" si="16"/>
        <v>0</v>
      </c>
      <c r="M171" s="21" t="s">
        <v>660</v>
      </c>
      <c r="P171" s="328"/>
      <c r="Q171" s="328"/>
      <c r="AS171" s="116"/>
    </row>
    <row r="172" spans="1:55" ht="12.75" hidden="1" customHeight="1" x14ac:dyDescent="0.15">
      <c r="A172" s="259">
        <v>31</v>
      </c>
      <c r="B172" s="51" t="s">
        <v>588</v>
      </c>
      <c r="C172" s="21" t="s">
        <v>613</v>
      </c>
      <c r="D172" s="104">
        <f>IF(ISERROR(HLOOKUP(J172,$Q$42:$AG$43,2)),0,HLOOKUP(J172,$Q$42:$AG$43,2))</f>
        <v>0</v>
      </c>
      <c r="E172" s="104">
        <f>IF(ISERROR(HLOOKUP(K172,$Q$42:$AG$43,2)),0,HLOOKUP(K172,$Q$42:$AG$43,2))</f>
        <v>0</v>
      </c>
      <c r="F172" s="104">
        <f>IF(ISERROR(HLOOKUP(L172,$Q$42:$AG$43,2)),0,HLOOKUP(L172,$Q$42:$AG$43,2))</f>
        <v>0</v>
      </c>
      <c r="G172" s="396">
        <f t="shared" si="17"/>
        <v>0</v>
      </c>
      <c r="H172" s="103">
        <f t="shared" si="18"/>
        <v>0</v>
      </c>
      <c r="I172" s="103">
        <f t="shared" si="19"/>
        <v>0</v>
      </c>
      <c r="J172" s="21">
        <f t="shared" si="14"/>
        <v>0</v>
      </c>
      <c r="K172" s="21">
        <f t="shared" si="15"/>
        <v>0</v>
      </c>
      <c r="L172" s="21">
        <f t="shared" si="16"/>
        <v>0</v>
      </c>
      <c r="M172" s="21" t="s">
        <v>660</v>
      </c>
      <c r="P172" s="328"/>
      <c r="Q172" s="328"/>
      <c r="AS172" s="69"/>
    </row>
    <row r="173" spans="1:55" ht="12.75" hidden="1" customHeight="1" x14ac:dyDescent="0.15">
      <c r="A173" s="259">
        <v>32</v>
      </c>
      <c r="B173" s="338" t="s">
        <v>617</v>
      </c>
      <c r="C173" s="21" t="s">
        <v>613</v>
      </c>
      <c r="D173" s="104">
        <f>IF(ISERROR(HLOOKUP(J173,$Q$42:$AA$43,2)),0,HLOOKUP(J173,$Q$42:$AA$43,2))</f>
        <v>0</v>
      </c>
      <c r="E173" s="104">
        <f>IF(ISERROR(HLOOKUP(K173,$Q$42:$AA$43,2)),0,HLOOKUP(K173,$Q$42:$AA$43,2))</f>
        <v>0</v>
      </c>
      <c r="F173" s="104">
        <f>IF(ISERROR(HLOOKUP(L173,$Q$42:$AA$43,2)),0,HLOOKUP(L173,$Q$42:$AA$43,2))</f>
        <v>0</v>
      </c>
      <c r="G173" s="396">
        <f t="shared" si="17"/>
        <v>0</v>
      </c>
      <c r="H173" s="103">
        <f t="shared" si="18"/>
        <v>0</v>
      </c>
      <c r="I173" s="103">
        <f t="shared" si="19"/>
        <v>0</v>
      </c>
      <c r="J173" s="21">
        <f t="shared" si="14"/>
        <v>0</v>
      </c>
      <c r="K173" s="21">
        <f t="shared" si="15"/>
        <v>0</v>
      </c>
      <c r="L173" s="21">
        <f t="shared" si="16"/>
        <v>0</v>
      </c>
      <c r="M173" s="78" t="s">
        <v>661</v>
      </c>
      <c r="P173" s="44"/>
      <c r="Q173" s="44"/>
      <c r="AS173" s="69"/>
    </row>
    <row r="174" spans="1:55" ht="12.75" hidden="1" customHeight="1" x14ac:dyDescent="0.15">
      <c r="A174" s="259">
        <v>33</v>
      </c>
      <c r="B174" s="338" t="s">
        <v>618</v>
      </c>
      <c r="C174" s="21" t="s">
        <v>613</v>
      </c>
      <c r="D174" s="104">
        <f>IF(ISERROR(HLOOKUP(J174,$Q$39:$AA$40,2)),0,HLOOKUP(J174,$Q$39:$AA$40,2))</f>
        <v>0</v>
      </c>
      <c r="E174" s="104">
        <f>IF(ISERROR(HLOOKUP(K174,$Q$39:$AA$40,2)),0,HLOOKUP(K174,$Q$39:$AA$40,2))</f>
        <v>0</v>
      </c>
      <c r="F174" s="104">
        <f>IF(ISERROR(HLOOKUP(L174,$Q$39:$AA$40,2)),0,HLOOKUP(L174,$Q$39:$AA$40,2))</f>
        <v>0</v>
      </c>
      <c r="G174" s="396">
        <f t="shared" si="17"/>
        <v>0</v>
      </c>
      <c r="H174" s="103">
        <f t="shared" si="18"/>
        <v>0</v>
      </c>
      <c r="I174" s="103">
        <f t="shared" si="19"/>
        <v>0</v>
      </c>
      <c r="J174" s="21">
        <f t="shared" si="14"/>
        <v>0</v>
      </c>
      <c r="K174" s="21">
        <f t="shared" si="15"/>
        <v>0</v>
      </c>
      <c r="L174" s="21">
        <f t="shared" si="16"/>
        <v>0</v>
      </c>
      <c r="M174" s="78" t="s">
        <v>661</v>
      </c>
      <c r="P174" s="44"/>
      <c r="Q174" s="44"/>
      <c r="AS174" s="69"/>
    </row>
    <row r="175" spans="1:55" ht="12.75" hidden="1" customHeight="1" x14ac:dyDescent="0.15">
      <c r="A175" s="259">
        <v>34</v>
      </c>
      <c r="B175" s="338" t="s">
        <v>619</v>
      </c>
      <c r="C175" s="21" t="s">
        <v>527</v>
      </c>
      <c r="D175" s="104">
        <f>IF(ISERROR(HLOOKUP(J175,$Q$26:$AY$27,2)),0,HLOOKUP(J175,$Q$26:$AY$27,2))</f>
        <v>0</v>
      </c>
      <c r="E175" s="104">
        <f>IF(ISERROR(HLOOKUP(K175,$Q$26:$AY$27,2)),0,HLOOKUP(K175,$Q$26:$AY$27,2))</f>
        <v>0</v>
      </c>
      <c r="F175" s="104">
        <f>IF(ISERROR(HLOOKUP(L175,$Q$26:$AY$27,2)),0,HLOOKUP(L175,$Q$26:$AY$27,2))</f>
        <v>0</v>
      </c>
      <c r="G175" s="396">
        <f>SUM($F$27:$F$33)</f>
        <v>0</v>
      </c>
      <c r="H175" s="103">
        <f>SUM($F$27:$F$33)+$J$51</f>
        <v>0</v>
      </c>
      <c r="I175" s="103">
        <f>SUM($F$27:$F$33)+$J$51+$J$60</f>
        <v>0</v>
      </c>
      <c r="J175" s="21">
        <f t="shared" si="14"/>
        <v>0</v>
      </c>
      <c r="K175" s="21">
        <f t="shared" si="15"/>
        <v>0</v>
      </c>
      <c r="L175" s="21">
        <f t="shared" si="16"/>
        <v>0</v>
      </c>
      <c r="M175" s="78" t="s">
        <v>661</v>
      </c>
      <c r="P175" s="44"/>
      <c r="Q175" s="44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</row>
    <row r="176" spans="1:55" ht="12.75" hidden="1" customHeight="1" x14ac:dyDescent="0.15">
      <c r="A176" s="259">
        <v>35</v>
      </c>
      <c r="B176" s="338" t="s">
        <v>620</v>
      </c>
      <c r="C176" s="21" t="s">
        <v>613</v>
      </c>
      <c r="D176" s="104">
        <f>IF(ISERROR(HLOOKUP(J176,$Q$39:$AB$40,2)),0,HLOOKUP(J176,$Q$39:$AB$40,2))</f>
        <v>0</v>
      </c>
      <c r="E176" s="104">
        <f>IF(ISERROR(HLOOKUP(K176,$Q$39:$AB$40,2)),0,HLOOKUP(K176,$Q$39:$AB$40,2))</f>
        <v>0</v>
      </c>
      <c r="F176" s="104">
        <f>IF(ISERROR(HLOOKUP(L176,$Q$39:$AB$40,2)),0,HLOOKUP(L176,$Q$39:$AB$40,2))</f>
        <v>0</v>
      </c>
      <c r="G176" s="396">
        <f>SUM($F$27:$F$32)</f>
        <v>0</v>
      </c>
      <c r="H176" s="103">
        <f>SUM($F$27:$F$32)+$J$51</f>
        <v>0</v>
      </c>
      <c r="I176" s="103">
        <f>SUM($F$27:$F$32)+$J$51+$J$60</f>
        <v>0</v>
      </c>
      <c r="J176" s="21">
        <f t="shared" si="14"/>
        <v>0</v>
      </c>
      <c r="K176" s="21">
        <f t="shared" si="15"/>
        <v>0</v>
      </c>
      <c r="L176" s="21">
        <f t="shared" si="16"/>
        <v>0</v>
      </c>
      <c r="M176" s="78" t="s">
        <v>661</v>
      </c>
      <c r="P176" s="44"/>
      <c r="Q176" s="44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</row>
    <row r="177" spans="1:45" ht="12.75" hidden="1" customHeight="1" x14ac:dyDescent="0.15">
      <c r="A177" s="259">
        <v>36</v>
      </c>
      <c r="B177" s="339" t="s">
        <v>621</v>
      </c>
      <c r="C177" s="21" t="s">
        <v>613</v>
      </c>
      <c r="D177" s="104">
        <f>IF(ISERROR(HLOOKUP(J177,$Q$39:$AA$40,2)),0,HLOOKUP(J177,$Q$39:$AA$40,2))</f>
        <v>0</v>
      </c>
      <c r="E177" s="104">
        <f>IF(ISERROR(HLOOKUP(K177,$Q$39:$AA$40,2)),0,HLOOKUP(K177,$Q$39:$AA$40,2))</f>
        <v>0</v>
      </c>
      <c r="F177" s="104">
        <f>IF(ISERROR(HLOOKUP(L177,$Q$39:$AA$40,2)),0,HLOOKUP(L177,$Q$39:$AA$40,2))</f>
        <v>0</v>
      </c>
      <c r="G177" s="396">
        <f>SUM($F$30:$F$32)</f>
        <v>0</v>
      </c>
      <c r="H177" s="103">
        <f>SUM($F$30:$F$32)+$J$51</f>
        <v>0</v>
      </c>
      <c r="I177" s="103">
        <f>SUM($F$30:$F$32)+$J$51+$J$60</f>
        <v>0</v>
      </c>
      <c r="J177" s="21">
        <f t="shared" si="14"/>
        <v>0</v>
      </c>
      <c r="K177" s="21">
        <f t="shared" si="15"/>
        <v>0</v>
      </c>
      <c r="L177" s="21">
        <f t="shared" si="16"/>
        <v>0</v>
      </c>
      <c r="M177" s="78" t="s">
        <v>661</v>
      </c>
      <c r="P177" s="44"/>
      <c r="Q177" s="44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</row>
    <row r="178" spans="1:45" ht="12.75" hidden="1" customHeight="1" x14ac:dyDescent="0.15">
      <c r="A178" s="259">
        <v>37</v>
      </c>
      <c r="B178" s="340" t="s">
        <v>622</v>
      </c>
      <c r="C178" s="21" t="s">
        <v>547</v>
      </c>
      <c r="D178" s="104">
        <f t="shared" ref="D178:F179" si="20">IF(ISERROR(HLOOKUP(J178,$Q$73:$AB$74,2)),0,HLOOKUP(J178,$Q$73:$AB$74,2))</f>
        <v>0</v>
      </c>
      <c r="E178" s="104">
        <f t="shared" si="20"/>
        <v>0</v>
      </c>
      <c r="F178" s="104">
        <f t="shared" si="20"/>
        <v>0</v>
      </c>
      <c r="G178" s="396">
        <f>SUM($F$27:$F$32)</f>
        <v>0</v>
      </c>
      <c r="H178" s="103">
        <f>SUM($F$27:$F$32)+$J$51</f>
        <v>0</v>
      </c>
      <c r="I178" s="103">
        <f>SUM($F$27:$F$32)+$J$51+$J$60</f>
        <v>0</v>
      </c>
      <c r="J178" s="21">
        <f t="shared" si="14"/>
        <v>0</v>
      </c>
      <c r="K178" s="21">
        <f t="shared" si="15"/>
        <v>0</v>
      </c>
      <c r="L178" s="21">
        <f t="shared" si="16"/>
        <v>0</v>
      </c>
      <c r="M178" s="78" t="s">
        <v>661</v>
      </c>
      <c r="P178" s="44"/>
      <c r="Q178" s="44"/>
      <c r="AH178" s="69"/>
      <c r="AI178" s="116"/>
      <c r="AJ178" s="116"/>
      <c r="AK178" s="116"/>
      <c r="AL178" s="69"/>
      <c r="AM178" s="69"/>
      <c r="AN178" s="69"/>
      <c r="AO178" s="69"/>
      <c r="AP178" s="69"/>
      <c r="AQ178" s="69"/>
      <c r="AR178" s="69"/>
      <c r="AS178" s="69"/>
    </row>
    <row r="179" spans="1:45" ht="12.75" hidden="1" customHeight="1" x14ac:dyDescent="0.15">
      <c r="A179" s="259">
        <v>38</v>
      </c>
      <c r="B179" s="340" t="s">
        <v>623</v>
      </c>
      <c r="C179" s="21" t="s">
        <v>547</v>
      </c>
      <c r="D179" s="104">
        <f t="shared" si="20"/>
        <v>0</v>
      </c>
      <c r="E179" s="104">
        <f t="shared" si="20"/>
        <v>0</v>
      </c>
      <c r="F179" s="104">
        <f t="shared" si="20"/>
        <v>0</v>
      </c>
      <c r="G179" s="396">
        <f>SUM($F$30:$F$32)</f>
        <v>0</v>
      </c>
      <c r="H179" s="103">
        <f>SUM($F$30:$F$32)+$J$51</f>
        <v>0</v>
      </c>
      <c r="I179" s="103">
        <f>SUM($F$30:$F$32)+$J$51+$J$60</f>
        <v>0</v>
      </c>
      <c r="J179" s="21">
        <f t="shared" si="14"/>
        <v>0</v>
      </c>
      <c r="K179" s="21">
        <f t="shared" si="15"/>
        <v>0</v>
      </c>
      <c r="L179" s="21">
        <f t="shared" si="16"/>
        <v>0</v>
      </c>
      <c r="M179" s="78" t="s">
        <v>661</v>
      </c>
      <c r="P179" s="44"/>
      <c r="Q179" s="44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</row>
    <row r="180" spans="1:45" ht="12.75" hidden="1" customHeight="1" thickBot="1" x14ac:dyDescent="0.2">
      <c r="A180" s="259">
        <v>39</v>
      </c>
      <c r="B180" s="340" t="s">
        <v>624</v>
      </c>
      <c r="C180" s="21" t="s">
        <v>613</v>
      </c>
      <c r="D180" s="104">
        <f>IF(ISERROR(HLOOKUP(J180,$Q$48:$Y$49,2)),0,HLOOKUP(J180,$Q$48:$Y$49,2))</f>
        <v>0</v>
      </c>
      <c r="E180" s="104">
        <f>IF(ISERROR(HLOOKUP(K180,$Q$48:$Y$49,2)),0,HLOOKUP(K180,$Q$48:$Y$49,2))</f>
        <v>0</v>
      </c>
      <c r="F180" s="104">
        <f>IF(ISERROR(HLOOKUP(L180,$Q$48:$Y$49,2)),0,HLOOKUP(L180,$Q$48:$Y$49,2))</f>
        <v>0</v>
      </c>
      <c r="G180" s="396">
        <f>SUM($F$30:$F$32)</f>
        <v>0</v>
      </c>
      <c r="H180" s="103">
        <f>SUM($F$30:$F$32)+$J$51</f>
        <v>0</v>
      </c>
      <c r="I180" s="103">
        <f>SUM($F$30:$F$32)+$J$51+$J$60</f>
        <v>0</v>
      </c>
      <c r="J180" s="21">
        <f t="shared" si="14"/>
        <v>0</v>
      </c>
      <c r="K180" s="21">
        <f t="shared" si="15"/>
        <v>0</v>
      </c>
      <c r="L180" s="21">
        <f t="shared" si="16"/>
        <v>0</v>
      </c>
      <c r="M180" s="78" t="s">
        <v>661</v>
      </c>
      <c r="P180" s="44"/>
      <c r="Q180" s="44"/>
    </row>
    <row r="181" spans="1:45" ht="12.75" hidden="1" customHeight="1" x14ac:dyDescent="0.15">
      <c r="A181" s="259">
        <v>40</v>
      </c>
      <c r="B181" s="340" t="s">
        <v>625</v>
      </c>
      <c r="C181" s="21" t="s">
        <v>613</v>
      </c>
      <c r="D181" s="104">
        <f>IF(ISERROR(HLOOKUP(J181,$Q$48:$AA$49,2)),0,HLOOKUP(J181,$Q$48:$AA$49,2))</f>
        <v>0</v>
      </c>
      <c r="E181" s="104">
        <f>IF(ISERROR(HLOOKUP(K181,$Q$48:$AA$49,2)),0,HLOOKUP(K181,$Q$48:$AA$49,2))</f>
        <v>0</v>
      </c>
      <c r="F181" s="104">
        <f>IF(ISERROR(HLOOKUP(L181,$Q$48:$AA$49,2)),0,HLOOKUP(L181,$Q$48:$AA$49,2))</f>
        <v>0</v>
      </c>
      <c r="G181" s="396">
        <f>SUM($F$27:$F$32)</f>
        <v>0</v>
      </c>
      <c r="H181" s="103">
        <f>SUM($F$27:$F$32)+$J$51</f>
        <v>0</v>
      </c>
      <c r="I181" s="103">
        <f>SUM($F$27:$F$32)+$J$51+$J$60</f>
        <v>0</v>
      </c>
      <c r="J181" s="21">
        <f t="shared" si="14"/>
        <v>0</v>
      </c>
      <c r="K181" s="21">
        <f t="shared" si="15"/>
        <v>0</v>
      </c>
      <c r="L181" s="21">
        <f t="shared" si="16"/>
        <v>0</v>
      </c>
      <c r="M181" s="78" t="s">
        <v>661</v>
      </c>
      <c r="N181" s="341" t="s">
        <v>613</v>
      </c>
      <c r="O181" s="256">
        <f>IF(ISERROR(HLOOKUP(J182,$Q$63:$AA$64,2)),0,HLOOKUP(J182,$Q$63:$AA$64,2))</f>
        <v>0</v>
      </c>
      <c r="P181" s="144">
        <f>IF(ISERROR(HLOOKUP(K182,$Q$63:$AA$64,2)),0,HLOOKUP(K182,$Q$63:$AA$64,2))</f>
        <v>0</v>
      </c>
      <c r="Q181" s="144">
        <f>IF(ISERROR(HLOOKUP(L182,$Q$63:$AA$64,2)),0,HLOOKUP(L182,$Q$63:$AA$64,2))</f>
        <v>0</v>
      </c>
      <c r="R181" s="342" t="s">
        <v>695</v>
      </c>
    </row>
    <row r="182" spans="1:45" ht="12.75" hidden="1" customHeight="1" thickBot="1" x14ac:dyDescent="0.2">
      <c r="A182" s="259">
        <v>41</v>
      </c>
      <c r="B182" s="340" t="s">
        <v>626</v>
      </c>
      <c r="C182" s="21" t="str">
        <f>IF($N$8&gt;=$R$182,$P$20,$P$19)</f>
        <v>TRIÊNIO</v>
      </c>
      <c r="D182" s="343">
        <f>IF($C$182=$N$181,$O$181,$O$182)</f>
        <v>0</v>
      </c>
      <c r="E182" s="343">
        <f>IF($C$182=$N$181,$P$181,$P$182)</f>
        <v>0</v>
      </c>
      <c r="F182" s="343">
        <f>IF($C$182=$N$181,$Q$181,$Q$182)</f>
        <v>0</v>
      </c>
      <c r="G182" s="396">
        <f>SUM($F$30:$F$32)</f>
        <v>0</v>
      </c>
      <c r="H182" s="103">
        <f>SUM($F$30:$F$32)+$J$51</f>
        <v>0</v>
      </c>
      <c r="I182" s="103">
        <f>SUM($F$30:$F$32)+$J$51+$J$60</f>
        <v>0</v>
      </c>
      <c r="J182" s="21">
        <f t="shared" si="14"/>
        <v>0</v>
      </c>
      <c r="K182" s="21">
        <f t="shared" si="15"/>
        <v>0</v>
      </c>
      <c r="L182" s="21">
        <f t="shared" si="16"/>
        <v>0</v>
      </c>
      <c r="M182" s="78" t="s">
        <v>661</v>
      </c>
      <c r="N182" s="344" t="s">
        <v>547</v>
      </c>
      <c r="O182" s="257">
        <f>IF(ISERROR(HLOOKUP(J182,$Q$73:$W$74,2)),0,HLOOKUP(J182,$Q$73:$W$74,2))</f>
        <v>0</v>
      </c>
      <c r="P182" s="145">
        <f>IF(ISERROR(HLOOKUP(K182,$Q$73:$W$74,2)),0,HLOOKUP(K182,$Q$73:$W$74,2))</f>
        <v>0</v>
      </c>
      <c r="Q182" s="145">
        <f>IF(ISERROR(HLOOKUP(L182,$Q$73:$W$74,2)),0,HLOOKUP(L182,$Q$73:$W$74,2))</f>
        <v>0</v>
      </c>
      <c r="R182" s="398">
        <v>36539</v>
      </c>
      <c r="S182" s="103"/>
      <c r="T182" s="103"/>
    </row>
    <row r="183" spans="1:45" ht="12.75" hidden="1" customHeight="1" x14ac:dyDescent="0.15">
      <c r="A183" s="259">
        <v>42</v>
      </c>
      <c r="B183" s="340" t="s">
        <v>627</v>
      </c>
      <c r="C183" s="21"/>
      <c r="D183" s="54"/>
      <c r="E183" s="54"/>
      <c r="F183" s="54"/>
      <c r="G183" s="396">
        <f>SUM($F$27:$F$32)</f>
        <v>0</v>
      </c>
      <c r="H183" s="103">
        <f>SUM($F$27:$F$32)+$J$51</f>
        <v>0</v>
      </c>
      <c r="I183" s="103">
        <f>SUM($F$27:$F$32)+$J$51+$J$60</f>
        <v>0</v>
      </c>
      <c r="J183" s="21">
        <f t="shared" si="14"/>
        <v>0</v>
      </c>
      <c r="K183" s="21">
        <f t="shared" si="15"/>
        <v>0</v>
      </c>
      <c r="L183" s="21">
        <f t="shared" si="16"/>
        <v>0</v>
      </c>
      <c r="M183" s="78" t="s">
        <v>661</v>
      </c>
      <c r="P183" s="44"/>
      <c r="Q183" s="44"/>
    </row>
    <row r="184" spans="1:45" ht="12.75" hidden="1" customHeight="1" x14ac:dyDescent="0.15">
      <c r="A184" s="259">
        <v>43</v>
      </c>
      <c r="B184" s="340" t="s">
        <v>628</v>
      </c>
      <c r="C184" s="21" t="s">
        <v>527</v>
      </c>
      <c r="D184" s="104">
        <f>IF(ISERROR(HLOOKUP(J184,$Q$26:$AY$27,2)),0,HLOOKUP(J184,$Q$26:$AY$27,2))</f>
        <v>0</v>
      </c>
      <c r="E184" s="104">
        <f>IF(ISERROR(HLOOKUP(K184,$Q$26:$AY$27,2)),0,HLOOKUP(K184,$Q$26:$AY$27,2))</f>
        <v>0</v>
      </c>
      <c r="F184" s="104">
        <f>IF(ISERROR(HLOOKUP(L184,$Q$26:$AY$27,2)),0,HLOOKUP(L184,$Q$26:$AY$27,2))</f>
        <v>0</v>
      </c>
      <c r="G184" s="396">
        <f>SUM($F$27:$F$33)</f>
        <v>0</v>
      </c>
      <c r="H184" s="103">
        <f>SUM($F$27:$F$33)+$J$51</f>
        <v>0</v>
      </c>
      <c r="I184" s="103">
        <f>SUM($F$27:$F$33)+$J$51+$J$60</f>
        <v>0</v>
      </c>
      <c r="J184" s="21">
        <f t="shared" si="14"/>
        <v>0</v>
      </c>
      <c r="K184" s="21">
        <f t="shared" si="15"/>
        <v>0</v>
      </c>
      <c r="L184" s="21">
        <f t="shared" si="16"/>
        <v>0</v>
      </c>
      <c r="M184" s="78" t="s">
        <v>661</v>
      </c>
      <c r="P184" s="44"/>
      <c r="Q184" s="44"/>
    </row>
    <row r="185" spans="1:45" ht="12.75" hidden="1" customHeight="1" x14ac:dyDescent="0.15">
      <c r="A185" s="259">
        <v>44</v>
      </c>
      <c r="B185" s="340" t="s">
        <v>629</v>
      </c>
      <c r="C185" s="21" t="s">
        <v>547</v>
      </c>
      <c r="D185" s="104">
        <f t="shared" ref="D185:F186" si="21">IF(ISERROR(HLOOKUP(J185,$Q$73:$W$74,2)),0,HLOOKUP(J185,$Q$73:$W$74,2))</f>
        <v>0</v>
      </c>
      <c r="E185" s="104">
        <f t="shared" si="21"/>
        <v>0</v>
      </c>
      <c r="F185" s="104">
        <f t="shared" si="21"/>
        <v>0</v>
      </c>
      <c r="G185" s="396">
        <f>SUM($F$27:$F$32)</f>
        <v>0</v>
      </c>
      <c r="H185" s="103">
        <f>SUM($F$27:$F$32)+$J$51</f>
        <v>0</v>
      </c>
      <c r="I185" s="103">
        <f>SUM($F$27:$F$32)+$J$51+$J$60</f>
        <v>0</v>
      </c>
      <c r="J185" s="21">
        <f t="shared" si="14"/>
        <v>0</v>
      </c>
      <c r="K185" s="21">
        <f t="shared" si="15"/>
        <v>0</v>
      </c>
      <c r="L185" s="21">
        <f t="shared" si="16"/>
        <v>0</v>
      </c>
      <c r="M185" s="78" t="s">
        <v>661</v>
      </c>
      <c r="P185" s="44"/>
      <c r="Q185" s="44"/>
    </row>
    <row r="186" spans="1:45" ht="12.75" hidden="1" customHeight="1" x14ac:dyDescent="0.15">
      <c r="A186" s="259">
        <v>45</v>
      </c>
      <c r="B186" s="340" t="s">
        <v>630</v>
      </c>
      <c r="C186" s="21" t="s">
        <v>547</v>
      </c>
      <c r="D186" s="104">
        <f t="shared" si="21"/>
        <v>0</v>
      </c>
      <c r="E186" s="104">
        <f t="shared" si="21"/>
        <v>0</v>
      </c>
      <c r="F186" s="104">
        <f t="shared" si="21"/>
        <v>0</v>
      </c>
      <c r="G186" s="396">
        <f>SUM($F$27:$F$32)</f>
        <v>0</v>
      </c>
      <c r="H186" s="103">
        <f>SUM($F$27:$F$32)+$J$51</f>
        <v>0</v>
      </c>
      <c r="I186" s="103">
        <f>SUM($F$27:$F$32)+$J$51+$J$60</f>
        <v>0</v>
      </c>
      <c r="J186" s="21">
        <f t="shared" si="14"/>
        <v>0</v>
      </c>
      <c r="K186" s="21">
        <f t="shared" si="15"/>
        <v>0</v>
      </c>
      <c r="L186" s="21">
        <f t="shared" si="16"/>
        <v>0</v>
      </c>
      <c r="M186" s="78" t="s">
        <v>661</v>
      </c>
      <c r="P186" s="44"/>
      <c r="Q186" s="44"/>
    </row>
    <row r="187" spans="1:45" ht="12.75" hidden="1" customHeight="1" x14ac:dyDescent="0.15">
      <c r="A187" s="259">
        <v>46</v>
      </c>
      <c r="B187" s="340" t="s">
        <v>631</v>
      </c>
      <c r="C187" s="21" t="s">
        <v>527</v>
      </c>
      <c r="D187" s="104">
        <f>IF(ISERROR(HLOOKUP(J187,$Q$26:$AY$27,2)),0,HLOOKUP(J187,$Q$26:$AY$27,2))</f>
        <v>0</v>
      </c>
      <c r="E187" s="104">
        <f>IF(ISERROR(HLOOKUP(K187,$Q$26:$AY$27,2)),0,HLOOKUP(K187,$Q$26:$AY$27,2))</f>
        <v>0</v>
      </c>
      <c r="F187" s="104">
        <f>IF(ISERROR(HLOOKUP(L187,$Q$26:$AY$27,2)),0,HLOOKUP(L187,$Q$26:$AY$27,2))</f>
        <v>0</v>
      </c>
      <c r="G187" s="396">
        <f>SUM($F$27:$F$32)</f>
        <v>0</v>
      </c>
      <c r="H187" s="103">
        <f>SUM($F$27:$F$32)+$J$51</f>
        <v>0</v>
      </c>
      <c r="I187" s="103">
        <f>SUM($F$27:$F$32)+$J$51+$J$60</f>
        <v>0</v>
      </c>
      <c r="J187" s="21">
        <f t="shared" si="14"/>
        <v>0</v>
      </c>
      <c r="K187" s="21">
        <f t="shared" si="15"/>
        <v>0</v>
      </c>
      <c r="L187" s="21">
        <f t="shared" si="16"/>
        <v>0</v>
      </c>
      <c r="M187" s="78" t="s">
        <v>661</v>
      </c>
      <c r="P187" s="44"/>
      <c r="Q187" s="44"/>
    </row>
    <row r="188" spans="1:45" ht="12.75" hidden="1" customHeight="1" x14ac:dyDescent="0.15">
      <c r="A188" s="259">
        <v>47</v>
      </c>
      <c r="B188" s="340" t="s">
        <v>632</v>
      </c>
      <c r="C188" s="21" t="s">
        <v>613</v>
      </c>
      <c r="D188" s="104">
        <f>IF(ISERROR(HLOOKUP(J188,$Q$48:$Z$49,2)),0,HLOOKUP(J188,$Q$48:$Z$49,2))</f>
        <v>0</v>
      </c>
      <c r="E188" s="104">
        <f>IF(ISERROR(HLOOKUP(K188,$Q$48:$Z$49,2)),0,HLOOKUP(K188,$Q$48:$Z$49,2))</f>
        <v>0</v>
      </c>
      <c r="F188" s="104">
        <f>IF(ISERROR(HLOOKUP(L188,$Q$48:$Z$49,2)),0,HLOOKUP(L188,$Q$48:$Z$49,2))</f>
        <v>0</v>
      </c>
      <c r="G188" s="396">
        <f>SUM($F$30:$F$32)</f>
        <v>0</v>
      </c>
      <c r="H188" s="103">
        <f>SUM($F$30:$F$32)+$J$51</f>
        <v>0</v>
      </c>
      <c r="I188" s="103">
        <f>SUM($F$30:$F$32)+$J$51+$J$60</f>
        <v>0</v>
      </c>
      <c r="J188" s="21">
        <f t="shared" si="14"/>
        <v>0</v>
      </c>
      <c r="K188" s="21">
        <f t="shared" si="15"/>
        <v>0</v>
      </c>
      <c r="L188" s="21">
        <f t="shared" si="16"/>
        <v>0</v>
      </c>
      <c r="M188" s="78" t="s">
        <v>661</v>
      </c>
      <c r="P188" s="44"/>
      <c r="Q188" s="44"/>
    </row>
    <row r="189" spans="1:45" ht="12.75" hidden="1" customHeight="1" x14ac:dyDescent="0.15">
      <c r="A189" s="259">
        <v>48</v>
      </c>
      <c r="B189" s="340" t="s">
        <v>633</v>
      </c>
      <c r="C189" s="21" t="s">
        <v>613</v>
      </c>
      <c r="D189" s="104">
        <f>IF(ISERROR(HLOOKUP(J189,$Q$48:$AJ$49,2)),0,HLOOKUP(J189,$Q$48:$AJ$49,2))</f>
        <v>0</v>
      </c>
      <c r="E189" s="104">
        <f>IF(ISERROR(HLOOKUP(K189,$Q$48:$AJ$49,2)),0,HLOOKUP(K189,$Q$48:$AJ$49,2))</f>
        <v>0</v>
      </c>
      <c r="F189" s="104">
        <f>IF(ISERROR(HLOOKUP(L189,$Q$48:$AJ$49,2)),0,HLOOKUP(L189,$Q$48:$AJ$49,2))</f>
        <v>0</v>
      </c>
      <c r="G189" s="396">
        <f>SUM($F$30:$F$33)</f>
        <v>0</v>
      </c>
      <c r="H189" s="103">
        <f>SUM($F$30:$F$33)+$J$51</f>
        <v>0</v>
      </c>
      <c r="I189" s="103">
        <f>SUM($F$30:$F$33)+$J$51+$J$60</f>
        <v>0</v>
      </c>
      <c r="J189" s="21">
        <f t="shared" si="14"/>
        <v>0</v>
      </c>
      <c r="K189" s="21">
        <f t="shared" si="15"/>
        <v>0</v>
      </c>
      <c r="L189" s="21">
        <f t="shared" si="16"/>
        <v>0</v>
      </c>
      <c r="M189" s="78" t="s">
        <v>661</v>
      </c>
      <c r="P189" s="44"/>
      <c r="Q189" s="44"/>
    </row>
    <row r="190" spans="1:45" ht="12.75" hidden="1" customHeight="1" x14ac:dyDescent="0.15">
      <c r="A190" s="259">
        <v>49</v>
      </c>
      <c r="B190" s="340" t="s">
        <v>634</v>
      </c>
      <c r="C190" s="21" t="s">
        <v>613</v>
      </c>
      <c r="D190" s="104">
        <f>IF(ISERROR(HLOOKUP(J190,$Q$48:$Z$49,2)),0,HLOOKUP(J190,$Q$48:$Z$49,2))</f>
        <v>0</v>
      </c>
      <c r="E190" s="104">
        <f>IF(ISERROR(HLOOKUP(K190,$Q$48:$Z$49,2)),0,HLOOKUP(K190,$Q$48:$Z$49,2))</f>
        <v>0</v>
      </c>
      <c r="F190" s="104">
        <f>IF(ISERROR(HLOOKUP(L190,$Q$48:$Z$49,2)),0,HLOOKUP(L190,$Q$48:$Z$49,2))</f>
        <v>0</v>
      </c>
      <c r="G190" s="396">
        <f>SUM($F$30:$F$33)</f>
        <v>0</v>
      </c>
      <c r="H190" s="103">
        <f>SUM($F$30:$F$33)+$J$51</f>
        <v>0</v>
      </c>
      <c r="I190" s="103">
        <f>SUM($F$30:$F$33)+$J$51+$J$60</f>
        <v>0</v>
      </c>
      <c r="J190" s="21">
        <f t="shared" si="14"/>
        <v>0</v>
      </c>
      <c r="K190" s="21">
        <f t="shared" si="15"/>
        <v>0</v>
      </c>
      <c r="L190" s="21">
        <f t="shared" si="16"/>
        <v>0</v>
      </c>
      <c r="M190" s="78" t="s">
        <v>661</v>
      </c>
      <c r="P190" s="44"/>
      <c r="Q190" s="44"/>
    </row>
    <row r="191" spans="1:45" ht="12.75" hidden="1" customHeight="1" x14ac:dyDescent="0.15">
      <c r="A191" s="259">
        <v>50</v>
      </c>
      <c r="B191" s="340" t="s">
        <v>635</v>
      </c>
      <c r="C191" s="21" t="s">
        <v>613</v>
      </c>
      <c r="D191" s="104">
        <f>IF(ISERROR(HLOOKUP(J191,$Q$39:$AB$40,2)),0,HLOOKUP(J191,$Q$39:$AB$40,2))</f>
        <v>0</v>
      </c>
      <c r="E191" s="104">
        <f>IF(ISERROR(HLOOKUP(K191,$Q$39:$AB$40,2)),0,HLOOKUP(K191,$Q$39:$AB$40,2))</f>
        <v>0</v>
      </c>
      <c r="F191" s="104">
        <f>IF(ISERROR(HLOOKUP(L191,$Q$39:$AB$40,2)),0,HLOOKUP(L191,$Q$39:$AB$40,2))</f>
        <v>0</v>
      </c>
      <c r="G191" s="396">
        <f>SUM($F$30:$F$32)</f>
        <v>0</v>
      </c>
      <c r="H191" s="103">
        <f>SUM($F$30:$F$32)+$J$51</f>
        <v>0</v>
      </c>
      <c r="I191" s="103">
        <f>SUM($F$30:$F$32)+$J$51+$J$60</f>
        <v>0</v>
      </c>
      <c r="J191" s="21">
        <f t="shared" si="14"/>
        <v>0</v>
      </c>
      <c r="K191" s="21">
        <f t="shared" si="15"/>
        <v>0</v>
      </c>
      <c r="L191" s="21">
        <f t="shared" si="16"/>
        <v>0</v>
      </c>
      <c r="M191" s="78" t="s">
        <v>661</v>
      </c>
      <c r="P191" s="44"/>
      <c r="Q191" s="44"/>
    </row>
    <row r="192" spans="1:45" ht="12.75" hidden="1" customHeight="1" x14ac:dyDescent="0.15">
      <c r="A192" s="259">
        <v>51</v>
      </c>
      <c r="B192" s="340" t="s">
        <v>636</v>
      </c>
      <c r="C192" s="21" t="s">
        <v>613</v>
      </c>
      <c r="D192" s="104">
        <f>IF(ISERROR(HLOOKUP(J192,$Q$39:$AA$40,2)),0,HLOOKUP(J192,$Q$39:$AA$40,2))</f>
        <v>0</v>
      </c>
      <c r="E192" s="104">
        <f>IF(ISERROR(HLOOKUP(K192,$Q$39:$AA$40,2)),0,HLOOKUP(K192,$Q$39:$AA$40,2))</f>
        <v>0</v>
      </c>
      <c r="F192" s="104">
        <f>IF(ISERROR(HLOOKUP(L192,$Q$39:$AA$40,2)),0,HLOOKUP(L192,$Q$39:$AA$40,2))</f>
        <v>0</v>
      </c>
      <c r="G192" s="396">
        <f>SUM($F$30:$F$32)</f>
        <v>0</v>
      </c>
      <c r="H192" s="103">
        <f>SUM($F$30:$F$32)+$J$51</f>
        <v>0</v>
      </c>
      <c r="I192" s="103">
        <f>SUM($F$30:$F$32)+$J$51+$J$60</f>
        <v>0</v>
      </c>
      <c r="J192" s="21">
        <f t="shared" si="14"/>
        <v>0</v>
      </c>
      <c r="K192" s="21">
        <f t="shared" si="15"/>
        <v>0</v>
      </c>
      <c r="L192" s="21">
        <f t="shared" si="16"/>
        <v>0</v>
      </c>
      <c r="M192" s="78" t="s">
        <v>661</v>
      </c>
      <c r="P192" s="44"/>
      <c r="Q192" s="44"/>
    </row>
    <row r="193" spans="1:33" ht="12.75" hidden="1" customHeight="1" x14ac:dyDescent="0.15">
      <c r="A193" s="259">
        <v>52</v>
      </c>
      <c r="B193" s="340" t="s">
        <v>637</v>
      </c>
      <c r="C193" s="21" t="s">
        <v>613</v>
      </c>
      <c r="D193" s="104">
        <f>IF(ISERROR(HLOOKUP(J193,$Q$66:$X$67,2)),0,HLOOKUP(J193,$Q$66:$X$67,2))</f>
        <v>0</v>
      </c>
      <c r="E193" s="104">
        <f>IF(ISERROR(HLOOKUP(K193,$Q$66:$X$67,2)),0,HLOOKUP(K193,$Q$66:$X$67,2))</f>
        <v>0</v>
      </c>
      <c r="F193" s="104">
        <f>IF(ISERROR(HLOOKUP(L193,$Q$66:$X$67,2)),0,HLOOKUP(L193,$Q$66:$X$67,2))</f>
        <v>0</v>
      </c>
      <c r="G193" s="396">
        <f>SUM($F$27:$F$32)</f>
        <v>0</v>
      </c>
      <c r="H193" s="103">
        <f>SUM($F$27:$F$32)+$J$51</f>
        <v>0</v>
      </c>
      <c r="I193" s="103">
        <f>SUM($F$27:$F$32)+$J$51+$J$60</f>
        <v>0</v>
      </c>
      <c r="J193" s="21">
        <f t="shared" si="14"/>
        <v>0</v>
      </c>
      <c r="K193" s="21">
        <f t="shared" si="15"/>
        <v>0</v>
      </c>
      <c r="L193" s="21">
        <f t="shared" si="16"/>
        <v>0</v>
      </c>
      <c r="M193" s="78" t="s">
        <v>661</v>
      </c>
      <c r="P193" s="44"/>
      <c r="Q193" s="44"/>
    </row>
    <row r="194" spans="1:33" ht="12.75" hidden="1" customHeight="1" x14ac:dyDescent="0.15">
      <c r="A194" s="259">
        <v>53</v>
      </c>
      <c r="B194" s="340" t="s">
        <v>638</v>
      </c>
      <c r="C194" s="21" t="s">
        <v>613</v>
      </c>
      <c r="D194" s="104">
        <f>IF(ISERROR(HLOOKUP(J194,$Q$48:$AA$49,2)),0,HLOOKUP(J194,$Q$48:$AA$49,2))</f>
        <v>0</v>
      </c>
      <c r="E194" s="104">
        <f>IF(ISERROR(HLOOKUP(K194,$Q$48:$AA$49,2)),0,HLOOKUP(K194,$Q$48:$AA$49,2))</f>
        <v>0</v>
      </c>
      <c r="F194" s="104">
        <f>IF(ISERROR(HLOOKUP(L194,$Q$48:$AA$49,2)),0,HLOOKUP(L194,$Q$48:$AA$49,2))</f>
        <v>0</v>
      </c>
      <c r="G194" s="396">
        <f>SUM($F$30:$F$32)</f>
        <v>0</v>
      </c>
      <c r="H194" s="103">
        <f>SUM($F$30:$F$32)+$J$51</f>
        <v>0</v>
      </c>
      <c r="I194" s="103">
        <f>SUM($F$30:$F$32)+$J$51+$J$60</f>
        <v>0</v>
      </c>
      <c r="J194" s="21">
        <f t="shared" si="14"/>
        <v>0</v>
      </c>
      <c r="K194" s="21">
        <f t="shared" si="15"/>
        <v>0</v>
      </c>
      <c r="L194" s="21">
        <f t="shared" si="16"/>
        <v>0</v>
      </c>
      <c r="M194" s="78" t="s">
        <v>661</v>
      </c>
      <c r="P194" s="44"/>
      <c r="Q194" s="44"/>
    </row>
    <row r="195" spans="1:33" ht="12.75" hidden="1" customHeight="1" x14ac:dyDescent="0.15">
      <c r="A195" s="259">
        <v>54</v>
      </c>
      <c r="B195" s="340" t="s">
        <v>639</v>
      </c>
      <c r="C195" s="21" t="s">
        <v>613</v>
      </c>
      <c r="D195" s="104">
        <f>IF(ISERROR(HLOOKUP(J195,$Q$39:$AA$40,2)),0,HLOOKUP(J195,$Q$39:$AA$40,2))</f>
        <v>0</v>
      </c>
      <c r="E195" s="104">
        <f>IF(ISERROR(HLOOKUP(K195,$Q$39:$AA$40,2)),0,HLOOKUP(K195,$Q$39:$AA$40,2))</f>
        <v>0</v>
      </c>
      <c r="F195" s="104">
        <f>IF(ISERROR(HLOOKUP(L195,$Q$39:$AA$40,2)),0,HLOOKUP(L195,$Q$39:$AA$40,2))</f>
        <v>0</v>
      </c>
      <c r="G195" s="396">
        <f>SUM($F$27:$F$32)</f>
        <v>0</v>
      </c>
      <c r="H195" s="103">
        <f>SUM($F$27:$F$32)+$J$51</f>
        <v>0</v>
      </c>
      <c r="I195" s="103">
        <f>SUM($F$27:$F$32)+$J$51+$J$60</f>
        <v>0</v>
      </c>
      <c r="J195" s="21">
        <f t="shared" ref="J195:J226" si="22">ROUNDDOWN(G195/365,0)</f>
        <v>0</v>
      </c>
      <c r="K195" s="21">
        <f t="shared" ref="K195:K226" si="23">ROUNDDOWN(H195/365,0)</f>
        <v>0</v>
      </c>
      <c r="L195" s="21">
        <f t="shared" ref="L195:L226" si="24">ROUNDDOWN(I195/365,0)</f>
        <v>0</v>
      </c>
      <c r="M195" s="78" t="s">
        <v>661</v>
      </c>
      <c r="P195" s="44"/>
      <c r="Q195" s="44"/>
    </row>
    <row r="196" spans="1:33" ht="12.75" hidden="1" customHeight="1" x14ac:dyDescent="0.15">
      <c r="A196" s="259">
        <v>55</v>
      </c>
      <c r="B196" s="340" t="s">
        <v>640</v>
      </c>
      <c r="C196" s="21" t="s">
        <v>613</v>
      </c>
      <c r="D196" s="104">
        <f>IF(ISERROR(HLOOKUP(J196,$Q$60:$AA$61,2)),0,HLOOKUP(J196,$Q$60:$AA$61,2))</f>
        <v>0</v>
      </c>
      <c r="E196" s="104">
        <f>IF(ISERROR(HLOOKUP(K196,$Q$60:$AA$61,2)),0,HLOOKUP(K196,$Q$60:$AA$61,2))</f>
        <v>0</v>
      </c>
      <c r="F196" s="104">
        <f>IF(ISERROR(HLOOKUP(L196,$Q$60:$AA$61,2)),0,HLOOKUP(L196,$Q$60:$AA$61,2))</f>
        <v>0</v>
      </c>
      <c r="G196" s="396">
        <f>SUM($F$30:$F$32)</f>
        <v>0</v>
      </c>
      <c r="H196" s="103">
        <f>SUM($F$30:$F$32)+$J$51</f>
        <v>0</v>
      </c>
      <c r="I196" s="103">
        <f>SUM($F$30:$F$32)+$J$51+$J$60</f>
        <v>0</v>
      </c>
      <c r="J196" s="21">
        <f t="shared" si="22"/>
        <v>0</v>
      </c>
      <c r="K196" s="21">
        <f t="shared" si="23"/>
        <v>0</v>
      </c>
      <c r="L196" s="21">
        <f t="shared" si="24"/>
        <v>0</v>
      </c>
      <c r="M196" s="78" t="s">
        <v>661</v>
      </c>
      <c r="P196" s="44"/>
      <c r="Q196" s="44"/>
    </row>
    <row r="197" spans="1:33" ht="12.75" hidden="1" customHeight="1" x14ac:dyDescent="0.15">
      <c r="A197" s="259">
        <v>56</v>
      </c>
      <c r="B197" s="340" t="s">
        <v>683</v>
      </c>
      <c r="C197" s="21" t="s">
        <v>547</v>
      </c>
      <c r="D197" s="104">
        <f>IF(ISERROR(HLOOKUP(J197,$Q$80:$W$81,2)),0,HLOOKUP(J197,$Q$80:$W$81,2))</f>
        <v>0</v>
      </c>
      <c r="E197" s="104">
        <f>IF(ISERROR(HLOOKUP(K197,$Q$80:$W$81,2)),0,HLOOKUP(K197,$Q$80:$W$81,2))</f>
        <v>0</v>
      </c>
      <c r="F197" s="104">
        <f>IF(ISERROR(HLOOKUP(L197,$Q$80:$W$81,2)),0,HLOOKUP(L197,$Q$80:$W$81,2))</f>
        <v>0</v>
      </c>
      <c r="G197" s="396">
        <f>SUM($F$30:$F$32)</f>
        <v>0</v>
      </c>
      <c r="H197" s="103">
        <f>SUM($F$30:$F$32)+$J$51</f>
        <v>0</v>
      </c>
      <c r="I197" s="103">
        <f>SUM($F$30:$F$32)+$J$51+$J$60</f>
        <v>0</v>
      </c>
      <c r="J197" s="21">
        <f t="shared" si="22"/>
        <v>0</v>
      </c>
      <c r="K197" s="21">
        <f t="shared" si="23"/>
        <v>0</v>
      </c>
      <c r="L197" s="21">
        <f t="shared" si="24"/>
        <v>0</v>
      </c>
      <c r="M197" s="78" t="s">
        <v>661</v>
      </c>
      <c r="P197" s="44"/>
      <c r="Q197" s="44"/>
    </row>
    <row r="198" spans="1:33" ht="12.75" hidden="1" customHeight="1" x14ac:dyDescent="0.15">
      <c r="A198" s="259">
        <v>57</v>
      </c>
      <c r="B198" s="340" t="s">
        <v>699</v>
      </c>
      <c r="C198" s="21" t="s">
        <v>613</v>
      </c>
      <c r="D198" s="104">
        <f>IF(ISERROR(HLOOKUP(J198,$Q$48:$AA$49,2)),0,HLOOKUP(J198,$Q$48:$AA$49,2))</f>
        <v>0</v>
      </c>
      <c r="E198" s="104">
        <f>IF(ISERROR(HLOOKUP(K198,$Q$48:$AA$49,2)),0,HLOOKUP(K198,$Q$48:$AA$49,2))</f>
        <v>0</v>
      </c>
      <c r="F198" s="104">
        <f>IF(ISERROR(HLOOKUP(L198,$Q$48:$AA$49,2)),0,HLOOKUP(L198,$Q$48:$AA$49,2))</f>
        <v>0</v>
      </c>
      <c r="G198" s="396">
        <f>SUM($F$30:$F$32)</f>
        <v>0</v>
      </c>
      <c r="H198" s="103">
        <f>SUM($F$30:$F$32)+$J$51</f>
        <v>0</v>
      </c>
      <c r="I198" s="103">
        <f>SUM($F$30:$F$32)+$J$51+$J$60</f>
        <v>0</v>
      </c>
      <c r="J198" s="21">
        <f t="shared" si="22"/>
        <v>0</v>
      </c>
      <c r="K198" s="21">
        <f t="shared" si="23"/>
        <v>0</v>
      </c>
      <c r="L198" s="21">
        <f t="shared" si="24"/>
        <v>0</v>
      </c>
      <c r="M198" s="78" t="s">
        <v>661</v>
      </c>
      <c r="P198" s="44"/>
      <c r="Q198" s="44"/>
    </row>
    <row r="199" spans="1:33" ht="12.75" hidden="1" customHeight="1" x14ac:dyDescent="0.15">
      <c r="A199" s="259">
        <v>58</v>
      </c>
      <c r="B199" s="340" t="s">
        <v>641</v>
      </c>
      <c r="C199" s="21" t="s">
        <v>613</v>
      </c>
      <c r="D199" s="104">
        <f>IF(ISERROR(HLOOKUP(J199,$Q$69:$AC$70,2)),0,HLOOKUP(J199,$Q$69:$AC$70,2))</f>
        <v>0</v>
      </c>
      <c r="E199" s="104">
        <f>IF(ISERROR(HLOOKUP(K199,$Q$69:$AC$70,2)),0,HLOOKUP(K199,$Q$69:$AC$70,2))</f>
        <v>0</v>
      </c>
      <c r="F199" s="104">
        <f>IF(ISERROR(HLOOKUP(L199,$Q$69:$AC$70,2)),0,HLOOKUP(L199,$Q$69:$AC$70,2))</f>
        <v>0</v>
      </c>
      <c r="G199" s="396">
        <f>SUM($F$30:$F$32)</f>
        <v>0</v>
      </c>
      <c r="H199" s="103">
        <f>SUM($F$30:$F$32)+$J$51</f>
        <v>0</v>
      </c>
      <c r="I199" s="103">
        <f>SUM($F$30:$F$32)+$J$51+$J$60</f>
        <v>0</v>
      </c>
      <c r="J199" s="21">
        <f t="shared" si="22"/>
        <v>0</v>
      </c>
      <c r="K199" s="21">
        <f t="shared" si="23"/>
        <v>0</v>
      </c>
      <c r="L199" s="21">
        <f t="shared" si="24"/>
        <v>0</v>
      </c>
      <c r="M199" s="78" t="s">
        <v>661</v>
      </c>
      <c r="P199" s="44"/>
      <c r="Q199" s="44"/>
    </row>
    <row r="200" spans="1:33" ht="12.75" hidden="1" customHeight="1" x14ac:dyDescent="0.15">
      <c r="A200" s="259">
        <v>59</v>
      </c>
      <c r="B200" s="340" t="s">
        <v>642</v>
      </c>
      <c r="C200" s="21" t="s">
        <v>613</v>
      </c>
      <c r="D200" s="104">
        <f>IF(ISERROR(HLOOKUP(J200,$Q$39:$AB$40,2)),0,HLOOKUP(J200,$Q$39:$AB$40,2))</f>
        <v>0</v>
      </c>
      <c r="E200" s="104">
        <f>IF(ISERROR(HLOOKUP(K200,$Q$39:$AB$40,2)),0,HLOOKUP(K200,$Q$39:$AB$40,2))</f>
        <v>0</v>
      </c>
      <c r="F200" s="104">
        <f>IF(ISERROR(HLOOKUP(L200,$Q$39:$AB$40,2)),0,HLOOKUP(L200,$Q$39:$AB$40,2))</f>
        <v>0</v>
      </c>
      <c r="G200" s="396">
        <f>SUM($F$27:$F$33)</f>
        <v>0</v>
      </c>
      <c r="H200" s="103">
        <f>SUM($F$27:$F$33)+$J$51</f>
        <v>0</v>
      </c>
      <c r="I200" s="103">
        <f>SUM($F$27:$F$33)+$J$51+$J$60</f>
        <v>0</v>
      </c>
      <c r="J200" s="21">
        <f t="shared" si="22"/>
        <v>0</v>
      </c>
      <c r="K200" s="21">
        <f t="shared" si="23"/>
        <v>0</v>
      </c>
      <c r="L200" s="21">
        <f t="shared" si="24"/>
        <v>0</v>
      </c>
      <c r="M200" s="78" t="s">
        <v>661</v>
      </c>
      <c r="P200" s="44"/>
      <c r="Q200" s="44"/>
      <c r="AC200" s="69"/>
      <c r="AD200" s="69"/>
      <c r="AE200" s="69"/>
      <c r="AF200" s="69"/>
      <c r="AG200" s="69"/>
    </row>
    <row r="201" spans="1:33" ht="12.75" hidden="1" customHeight="1" x14ac:dyDescent="0.15">
      <c r="A201" s="259">
        <v>60</v>
      </c>
      <c r="B201" s="340" t="s">
        <v>643</v>
      </c>
      <c r="C201" s="21" t="s">
        <v>547</v>
      </c>
      <c r="D201" s="104">
        <f>IF(ISERROR(HLOOKUP(J201,$Q$80:$W$81,2)),0,HLOOKUP(J201,$Q$80:$W$81,2))</f>
        <v>0</v>
      </c>
      <c r="E201" s="104">
        <f>IF(ISERROR(HLOOKUP(K201,$Q$80:$W$81,2)),0,HLOOKUP(K201,$Q$80:$W$81,2))</f>
        <v>0</v>
      </c>
      <c r="F201" s="104">
        <f>IF(ISERROR(HLOOKUP(L201,$Q$80:$W$81,2)),0,HLOOKUP(L201,$Q$80:$W$81,2))</f>
        <v>0</v>
      </c>
      <c r="G201" s="396">
        <f>SUM($F$30:$F$33)</f>
        <v>0</v>
      </c>
      <c r="H201" s="103">
        <f>SUM($F$30:$F$33)+$J$51</f>
        <v>0</v>
      </c>
      <c r="I201" s="103">
        <f>SUM($F$30:$F$33)+$J$51+$J$60</f>
        <v>0</v>
      </c>
      <c r="J201" s="21">
        <f t="shared" si="22"/>
        <v>0</v>
      </c>
      <c r="K201" s="21">
        <f t="shared" si="23"/>
        <v>0</v>
      </c>
      <c r="L201" s="21">
        <f t="shared" si="24"/>
        <v>0</v>
      </c>
      <c r="M201" s="78" t="s">
        <v>661</v>
      </c>
      <c r="P201" s="44"/>
      <c r="Q201" s="44"/>
      <c r="AC201" s="69"/>
      <c r="AD201" s="69"/>
      <c r="AE201" s="69"/>
      <c r="AF201" s="69"/>
      <c r="AG201" s="69"/>
    </row>
    <row r="202" spans="1:33" ht="12.75" hidden="1" customHeight="1" x14ac:dyDescent="0.15">
      <c r="A202" s="259">
        <v>61</v>
      </c>
      <c r="B202" s="340" t="s">
        <v>644</v>
      </c>
      <c r="C202" s="21" t="s">
        <v>613</v>
      </c>
      <c r="D202" s="104">
        <f>IF(ISERROR(HLOOKUP(J202,$Q$39:$AA$40,2)),0,HLOOKUP(J202,$Q$39:$AA$40,2))</f>
        <v>0</v>
      </c>
      <c r="E202" s="104">
        <f>IF(ISERROR(HLOOKUP(K202,$Q$39:$AA$40,2)),0,HLOOKUP(K202,$Q$39:$AA$40,2))</f>
        <v>0</v>
      </c>
      <c r="F202" s="104">
        <f>IF(ISERROR(HLOOKUP(L202,$Q$39:$AA$40,2)),0,HLOOKUP(L202,$Q$39:$AA$40,2))</f>
        <v>0</v>
      </c>
      <c r="G202" s="396">
        <f>SUM($F$27:$F$33)</f>
        <v>0</v>
      </c>
      <c r="H202" s="103">
        <f>SUM($F$27:$F$33)+$J$51</f>
        <v>0</v>
      </c>
      <c r="I202" s="103">
        <f>SUM($F$27:$F$33)+$J$51+$J$60</f>
        <v>0</v>
      </c>
      <c r="J202" s="21">
        <f t="shared" si="22"/>
        <v>0</v>
      </c>
      <c r="K202" s="21">
        <f t="shared" si="23"/>
        <v>0</v>
      </c>
      <c r="L202" s="21">
        <f t="shared" si="24"/>
        <v>0</v>
      </c>
      <c r="M202" s="78" t="s">
        <v>661</v>
      </c>
      <c r="P202" s="44"/>
      <c r="Q202" s="44"/>
      <c r="AC202" s="69"/>
      <c r="AD202" s="69"/>
      <c r="AE202" s="69"/>
      <c r="AF202" s="69"/>
      <c r="AG202" s="69"/>
    </row>
    <row r="203" spans="1:33" ht="12.75" hidden="1" customHeight="1" x14ac:dyDescent="0.15">
      <c r="A203" s="259">
        <v>62</v>
      </c>
      <c r="B203" s="345" t="s">
        <v>645</v>
      </c>
      <c r="C203" s="21" t="s">
        <v>527</v>
      </c>
      <c r="D203" s="104">
        <f>IF(ISERROR(HLOOKUP(J203,$Q$26:$AY$27,2)),0,HLOOKUP(J203,$Q$26:$AY$27,2))</f>
        <v>0</v>
      </c>
      <c r="E203" s="104">
        <f>IF(ISERROR(HLOOKUP(K203,$Q$26:$AY$27,2)),0,HLOOKUP(K203,$Q$26:$AY$27,2))</f>
        <v>0</v>
      </c>
      <c r="F203" s="104">
        <f>IF(ISERROR(HLOOKUP(L203,$Q$26:$AY$27,2)),0,HLOOKUP(L203,$Q$26:$AY$27,2))</f>
        <v>0</v>
      </c>
      <c r="G203" s="396">
        <f>SUM($F$30:$F$32)</f>
        <v>0</v>
      </c>
      <c r="H203" s="103">
        <f>SUM($F$27:$F$32)+$J$51</f>
        <v>0</v>
      </c>
      <c r="I203" s="103">
        <f>SUM($F$27:$F$32)+$J$51+$J$60</f>
        <v>0</v>
      </c>
      <c r="J203" s="21">
        <f t="shared" si="22"/>
        <v>0</v>
      </c>
      <c r="K203" s="21">
        <f t="shared" si="23"/>
        <v>0</v>
      </c>
      <c r="L203" s="21">
        <f t="shared" si="24"/>
        <v>0</v>
      </c>
      <c r="M203" s="346" t="s">
        <v>662</v>
      </c>
      <c r="P203" s="44"/>
      <c r="Q203" s="44"/>
      <c r="AC203" s="69"/>
      <c r="AD203" s="69"/>
      <c r="AE203" s="69"/>
      <c r="AF203" s="69"/>
      <c r="AG203" s="69"/>
    </row>
    <row r="204" spans="1:33" ht="12.75" hidden="1" customHeight="1" x14ac:dyDescent="0.15">
      <c r="A204" s="259">
        <v>63</v>
      </c>
      <c r="B204" s="345" t="s">
        <v>646</v>
      </c>
      <c r="C204" s="21"/>
      <c r="D204" s="54"/>
      <c r="E204" s="54"/>
      <c r="F204" s="54"/>
      <c r="G204" s="54"/>
      <c r="H204" s="54"/>
      <c r="I204" s="347"/>
      <c r="J204" s="21">
        <f t="shared" si="22"/>
        <v>0</v>
      </c>
      <c r="K204" s="21">
        <f t="shared" si="23"/>
        <v>0</v>
      </c>
      <c r="L204" s="21">
        <f t="shared" si="24"/>
        <v>0</v>
      </c>
      <c r="M204" s="346" t="s">
        <v>662</v>
      </c>
      <c r="P204" s="44"/>
      <c r="Q204" s="44"/>
      <c r="AC204" s="69"/>
      <c r="AD204" s="69"/>
      <c r="AE204" s="69"/>
      <c r="AF204" s="69"/>
      <c r="AG204" s="348"/>
    </row>
    <row r="205" spans="1:33" s="308" customFormat="1" ht="12.75" hidden="1" customHeight="1" x14ac:dyDescent="0.15">
      <c r="A205" s="304">
        <v>64</v>
      </c>
      <c r="B205" s="349" t="s">
        <v>647</v>
      </c>
      <c r="C205" s="308" t="s">
        <v>613</v>
      </c>
      <c r="D205" s="305">
        <f>IF(ISERROR(HLOOKUP(J205,$Q$48:$AB$49,2)),0,HLOOKUP(J205,$Q$48:$AB$49,2))</f>
        <v>0</v>
      </c>
      <c r="E205" s="305">
        <f>IF(ISERROR(HLOOKUP(K205,$Q$48:$AB$49,2)),0,HLOOKUP(K205,$Q$48:$AB$49,2))</f>
        <v>0</v>
      </c>
      <c r="F205" s="305">
        <f>IF(ISERROR(HLOOKUP(L205,$Q$48:$AB$49,2)),0,HLOOKUP(L205,$Q$48:$AB$49,2))</f>
        <v>0</v>
      </c>
      <c r="G205" s="350">
        <f>SUM($F$30:$F$33)+$O$205</f>
        <v>0</v>
      </c>
      <c r="H205" s="350">
        <f>$G$205+$J$51</f>
        <v>0</v>
      </c>
      <c r="I205" s="350">
        <f>$G$205+$J$51+$J$60</f>
        <v>0</v>
      </c>
      <c r="J205" s="351">
        <f t="shared" si="22"/>
        <v>0</v>
      </c>
      <c r="K205" s="351">
        <f t="shared" si="23"/>
        <v>0</v>
      </c>
      <c r="L205" s="351">
        <f t="shared" si="24"/>
        <v>0</v>
      </c>
      <c r="M205" s="352" t="s">
        <v>662</v>
      </c>
      <c r="N205" s="310">
        <f>SUM($F$27:$F$29)</f>
        <v>0</v>
      </c>
      <c r="O205" s="309">
        <f>IF($N$205&gt;365,365,$N$205)</f>
        <v>0</v>
      </c>
      <c r="P205" s="353"/>
      <c r="Q205" s="353"/>
      <c r="AC205" s="354"/>
      <c r="AD205" s="354"/>
      <c r="AE205" s="354"/>
      <c r="AF205" s="354"/>
      <c r="AG205" s="354"/>
    </row>
    <row r="206" spans="1:33" ht="12.75" hidden="1" customHeight="1" x14ac:dyDescent="0.15">
      <c r="A206" s="259">
        <v>65</v>
      </c>
      <c r="B206" s="345" t="s">
        <v>648</v>
      </c>
      <c r="C206" s="21" t="s">
        <v>547</v>
      </c>
      <c r="D206" s="104">
        <f>IF(ISERROR(HLOOKUP(J206,$Q$73:$AB$74,2)),0,HLOOKUP(J206,$Q$73:$AB$74,2))</f>
        <v>0</v>
      </c>
      <c r="E206" s="105">
        <f>IF(ISERROR(HLOOKUP(K206,$Q$73:$AB$74,2)),0,HLOOKUP(K206,$Q$73:$AB$74,2))</f>
        <v>0</v>
      </c>
      <c r="F206" s="106">
        <f>IF(ISERROR(HLOOKUP(L206,$Q$73:$AB$74,2)),0,HLOOKUP(L206,$Q$73:$AB$74,2))</f>
        <v>0</v>
      </c>
      <c r="G206" s="355">
        <f>SUM($F$27:$F$32)</f>
        <v>0</v>
      </c>
      <c r="H206" s="355">
        <f>SUM($F$27:$F$32)+$J$51</f>
        <v>0</v>
      </c>
      <c r="I206" s="355">
        <f>SUM($F$27:$F$32)+$J$51+$J$60</f>
        <v>0</v>
      </c>
      <c r="J206" s="21">
        <f t="shared" si="22"/>
        <v>0</v>
      </c>
      <c r="K206" s="21">
        <f t="shared" si="23"/>
        <v>0</v>
      </c>
      <c r="L206" s="21">
        <f t="shared" si="24"/>
        <v>0</v>
      </c>
      <c r="M206" s="346" t="s">
        <v>662</v>
      </c>
      <c r="P206" s="44"/>
      <c r="Q206" s="44"/>
      <c r="AC206" s="69"/>
      <c r="AD206" s="69"/>
      <c r="AE206" s="69"/>
      <c r="AF206" s="69"/>
      <c r="AG206" s="348"/>
    </row>
    <row r="207" spans="1:33" ht="12.75" hidden="1" customHeight="1" x14ac:dyDescent="0.15">
      <c r="A207" s="259">
        <v>66</v>
      </c>
      <c r="B207" s="345" t="s">
        <v>649</v>
      </c>
      <c r="C207" s="21" t="s">
        <v>613</v>
      </c>
      <c r="D207" s="104">
        <f>IF(ISERROR(HLOOKUP(J207,$Q$39:$Z$40,2)),0,HLOOKUP(J207,$Q$39:$Z$40,2))</f>
        <v>0</v>
      </c>
      <c r="E207" s="104">
        <f>IF(ISERROR(HLOOKUP(K207,$Q$39:$Z$40,2)),0,HLOOKUP(K207,$Q$39:$Z$40,2))</f>
        <v>0</v>
      </c>
      <c r="F207" s="104">
        <f>IF(ISERROR(HLOOKUP(L207,$Q$39:$Z$40,2)),0,HLOOKUP(L207,$Q$39:$Z$40,2))</f>
        <v>0</v>
      </c>
      <c r="G207" s="355">
        <f>SUM($F$30:$F$32)</f>
        <v>0</v>
      </c>
      <c r="H207" s="355">
        <f>SUM($F$30:$F$32)+$J$51</f>
        <v>0</v>
      </c>
      <c r="I207" s="355">
        <f>SUM($F$30:$F$32)+$J$51+$J$60</f>
        <v>0</v>
      </c>
      <c r="J207" s="356">
        <f t="shared" si="22"/>
        <v>0</v>
      </c>
      <c r="K207" s="356">
        <f t="shared" si="23"/>
        <v>0</v>
      </c>
      <c r="L207" s="356">
        <f t="shared" si="24"/>
        <v>0</v>
      </c>
      <c r="M207" s="346" t="s">
        <v>662</v>
      </c>
      <c r="P207" s="44"/>
      <c r="Q207" s="44"/>
      <c r="AC207" s="69"/>
      <c r="AD207" s="69"/>
      <c r="AE207" s="69"/>
      <c r="AF207" s="69"/>
      <c r="AG207" s="348"/>
    </row>
    <row r="208" spans="1:33" ht="12.75" hidden="1" customHeight="1" x14ac:dyDescent="0.15">
      <c r="A208" s="259">
        <v>67</v>
      </c>
      <c r="B208" s="345" t="s">
        <v>650</v>
      </c>
      <c r="C208" s="21" t="s">
        <v>613</v>
      </c>
      <c r="D208" s="104">
        <f>IF(ISERROR(HLOOKUP(J208,$Q$51:$Y$52,2)),0,HLOOKUP(J208,$Q$51:$Y$52,2))</f>
        <v>0</v>
      </c>
      <c r="E208" s="104">
        <f>IF(ISERROR(HLOOKUP(K208,$Q$51:$Y$52,2)),0,HLOOKUP(K208,$Q$51:$Y$52,2))</f>
        <v>0</v>
      </c>
      <c r="F208" s="104">
        <f>IF(ISERROR(HLOOKUP(L208,$Q$51:$Y$52,2)),0,HLOOKUP(L208,$Q$51:$Y$52,2))</f>
        <v>0</v>
      </c>
      <c r="G208" s="396">
        <f>SUM($F$30:$F$32)</f>
        <v>0</v>
      </c>
      <c r="H208" s="103">
        <f>SUM($F$30:$F$32)+$J$51</f>
        <v>0</v>
      </c>
      <c r="I208" s="103">
        <f>SUM($F$30:$F$32)+$J$51+$J$60</f>
        <v>0</v>
      </c>
      <c r="J208" s="21">
        <f t="shared" si="22"/>
        <v>0</v>
      </c>
      <c r="K208" s="21">
        <f t="shared" si="23"/>
        <v>0</v>
      </c>
      <c r="L208" s="21">
        <f t="shared" si="24"/>
        <v>0</v>
      </c>
      <c r="M208" s="346" t="s">
        <v>662</v>
      </c>
      <c r="P208" s="44"/>
      <c r="Q208" s="44"/>
      <c r="AC208" s="69"/>
      <c r="AD208" s="69"/>
      <c r="AE208" s="69"/>
      <c r="AF208" s="69"/>
      <c r="AG208" s="348"/>
    </row>
    <row r="209" spans="1:33" s="308" customFormat="1" ht="12.75" hidden="1" customHeight="1" x14ac:dyDescent="0.15">
      <c r="A209" s="304">
        <v>68</v>
      </c>
      <c r="B209" s="349" t="s">
        <v>651</v>
      </c>
      <c r="C209" s="308" t="s">
        <v>547</v>
      </c>
      <c r="D209" s="305">
        <f>IF(ISERROR(HLOOKUP(J209,$Q$73:$W$74,2)),0,HLOOKUP(J209,$Q$73:$W$74,2))</f>
        <v>0</v>
      </c>
      <c r="E209" s="305">
        <f>IF(ISERROR(HLOOKUP(K209,$Q$73:$W$74,2)),0,HLOOKUP(K209,$Q$73:$W$74,2))</f>
        <v>0</v>
      </c>
      <c r="F209" s="305">
        <f>IF(ISERROR(HLOOKUP(L209,$Q$73:$W$74,2)),0,HLOOKUP(L209,$Q$73:$W$74,2))</f>
        <v>0</v>
      </c>
      <c r="G209" s="350">
        <f>$N$209</f>
        <v>0</v>
      </c>
      <c r="H209" s="350">
        <f>$G$209+$J$51</f>
        <v>0</v>
      </c>
      <c r="I209" s="350">
        <f>$G$209+$J$51+$J$60</f>
        <v>0</v>
      </c>
      <c r="J209" s="308">
        <f t="shared" si="22"/>
        <v>0</v>
      </c>
      <c r="K209" s="308">
        <f t="shared" si="23"/>
        <v>0</v>
      </c>
      <c r="L209" s="308">
        <f t="shared" si="24"/>
        <v>0</v>
      </c>
      <c r="M209" s="352" t="s">
        <v>662</v>
      </c>
      <c r="N209" s="310">
        <f>SUM(F30:F32)</f>
        <v>0</v>
      </c>
      <c r="O209" s="309"/>
      <c r="P209" s="353"/>
      <c r="Q209" s="353"/>
      <c r="AC209" s="354"/>
      <c r="AD209" s="354"/>
      <c r="AE209" s="354"/>
      <c r="AF209" s="354"/>
      <c r="AG209" s="354"/>
    </row>
    <row r="210" spans="1:33" ht="12.75" hidden="1" customHeight="1" x14ac:dyDescent="0.15">
      <c r="A210" s="259">
        <v>69</v>
      </c>
      <c r="B210" s="345" t="s">
        <v>652</v>
      </c>
      <c r="C210" s="21" t="s">
        <v>613</v>
      </c>
      <c r="D210" s="104">
        <f>IF(ISERROR(HLOOKUP(J210,$Q$39:$Z$40,2)),0,HLOOKUP(J210,$Q$39:$Z$40,2))</f>
        <v>0</v>
      </c>
      <c r="E210" s="104">
        <f>IF(ISERROR(HLOOKUP(K210,$Q$39:$Z$40,2)),0,HLOOKUP(K210,$Q$39:$Z$40,2))</f>
        <v>0</v>
      </c>
      <c r="F210" s="104">
        <f>IF(ISERROR(HLOOKUP(L210,$Q$39:$Z$40,2)),0,HLOOKUP(L210,$Q$39:$Z$40,2))</f>
        <v>0</v>
      </c>
      <c r="G210" s="396">
        <f>SUM($F$30:$F$32)</f>
        <v>0</v>
      </c>
      <c r="H210" s="103">
        <f>SUM($F$30:$F$32)+$J$51</f>
        <v>0</v>
      </c>
      <c r="I210" s="103">
        <f>SUM($F$30:$F$32)+$J$51+$J$60</f>
        <v>0</v>
      </c>
      <c r="J210" s="21">
        <f t="shared" si="22"/>
        <v>0</v>
      </c>
      <c r="K210" s="21">
        <f t="shared" si="23"/>
        <v>0</v>
      </c>
      <c r="L210" s="21">
        <f t="shared" si="24"/>
        <v>0</v>
      </c>
      <c r="M210" s="346" t="s">
        <v>662</v>
      </c>
      <c r="P210" s="44"/>
      <c r="Q210" s="44"/>
      <c r="AC210" s="69"/>
      <c r="AD210" s="69"/>
      <c r="AE210" s="69"/>
      <c r="AF210" s="69"/>
      <c r="AG210" s="69"/>
    </row>
    <row r="211" spans="1:33" ht="13.5" hidden="1" x14ac:dyDescent="0.15">
      <c r="A211" s="259">
        <v>70</v>
      </c>
      <c r="B211" s="345" t="s">
        <v>653</v>
      </c>
      <c r="C211" s="21" t="s">
        <v>613</v>
      </c>
      <c r="D211" s="104">
        <f>IF(ISERROR(HLOOKUP(J211,$Q$48:$AB$49,2)),0,HLOOKUP(J211,$Q$48:$AB$49,2))</f>
        <v>0</v>
      </c>
      <c r="E211" s="104">
        <f>IF(ISERROR(HLOOKUP(K211,$Q$48:$AB$49,2)),0,HLOOKUP(K211,$Q$48:$AB$49,2))</f>
        <v>0</v>
      </c>
      <c r="F211" s="104">
        <f>IF(ISERROR(HLOOKUP(L211,$Q$48:$AB$49,2)),0,HLOOKUP(L211,$Q$48:$AB$49,2))</f>
        <v>0</v>
      </c>
      <c r="G211" s="396">
        <f>SUM($F$30:$F$32)</f>
        <v>0</v>
      </c>
      <c r="H211" s="103">
        <f>SUM($F$30:$F$32)+$J$51</f>
        <v>0</v>
      </c>
      <c r="I211" s="103">
        <f>SUM($F$30:$F$32)+$J$51+$J$60</f>
        <v>0</v>
      </c>
      <c r="J211" s="21">
        <f t="shared" si="22"/>
        <v>0</v>
      </c>
      <c r="K211" s="21">
        <f t="shared" si="23"/>
        <v>0</v>
      </c>
      <c r="L211" s="21">
        <f t="shared" si="24"/>
        <v>0</v>
      </c>
      <c r="M211" s="346" t="s">
        <v>662</v>
      </c>
      <c r="P211" s="44"/>
      <c r="Q211" s="44"/>
    </row>
    <row r="212" spans="1:33" ht="13.5" hidden="1" x14ac:dyDescent="0.15">
      <c r="A212" s="259">
        <v>71</v>
      </c>
      <c r="B212" s="345" t="s">
        <v>654</v>
      </c>
      <c r="C212" s="21" t="s">
        <v>613</v>
      </c>
      <c r="D212" s="104">
        <f>IF(ISERROR(HLOOKUP(J212,$Q$48:$AA$49,2)),0,HLOOKUP(J212,$Q$48:$AA$49,2))</f>
        <v>0</v>
      </c>
      <c r="E212" s="104">
        <f>IF(ISERROR(HLOOKUP(K212,$Q$48:$AA$49,2)),0,HLOOKUP(K212,$Q$48:$AA$49,2))</f>
        <v>0</v>
      </c>
      <c r="F212" s="104">
        <f>IF(ISERROR(HLOOKUP(L212,$Q$48:$AA$49,2)),0,HLOOKUP(L212,$Q$48:$AA$49,2))</f>
        <v>0</v>
      </c>
      <c r="G212" s="396">
        <f>SUM($F$30:$F$32)</f>
        <v>0</v>
      </c>
      <c r="H212" s="103">
        <f>SUM($F$30:$F$32)+$J$51</f>
        <v>0</v>
      </c>
      <c r="I212" s="103">
        <f>SUM($F$30:$F$32)+$J$51+$J$60</f>
        <v>0</v>
      </c>
      <c r="J212" s="21">
        <f t="shared" si="22"/>
        <v>0</v>
      </c>
      <c r="K212" s="21">
        <f t="shared" si="23"/>
        <v>0</v>
      </c>
      <c r="L212" s="21">
        <f t="shared" si="24"/>
        <v>0</v>
      </c>
      <c r="M212" s="346" t="s">
        <v>662</v>
      </c>
      <c r="P212" s="44"/>
      <c r="Q212" s="44"/>
    </row>
    <row r="213" spans="1:33" ht="13.5" hidden="1" x14ac:dyDescent="0.15">
      <c r="A213" s="259">
        <v>72</v>
      </c>
      <c r="B213" s="345" t="s">
        <v>655</v>
      </c>
      <c r="C213" s="21" t="s">
        <v>527</v>
      </c>
      <c r="D213" s="104">
        <f>IF(ISERROR(HLOOKUP(J213,$Q$54:$AR$55,2)),0,HLOOKUP(J213,$Q$54:$AR$55,2))</f>
        <v>0</v>
      </c>
      <c r="E213" s="104">
        <f>IF(ISERROR(HLOOKUP(K213,$Q$54:$AR$55,2)),0,HLOOKUP(K213,$Q$54:$AR$55,2))</f>
        <v>0</v>
      </c>
      <c r="F213" s="104">
        <f>IF(ISERROR(HLOOKUP(L213,$Q$54:$AR$55,2)),0,HLOOKUP(L213,$Q$54:$AR$55,2))</f>
        <v>0</v>
      </c>
      <c r="G213" s="396">
        <f>SUM($F$27:$F$32)</f>
        <v>0</v>
      </c>
      <c r="H213" s="103">
        <f>SUM($F$27:$F$32)+$J$51</f>
        <v>0</v>
      </c>
      <c r="I213" s="103">
        <f>SUM($F$27:$F$32)+$J$51+$J$60</f>
        <v>0</v>
      </c>
      <c r="J213" s="21">
        <f t="shared" si="22"/>
        <v>0</v>
      </c>
      <c r="K213" s="21">
        <f t="shared" si="23"/>
        <v>0</v>
      </c>
      <c r="L213" s="21">
        <f t="shared" si="24"/>
        <v>0</v>
      </c>
      <c r="M213" s="346" t="s">
        <v>662</v>
      </c>
      <c r="P213" s="44"/>
      <c r="Q213" s="44"/>
    </row>
    <row r="214" spans="1:33" ht="13.5" hidden="1" x14ac:dyDescent="0.15">
      <c r="A214" s="259">
        <v>73</v>
      </c>
      <c r="B214" s="345" t="s">
        <v>663</v>
      </c>
      <c r="C214" s="21" t="s">
        <v>527</v>
      </c>
      <c r="D214" s="104">
        <f t="shared" ref="D214:F215" si="25">IF(ISERROR(HLOOKUP(J214,$Q$26:$AY$27,2)),0,HLOOKUP(J214,$Q$26:$AY$27,2))</f>
        <v>0</v>
      </c>
      <c r="E214" s="104">
        <f t="shared" si="25"/>
        <v>0</v>
      </c>
      <c r="F214" s="104">
        <f t="shared" si="25"/>
        <v>0</v>
      </c>
      <c r="G214" s="396">
        <f>SUM($F$30:$F$32)</f>
        <v>0</v>
      </c>
      <c r="H214" s="103">
        <f>SUM($F$30:$F$32)+$J$51</f>
        <v>0</v>
      </c>
      <c r="I214" s="103">
        <f>SUM($F$30:$F$32)+$J$51+$J$60</f>
        <v>0</v>
      </c>
      <c r="J214" s="21">
        <f t="shared" si="22"/>
        <v>0</v>
      </c>
      <c r="K214" s="21">
        <f t="shared" si="23"/>
        <v>0</v>
      </c>
      <c r="L214" s="21">
        <f t="shared" si="24"/>
        <v>0</v>
      </c>
      <c r="M214" s="346" t="s">
        <v>662</v>
      </c>
      <c r="P214" s="44"/>
      <c r="Q214" s="44"/>
    </row>
    <row r="215" spans="1:33" ht="13.5" hidden="1" x14ac:dyDescent="0.15">
      <c r="A215" s="259">
        <v>74</v>
      </c>
      <c r="B215" s="345" t="s">
        <v>664</v>
      </c>
      <c r="C215" s="21" t="s">
        <v>527</v>
      </c>
      <c r="D215" s="104">
        <f t="shared" si="25"/>
        <v>0</v>
      </c>
      <c r="E215" s="104">
        <f t="shared" si="25"/>
        <v>0</v>
      </c>
      <c r="F215" s="104">
        <f t="shared" si="25"/>
        <v>0</v>
      </c>
      <c r="G215" s="396">
        <f>SUM($F$30:$F$32)</f>
        <v>0</v>
      </c>
      <c r="H215" s="103">
        <f>SUM($F$30:$F$32)+$J$51</f>
        <v>0</v>
      </c>
      <c r="I215" s="103">
        <f>SUM($F$30:$F$32)+$J$51+$J$60</f>
        <v>0</v>
      </c>
      <c r="J215" s="21">
        <f t="shared" si="22"/>
        <v>0</v>
      </c>
      <c r="K215" s="21">
        <f t="shared" si="23"/>
        <v>0</v>
      </c>
      <c r="L215" s="21">
        <f t="shared" si="24"/>
        <v>0</v>
      </c>
      <c r="M215" s="346" t="s">
        <v>662</v>
      </c>
      <c r="P215" s="44"/>
      <c r="Q215" s="44"/>
    </row>
    <row r="216" spans="1:33" ht="13.5" hidden="1" x14ac:dyDescent="0.15">
      <c r="A216" s="259">
        <v>75</v>
      </c>
      <c r="B216" s="345" t="s">
        <v>665</v>
      </c>
      <c r="C216" s="21" t="s">
        <v>547</v>
      </c>
      <c r="D216" s="104">
        <f>IF(ISERROR(HLOOKUP(J216,$Q$73:$W$74,2)),0,HLOOKUP(J216,$Q$73:$W$74,2))</f>
        <v>0</v>
      </c>
      <c r="E216" s="104">
        <f>IF(ISERROR(HLOOKUP(K216,$Q$73:$W$74,2)),0,HLOOKUP(K216,$Q$73:$W$74,2))</f>
        <v>0</v>
      </c>
      <c r="F216" s="104">
        <f>IF(ISERROR(HLOOKUP(L216,$Q$73:$W$74,2)),0,HLOOKUP(L216,$Q$73:$W$74,2))</f>
        <v>0</v>
      </c>
      <c r="G216" s="396">
        <f>SUM($F$27:$F$32)</f>
        <v>0</v>
      </c>
      <c r="H216" s="103">
        <f>SUM($F$27:$F$32)+$J$51</f>
        <v>0</v>
      </c>
      <c r="I216" s="103">
        <f>SUM($F$27:$F$32)+$J$51+$J$60</f>
        <v>0</v>
      </c>
      <c r="J216" s="21">
        <f t="shared" si="22"/>
        <v>0</v>
      </c>
      <c r="K216" s="21">
        <f t="shared" si="23"/>
        <v>0</v>
      </c>
      <c r="L216" s="21">
        <f t="shared" si="24"/>
        <v>0</v>
      </c>
      <c r="M216" s="346" t="s">
        <v>662</v>
      </c>
      <c r="P216" s="44"/>
      <c r="Q216" s="44"/>
    </row>
    <row r="217" spans="1:33" ht="13.5" hidden="1" x14ac:dyDescent="0.15">
      <c r="A217" s="259">
        <v>76</v>
      </c>
      <c r="B217" s="345" t="s">
        <v>689</v>
      </c>
      <c r="C217" s="21" t="s">
        <v>613</v>
      </c>
      <c r="D217" s="104">
        <f>IF(ISERROR(HLOOKUP(J217,$Q$48:$AB$49,2)),0,HLOOKUP(J217,$Q$48:$AB$49,2))</f>
        <v>0</v>
      </c>
      <c r="E217" s="104">
        <f>IF(ISERROR(HLOOKUP(K217,$Q$48:$AB$49,2)),0,HLOOKUP(K217,$Q$48:$AB$49,2))</f>
        <v>0</v>
      </c>
      <c r="F217" s="104">
        <f>IF(ISERROR(HLOOKUP(L217,$Q$48:$AB$49,2)),0,HLOOKUP(L217,$Q$48:$AB$49,2))</f>
        <v>0</v>
      </c>
      <c r="G217" s="396">
        <f>SUM($F$30:$F$32)</f>
        <v>0</v>
      </c>
      <c r="H217" s="103">
        <f>SUM($F$30:$F$32)+$J$51</f>
        <v>0</v>
      </c>
      <c r="I217" s="103">
        <f>SUM($F$30:$F$32)+$J$51+$J$60</f>
        <v>0</v>
      </c>
      <c r="J217" s="21">
        <f t="shared" si="22"/>
        <v>0</v>
      </c>
      <c r="K217" s="21">
        <f t="shared" si="23"/>
        <v>0</v>
      </c>
      <c r="L217" s="21">
        <f t="shared" si="24"/>
        <v>0</v>
      </c>
      <c r="M217" s="346" t="s">
        <v>662</v>
      </c>
      <c r="P217" s="44"/>
      <c r="Q217" s="44"/>
    </row>
    <row r="218" spans="1:33" ht="13.5" hidden="1" x14ac:dyDescent="0.15">
      <c r="A218" s="259">
        <v>77</v>
      </c>
      <c r="B218" s="345" t="s">
        <v>666</v>
      </c>
      <c r="C218" s="21" t="s">
        <v>613</v>
      </c>
      <c r="D218" s="104">
        <f>IF(ISERROR(HLOOKUP(J218,$Q$48:$AA$49,2)),0,HLOOKUP(J218,$Q$48:$AA$49,2))</f>
        <v>0</v>
      </c>
      <c r="E218" s="104">
        <f>IF(ISERROR(HLOOKUP(K218,$Q$48:$AA$49,2)),0,HLOOKUP(K218,$Q$48:$AA$49,2))</f>
        <v>0</v>
      </c>
      <c r="F218" s="104">
        <f>IF(ISERROR(HLOOKUP(L218,$Q$48:$AA$49,2)),0,HLOOKUP(L218,$Q$48:$AA$49,2))</f>
        <v>0</v>
      </c>
      <c r="G218" s="396">
        <f>SUM($F$30:$F$32)</f>
        <v>0</v>
      </c>
      <c r="H218" s="103">
        <f>SUM($F$30:$F$32)+$J$51</f>
        <v>0</v>
      </c>
      <c r="I218" s="103">
        <f>SUM($F$30:$F$32)+$J$51+$J$60</f>
        <v>0</v>
      </c>
      <c r="J218" s="21">
        <f t="shared" si="22"/>
        <v>0</v>
      </c>
      <c r="K218" s="21">
        <f t="shared" si="23"/>
        <v>0</v>
      </c>
      <c r="L218" s="21">
        <f t="shared" si="24"/>
        <v>0</v>
      </c>
      <c r="M218" s="346" t="s">
        <v>662</v>
      </c>
      <c r="P218" s="44"/>
      <c r="Q218" s="44"/>
    </row>
    <row r="219" spans="1:33" ht="13.5" hidden="1" x14ac:dyDescent="0.15">
      <c r="A219" s="259">
        <v>78</v>
      </c>
      <c r="B219" s="345" t="s">
        <v>667</v>
      </c>
      <c r="C219" s="21" t="s">
        <v>613</v>
      </c>
      <c r="D219" s="104">
        <f>IF(ISERROR(HLOOKUP(J219,$Q$57:$AA$58,2)),0,HLOOKUP(J219,$Q$57:$AA$58,2))</f>
        <v>0</v>
      </c>
      <c r="E219" s="104">
        <f>IF(ISERROR(HLOOKUP(K219,$Q$57:$AA$58,2)),0,HLOOKUP(K219,$Q$57:$AA$58,2))</f>
        <v>0</v>
      </c>
      <c r="F219" s="104">
        <f>IF(ISERROR(HLOOKUP(L219,$Q$57:$AA$58,2)),0,HLOOKUP(L219,$Q$57:$AA$58,2))</f>
        <v>0</v>
      </c>
      <c r="G219" s="396">
        <f>SUM($F$29:$F$32)</f>
        <v>0</v>
      </c>
      <c r="H219" s="103">
        <f>SUM($F$29:$F$32)+$J$51</f>
        <v>0</v>
      </c>
      <c r="I219" s="103">
        <f>SUM($F$29:$F$32)+$J$51+$J$60</f>
        <v>0</v>
      </c>
      <c r="J219" s="21">
        <f t="shared" si="22"/>
        <v>0</v>
      </c>
      <c r="K219" s="21">
        <f t="shared" si="23"/>
        <v>0</v>
      </c>
      <c r="L219" s="21">
        <f t="shared" si="24"/>
        <v>0</v>
      </c>
      <c r="M219" s="346" t="s">
        <v>662</v>
      </c>
      <c r="P219" s="44"/>
      <c r="Q219" s="44"/>
    </row>
    <row r="220" spans="1:33" s="308" customFormat="1" ht="13.5" hidden="1" x14ac:dyDescent="0.15">
      <c r="A220" s="304">
        <v>79</v>
      </c>
      <c r="B220" s="349" t="s">
        <v>668</v>
      </c>
      <c r="C220" s="308" t="s">
        <v>613</v>
      </c>
      <c r="D220" s="305">
        <f>IF(ISERROR(HLOOKUP(J220,$Q$39:$AA$40,2)),0,HLOOKUP(J220,$Q$39:$AA$40,2))</f>
        <v>0</v>
      </c>
      <c r="E220" s="305">
        <f>IF(ISERROR(HLOOKUP(K220,$Q$39:$AA$40,2)),0,HLOOKUP(K220,$Q$39:$AA$40,2))</f>
        <v>0</v>
      </c>
      <c r="F220" s="305">
        <f>IF(ISERROR(HLOOKUP(L220,$Q$39:$AA$40,2)),0,HLOOKUP(L220,$Q$39:$AA$40,2))</f>
        <v>0</v>
      </c>
      <c r="G220" s="399">
        <f>$N$220+$F$33</f>
        <v>0</v>
      </c>
      <c r="H220" s="307">
        <f>$G$220+$J$51</f>
        <v>0</v>
      </c>
      <c r="I220" s="307">
        <f>$N$220+$J$51+$J$60</f>
        <v>0</v>
      </c>
      <c r="J220" s="308">
        <f t="shared" si="22"/>
        <v>0</v>
      </c>
      <c r="K220" s="308">
        <f t="shared" si="23"/>
        <v>0</v>
      </c>
      <c r="L220" s="308">
        <f t="shared" si="24"/>
        <v>0</v>
      </c>
      <c r="M220" s="352" t="s">
        <v>662</v>
      </c>
      <c r="N220" s="308">
        <f>IF($C$30&gt;=$A$36,$E$30-$C$30+1,IF($C$31&gt;=$A$36,$E$31-$C$31+1,IF($C$32&gt;=$A$36,$E$32-$C$32+1,IF($E$30&lt;&gt;0,$E$30-$A$36+1,IF($E$31&lt;&gt;0,$E$31-$A$36+1,IF($E$32&lt;&gt;0,$E$32-$A$36+1,0))))))</f>
        <v>0</v>
      </c>
      <c r="O220" s="309"/>
      <c r="P220" s="353"/>
      <c r="Q220" s="353"/>
      <c r="AD220" s="310"/>
      <c r="AE220" s="310"/>
      <c r="AF220" s="310"/>
    </row>
    <row r="221" spans="1:33" ht="13.5" hidden="1" x14ac:dyDescent="0.15">
      <c r="A221" s="259">
        <v>80</v>
      </c>
      <c r="B221" s="345" t="s">
        <v>669</v>
      </c>
      <c r="C221" s="21" t="s">
        <v>547</v>
      </c>
      <c r="D221" s="104">
        <f>IF(ISERROR(HLOOKUP(J221,$Q$73:$V$74,2)),0,HLOOKUP(J221,$Q$73:$V$74,2))</f>
        <v>0</v>
      </c>
      <c r="E221" s="104">
        <f>IF(ISERROR(HLOOKUP(K221,$Q$73:$V$74,2)),0,HLOOKUP(K221,$Q$73:$V$74,2))</f>
        <v>0</v>
      </c>
      <c r="F221" s="104">
        <f>IF(ISERROR(HLOOKUP(L221,$Q$73:$V$74,2)),0,HLOOKUP(L221,$Q$73:$V$74,2))</f>
        <v>0</v>
      </c>
      <c r="G221" s="396">
        <f>SUM($F$27:$F$32)</f>
        <v>0</v>
      </c>
      <c r="H221" s="103">
        <f>SUM($F$27:$F$32)+$J$51</f>
        <v>0</v>
      </c>
      <c r="I221" s="103">
        <f>SUM($F$27:$F$32)+$J$51+$J$60</f>
        <v>0</v>
      </c>
      <c r="J221" s="21">
        <f t="shared" si="22"/>
        <v>0</v>
      </c>
      <c r="K221" s="21">
        <f t="shared" si="23"/>
        <v>0</v>
      </c>
      <c r="L221" s="21">
        <f t="shared" si="24"/>
        <v>0</v>
      </c>
      <c r="M221" s="346" t="s">
        <v>662</v>
      </c>
      <c r="P221" s="44"/>
      <c r="Q221" s="44"/>
    </row>
    <row r="222" spans="1:33" ht="13.5" hidden="1" x14ac:dyDescent="0.15">
      <c r="A222" s="259" t="s">
        <v>703</v>
      </c>
      <c r="B222" s="345" t="s">
        <v>701</v>
      </c>
      <c r="C222" s="21" t="s">
        <v>702</v>
      </c>
      <c r="D222" s="148">
        <f>IF(J222&lt;=10,0.1,IF(J222&lt;=20,0.2,0.3))</f>
        <v>0.1</v>
      </c>
      <c r="E222" s="148">
        <f>IF(K222&lt;=10,0.1,IF(K222&lt;=20,0.2,0.3))</f>
        <v>0.1</v>
      </c>
      <c r="F222" s="148">
        <f>IF(L222&lt;=10,0.1,IF(L222&lt;=20,0.2,0.3))</f>
        <v>0.1</v>
      </c>
      <c r="G222" s="396">
        <f>SUM($F$30:$F$32)</f>
        <v>0</v>
      </c>
      <c r="H222" s="103">
        <f>SUM($F$30:$F$32)+$J$51</f>
        <v>0</v>
      </c>
      <c r="I222" s="103">
        <f>SUM($F$30:$F$32)+$J$51+$J$60</f>
        <v>0</v>
      </c>
      <c r="J222" s="21">
        <f t="shared" si="22"/>
        <v>0</v>
      </c>
      <c r="K222" s="21">
        <f t="shared" si="23"/>
        <v>0</v>
      </c>
      <c r="L222" s="21">
        <f t="shared" si="24"/>
        <v>0</v>
      </c>
      <c r="M222" s="346" t="s">
        <v>662</v>
      </c>
      <c r="P222" s="44"/>
      <c r="Q222" s="44"/>
    </row>
    <row r="223" spans="1:33" ht="13.5" hidden="1" x14ac:dyDescent="0.15">
      <c r="A223" s="259">
        <v>81</v>
      </c>
      <c r="B223" s="345" t="s">
        <v>670</v>
      </c>
      <c r="C223" s="21" t="s">
        <v>547</v>
      </c>
      <c r="D223" s="104">
        <f>IF(ISERROR(HLOOKUP(J223,$Q$73:$W$74,2)),0,HLOOKUP(J223,$Q$73:$W$74,2))</f>
        <v>0</v>
      </c>
      <c r="E223" s="104">
        <f>IF(ISERROR(HLOOKUP(K223,$Q$73:$W$74,2)),0,HLOOKUP(K223,$Q$73:$W$74,2))</f>
        <v>0</v>
      </c>
      <c r="F223" s="104">
        <f>IF(ISERROR(HLOOKUP(L223,$Q$73:$W$74,2)),0,HLOOKUP(L223,$Q$73:$W$74,2))</f>
        <v>0</v>
      </c>
      <c r="G223" s="396">
        <f>SUM($F$27:$F$33)</f>
        <v>0</v>
      </c>
      <c r="H223" s="103">
        <f>SUM($F$27:$F$33)+$J$51</f>
        <v>0</v>
      </c>
      <c r="I223" s="103">
        <f>SUM($F$27:$F$33)+$J$51+$J$60</f>
        <v>0</v>
      </c>
      <c r="J223" s="21">
        <f t="shared" si="22"/>
        <v>0</v>
      </c>
      <c r="K223" s="21">
        <f t="shared" si="23"/>
        <v>0</v>
      </c>
      <c r="L223" s="21">
        <f t="shared" si="24"/>
        <v>0</v>
      </c>
      <c r="M223" s="346" t="s">
        <v>662</v>
      </c>
      <c r="P223" s="44"/>
      <c r="Q223" s="44"/>
    </row>
    <row r="224" spans="1:33" ht="13.5" hidden="1" x14ac:dyDescent="0.15">
      <c r="A224" s="259">
        <v>82</v>
      </c>
      <c r="B224" s="345" t="s">
        <v>671</v>
      </c>
      <c r="C224" s="21" t="s">
        <v>613</v>
      </c>
      <c r="D224" s="104">
        <f>IF(ISERROR(HLOOKUP(J224,$Q$42:$AA$43,2)),0,HLOOKUP(J224,$Q$42:$AA$43,2))</f>
        <v>0</v>
      </c>
      <c r="E224" s="104">
        <f>IF(ISERROR(HLOOKUP(K224,$Q$42:$AA$43,2)),0,HLOOKUP(K224,$Q$42:$AA$43,2))</f>
        <v>0</v>
      </c>
      <c r="F224" s="104">
        <f>IF(ISERROR(HLOOKUP(L224,$Q$42:$AA$43,2)),0,HLOOKUP(L224,$Q$42:$AA$43,2))</f>
        <v>0</v>
      </c>
      <c r="G224" s="396">
        <f>SUM($F$30:$F$32)</f>
        <v>0</v>
      </c>
      <c r="H224" s="103">
        <f>SUM($F$30:$F$32)+$J$51</f>
        <v>0</v>
      </c>
      <c r="I224" s="103">
        <f>SUM($F$30:$F$32)+$J$51+$J$60</f>
        <v>0</v>
      </c>
      <c r="J224" s="21">
        <f t="shared" si="22"/>
        <v>0</v>
      </c>
      <c r="K224" s="21">
        <f t="shared" si="23"/>
        <v>0</v>
      </c>
      <c r="L224" s="21">
        <f t="shared" si="24"/>
        <v>0</v>
      </c>
      <c r="M224" s="346" t="s">
        <v>662</v>
      </c>
      <c r="P224" s="44"/>
      <c r="Q224" s="44"/>
    </row>
    <row r="225" spans="1:17" ht="13.5" hidden="1" x14ac:dyDescent="0.15">
      <c r="A225" s="259">
        <v>83</v>
      </c>
      <c r="B225" s="345" t="s">
        <v>672</v>
      </c>
      <c r="C225" s="21"/>
      <c r="E225" s="40"/>
      <c r="J225" s="21">
        <f t="shared" si="22"/>
        <v>0</v>
      </c>
      <c r="K225" s="21">
        <f t="shared" si="23"/>
        <v>0</v>
      </c>
      <c r="L225" s="21">
        <f t="shared" si="24"/>
        <v>0</v>
      </c>
      <c r="M225" s="346" t="s">
        <v>662</v>
      </c>
      <c r="P225" s="44"/>
      <c r="Q225" s="44"/>
    </row>
    <row r="226" spans="1:17" ht="13.5" hidden="1" x14ac:dyDescent="0.15">
      <c r="A226" s="259">
        <v>84</v>
      </c>
      <c r="B226" s="108" t="s">
        <v>673</v>
      </c>
      <c r="C226" s="21" t="s">
        <v>613</v>
      </c>
      <c r="D226" s="104">
        <f>IF(ISERROR(HLOOKUP(J226,$Q$48:$AB$49,2)),0,HLOOKUP(J226,$Q$48:$AB$49,2))</f>
        <v>0</v>
      </c>
      <c r="E226" s="104">
        <f>IF(ISERROR(HLOOKUP(K226,$Q$48:$AB$49,2)),0,HLOOKUP(K226,$Q$48:$AB$49,2))</f>
        <v>0</v>
      </c>
      <c r="F226" s="104">
        <f>IF(ISERROR(HLOOKUP(L226,$Q$48:$AB$49,2)),0,HLOOKUP(L226,$Q$48:$AB$49,2))</f>
        <v>0</v>
      </c>
      <c r="G226" s="396">
        <f>SUM($F$30:$F$32)</f>
        <v>0</v>
      </c>
      <c r="H226" s="103">
        <f>SUM($F$30:$F$32)+$J$51</f>
        <v>0</v>
      </c>
      <c r="I226" s="103">
        <f>SUM($F$30:$F$32)+$J$51+$J$60</f>
        <v>0</v>
      </c>
      <c r="J226" s="21">
        <f t="shared" si="22"/>
        <v>0</v>
      </c>
      <c r="K226" s="21">
        <f t="shared" si="23"/>
        <v>0</v>
      </c>
      <c r="L226" s="21">
        <f t="shared" si="24"/>
        <v>0</v>
      </c>
      <c r="M226" s="346" t="s">
        <v>662</v>
      </c>
      <c r="N226" s="104">
        <f>IF(ISERROR(HLOOKUP(L226,$Q$48:$AB$49,2)),0,HLOOKUP(L226,$Q$48:$AB$49,2))</f>
        <v>0</v>
      </c>
      <c r="P226" s="44"/>
      <c r="Q226" s="44"/>
    </row>
    <row r="227" spans="1:17" ht="13.5" hidden="1" x14ac:dyDescent="0.15">
      <c r="A227" s="259">
        <v>85</v>
      </c>
      <c r="B227" s="108" t="s">
        <v>674</v>
      </c>
      <c r="C227" s="21" t="s">
        <v>527</v>
      </c>
      <c r="D227" s="104">
        <f>IF(ISERROR(HLOOKUP(J227,$Q$35:$AY$36,2)),0,HLOOKUP(J227,$Q$35:$AY$36,2))</f>
        <v>0</v>
      </c>
      <c r="E227" s="104">
        <f>IF(ISERROR(HLOOKUP(K227,$Q$35:$AY$36,2)),0,HLOOKUP(K227,$Q$35:$AY$36,2))</f>
        <v>0</v>
      </c>
      <c r="F227" s="104">
        <f>IF(ISERROR(HLOOKUP(L227,$Q$35:$AY$36,2)),0,HLOOKUP(L227,$Q$35:$AY$36,2))</f>
        <v>0</v>
      </c>
      <c r="G227" s="396">
        <f>SUM($F$30:$F$32)</f>
        <v>0</v>
      </c>
      <c r="H227" s="103">
        <f>SUM($F$30:$F$32)+$J$51</f>
        <v>0</v>
      </c>
      <c r="I227" s="103">
        <f>SUM($F$30:$F$32)+$J$51+$J$60</f>
        <v>0</v>
      </c>
      <c r="J227" s="21">
        <f t="shared" ref="J227:J234" si="26">ROUNDDOWN(G227/365,0)</f>
        <v>0</v>
      </c>
      <c r="K227" s="21">
        <f t="shared" ref="K227:K234" si="27">ROUNDDOWN(H227/365,0)</f>
        <v>0</v>
      </c>
      <c r="L227" s="21">
        <f t="shared" ref="L227:L234" si="28">ROUNDDOWN(I227/365,0)</f>
        <v>0</v>
      </c>
      <c r="M227" s="346" t="s">
        <v>662</v>
      </c>
      <c r="P227" s="44"/>
      <c r="Q227" s="44"/>
    </row>
    <row r="228" spans="1:17" ht="13.5" hidden="1" x14ac:dyDescent="0.15">
      <c r="A228" s="259">
        <v>86</v>
      </c>
      <c r="B228" s="108" t="s">
        <v>675</v>
      </c>
      <c r="C228" s="21" t="s">
        <v>613</v>
      </c>
      <c r="D228" s="104">
        <f>IF(ISERROR(HLOOKUP(J228,$Q$60:$AC$61,2)),0,HLOOKUP(J228,$Q$60:$AC$61,2))</f>
        <v>0</v>
      </c>
      <c r="E228" s="104">
        <f>IF(ISERROR(HLOOKUP(K228,$Q$60:$AC$61,2)),0,HLOOKUP(K228,$Q$60:$AC$61,2))</f>
        <v>0</v>
      </c>
      <c r="F228" s="104">
        <f>IF(ISERROR(HLOOKUP(L228,$Q$60:$AC$61,2)),0,HLOOKUP(L228,$Q$60:$AC$61,2))</f>
        <v>0</v>
      </c>
      <c r="G228" s="396">
        <f>SUM($F$30:$F$32)</f>
        <v>0</v>
      </c>
      <c r="H228" s="103">
        <f>SUM($F$30:$F$32)+$J$51</f>
        <v>0</v>
      </c>
      <c r="I228" s="103">
        <f>SUM($F$30:$F$32)+$J$51+$J$60</f>
        <v>0</v>
      </c>
      <c r="J228" s="21">
        <f t="shared" si="26"/>
        <v>0</v>
      </c>
      <c r="K228" s="21">
        <f t="shared" si="27"/>
        <v>0</v>
      </c>
      <c r="L228" s="21">
        <f t="shared" si="28"/>
        <v>0</v>
      </c>
      <c r="M228" s="346" t="s">
        <v>662</v>
      </c>
      <c r="P228" s="44"/>
      <c r="Q228" s="44"/>
    </row>
    <row r="229" spans="1:17" ht="13.5" hidden="1" x14ac:dyDescent="0.15">
      <c r="A229" s="259">
        <v>87</v>
      </c>
      <c r="B229" s="108" t="s">
        <v>677</v>
      </c>
      <c r="C229" s="21"/>
      <c r="D229" s="21"/>
      <c r="J229" s="21">
        <f t="shared" si="26"/>
        <v>0</v>
      </c>
      <c r="K229" s="21">
        <f t="shared" si="27"/>
        <v>0</v>
      </c>
      <c r="L229" s="21">
        <f t="shared" si="28"/>
        <v>0</v>
      </c>
      <c r="M229" s="346" t="s">
        <v>662</v>
      </c>
      <c r="P229" s="44"/>
      <c r="Q229" s="44"/>
    </row>
    <row r="230" spans="1:17" ht="13.5" hidden="1" x14ac:dyDescent="0.15">
      <c r="A230" s="259">
        <v>88</v>
      </c>
      <c r="B230" s="108" t="s">
        <v>678</v>
      </c>
      <c r="C230" s="21" t="s">
        <v>613</v>
      </c>
      <c r="D230" s="104">
        <f>IF(ISERROR(HLOOKUP(J230,$Q$39:$AA$40,2)),0,HLOOKUP(J230,$Q$39:$AA$40,2))</f>
        <v>0</v>
      </c>
      <c r="E230" s="104">
        <f>IF(ISERROR(HLOOKUP(K230,$Q$39:$AA$40,2)),0,HLOOKUP(K230,$Q$39:$AA$40,2))</f>
        <v>0</v>
      </c>
      <c r="F230" s="104">
        <f>IF(ISERROR(HLOOKUP(L230,$Q$39:$AA$40,2)),0,HLOOKUP(L230,$Q$39:$AA$40,2))</f>
        <v>0</v>
      </c>
      <c r="G230" s="396">
        <f>SUM($F$27:$F$32)</f>
        <v>0</v>
      </c>
      <c r="H230" s="103">
        <f>SUM($F$27:$F$32)+$J$51</f>
        <v>0</v>
      </c>
      <c r="I230" s="103">
        <f>SUM($F$27:$F$32)+$J$51+$J$60</f>
        <v>0</v>
      </c>
      <c r="J230" s="21">
        <f t="shared" si="26"/>
        <v>0</v>
      </c>
      <c r="K230" s="21">
        <f t="shared" si="27"/>
        <v>0</v>
      </c>
      <c r="L230" s="21">
        <f t="shared" si="28"/>
        <v>0</v>
      </c>
      <c r="M230" s="346" t="s">
        <v>662</v>
      </c>
      <c r="P230" s="44"/>
      <c r="Q230" s="44"/>
    </row>
    <row r="231" spans="1:17" ht="13.5" hidden="1" x14ac:dyDescent="0.15">
      <c r="A231" s="259">
        <v>89</v>
      </c>
      <c r="B231" s="108" t="s">
        <v>679</v>
      </c>
      <c r="C231" s="21" t="s">
        <v>613</v>
      </c>
      <c r="D231" s="104">
        <f>IF(ISERROR(HLOOKUP(J231,$Q$48:$V$49,2)),0,HLOOKUP(J231,$Q$48:$V$49,2))</f>
        <v>0</v>
      </c>
      <c r="E231" s="104">
        <f>IF(ISERROR(HLOOKUP(K231,$Q$48:$V$49,2)),0,HLOOKUP(K231,$Q$48:$V$49,2))</f>
        <v>0</v>
      </c>
      <c r="F231" s="104">
        <f>IF(ISERROR(HLOOKUP(L231,$Q$48:$V$49,2)),0,HLOOKUP(L231,$Q$48:$V$49,2))</f>
        <v>0</v>
      </c>
      <c r="G231" s="396">
        <f>SUM($F$30:$F$32)</f>
        <v>0</v>
      </c>
      <c r="H231" s="103">
        <f>SUM($F$30:$F$32)+$J$51</f>
        <v>0</v>
      </c>
      <c r="I231" s="103">
        <f>SUM($F$30:$F$32)+$J$51+$J$60</f>
        <v>0</v>
      </c>
      <c r="J231" s="21">
        <f t="shared" si="26"/>
        <v>0</v>
      </c>
      <c r="K231" s="21">
        <f t="shared" si="27"/>
        <v>0</v>
      </c>
      <c r="L231" s="21">
        <f t="shared" si="28"/>
        <v>0</v>
      </c>
      <c r="M231" s="346" t="s">
        <v>662</v>
      </c>
      <c r="P231" s="44"/>
      <c r="Q231" s="44"/>
    </row>
    <row r="232" spans="1:17" ht="13.5" hidden="1" x14ac:dyDescent="0.15">
      <c r="A232" s="259">
        <v>90</v>
      </c>
      <c r="B232" s="108" t="s">
        <v>680</v>
      </c>
      <c r="C232" s="21" t="s">
        <v>527</v>
      </c>
      <c r="D232" s="104">
        <f>IF(ISERROR(HLOOKUP(J232,$Q$26:$AY$27,2)),0,HLOOKUP(J232,$Q$26:$AY$27,2))</f>
        <v>0</v>
      </c>
      <c r="E232" s="104">
        <f>IF(ISERROR(HLOOKUP(K232,$Q$26:$AY$27,2)),0,HLOOKUP(K232,$Q$26:$AY$27,2))</f>
        <v>0</v>
      </c>
      <c r="F232" s="104">
        <f>IF(ISERROR(HLOOKUP(L232,$Q$26:$AY$27,2)),0,HLOOKUP(L232,$Q$26:$AY$27,2))</f>
        <v>0</v>
      </c>
      <c r="G232" s="396">
        <f>SUM($F$30:$F$32)</f>
        <v>0</v>
      </c>
      <c r="H232" s="103">
        <f>SUM($F$30:$F$32)+$J$51</f>
        <v>0</v>
      </c>
      <c r="I232" s="103">
        <f>SUM($F$30:$F$32)+$J$51+$J$60</f>
        <v>0</v>
      </c>
      <c r="J232" s="21">
        <f t="shared" si="26"/>
        <v>0</v>
      </c>
      <c r="K232" s="21">
        <f t="shared" si="27"/>
        <v>0</v>
      </c>
      <c r="L232" s="21">
        <f t="shared" si="28"/>
        <v>0</v>
      </c>
      <c r="M232" s="346" t="s">
        <v>662</v>
      </c>
      <c r="P232" s="44"/>
      <c r="Q232" s="44"/>
    </row>
    <row r="233" spans="1:17" ht="13.5" hidden="1" x14ac:dyDescent="0.15">
      <c r="A233" s="259">
        <v>91</v>
      </c>
      <c r="B233" s="108" t="s">
        <v>681</v>
      </c>
      <c r="C233" s="21" t="s">
        <v>613</v>
      </c>
      <c r="D233" s="104">
        <f>IF(ISERROR(HLOOKUP(J233,$Q$42:$AA$43,2)),0,HLOOKUP(J233,$Q$42:$AA$43,2))</f>
        <v>0</v>
      </c>
      <c r="E233" s="104">
        <f>IF(ISERROR(HLOOKUP(K233,$Q$42:$AA$43,2)),0,HLOOKUP(K233,$Q$42:$AA$43,2))</f>
        <v>0</v>
      </c>
      <c r="F233" s="104">
        <f>IF(ISERROR(HLOOKUP(L233,$Q$42:$AA$43,2)),0,HLOOKUP(L233,$Q$42:$AA$43,2))</f>
        <v>0</v>
      </c>
      <c r="G233" s="396">
        <f>SUM($F$30:$F$32)</f>
        <v>0</v>
      </c>
      <c r="H233" s="103">
        <f>SUM($F$30:$F$32)+$J$51</f>
        <v>0</v>
      </c>
      <c r="I233" s="103">
        <f>SUM($F$30:$F$32)+$J$51+$J$60</f>
        <v>0</v>
      </c>
      <c r="J233" s="21">
        <f t="shared" si="26"/>
        <v>0</v>
      </c>
      <c r="K233" s="21">
        <f t="shared" si="27"/>
        <v>0</v>
      </c>
      <c r="L233" s="21">
        <f t="shared" si="28"/>
        <v>0</v>
      </c>
      <c r="M233" s="346" t="s">
        <v>662</v>
      </c>
      <c r="P233" s="44"/>
      <c r="Q233" s="44"/>
    </row>
    <row r="234" spans="1:17" ht="13.5" hidden="1" x14ac:dyDescent="0.15">
      <c r="A234" s="259">
        <v>92</v>
      </c>
      <c r="B234" s="108" t="s">
        <v>682</v>
      </c>
      <c r="C234" s="21" t="s">
        <v>613</v>
      </c>
      <c r="D234" s="104">
        <f>IF(ISERROR(HLOOKUP(J234,$Q$42:$Z$43,2)),0,HLOOKUP(J234,$Q$42:$Z$43,2))</f>
        <v>0</v>
      </c>
      <c r="E234" s="104">
        <f>IF(ISERROR(HLOOKUP(K234,$Q$42:$Z$43,2)),0,HLOOKUP(K234,$Q$42:$Z$43,2))</f>
        <v>0</v>
      </c>
      <c r="F234" s="104">
        <f>IF(ISERROR(HLOOKUP(L234,$Q$42:$Z$43,2)),0,HLOOKUP(L234,$Q$42:$Z$43,2))</f>
        <v>0</v>
      </c>
      <c r="G234" s="396">
        <f>SUM($F$30:$F$32)</f>
        <v>0</v>
      </c>
      <c r="H234" s="103">
        <f>SUM($F$30:$F$32)+$J$51</f>
        <v>0</v>
      </c>
      <c r="I234" s="103">
        <f>SUM($F$30:$F$32)+$J$51+$J$60</f>
        <v>0</v>
      </c>
      <c r="J234" s="21">
        <f t="shared" si="26"/>
        <v>0</v>
      </c>
      <c r="K234" s="21">
        <f t="shared" si="27"/>
        <v>0</v>
      </c>
      <c r="L234" s="21">
        <f t="shared" si="28"/>
        <v>0</v>
      </c>
      <c r="M234" s="346" t="s">
        <v>662</v>
      </c>
      <c r="P234" s="44"/>
      <c r="Q234" s="44"/>
    </row>
    <row r="235" spans="1:17" ht="13.5" hidden="1" x14ac:dyDescent="0.15">
      <c r="B235" s="10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357"/>
      <c r="N235" s="54"/>
      <c r="O235" s="258"/>
      <c r="P235" s="44"/>
      <c r="Q235" s="44"/>
    </row>
    <row r="236" spans="1:17" ht="13.5" hidden="1" x14ac:dyDescent="0.15">
      <c r="B236" s="248" t="s">
        <v>720</v>
      </c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258"/>
    </row>
    <row r="237" spans="1:17" ht="13.5" hidden="1" x14ac:dyDescent="0.15">
      <c r="A237" s="259">
        <v>1</v>
      </c>
      <c r="B237" s="51" t="s">
        <v>550</v>
      </c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258"/>
    </row>
    <row r="238" spans="1:17" ht="13.5" hidden="1" x14ac:dyDescent="0.15">
      <c r="A238" s="259" t="s">
        <v>721</v>
      </c>
      <c r="B238" s="51" t="s">
        <v>615</v>
      </c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58"/>
    </row>
    <row r="239" spans="1:17" ht="13.5" hidden="1" x14ac:dyDescent="0.15">
      <c r="A239" s="259">
        <v>2</v>
      </c>
      <c r="B239" s="338" t="s">
        <v>617</v>
      </c>
      <c r="C239" s="109"/>
      <c r="D239" s="109"/>
      <c r="E239" s="110"/>
      <c r="F239" s="358"/>
      <c r="G239" s="111"/>
      <c r="H239" s="111"/>
      <c r="I239" s="111"/>
      <c r="J239" s="46"/>
      <c r="K239" s="46"/>
      <c r="L239" s="46"/>
      <c r="M239" s="46"/>
      <c r="N239" s="9"/>
      <c r="O239" s="258"/>
    </row>
    <row r="240" spans="1:17" ht="13.5" hidden="1" x14ac:dyDescent="0.15">
      <c r="A240" s="259">
        <v>3</v>
      </c>
      <c r="B240" s="345" t="s">
        <v>645</v>
      </c>
      <c r="C240" s="104"/>
      <c r="D240" s="105"/>
      <c r="E240" s="106"/>
      <c r="F240" s="47"/>
      <c r="G240" s="47"/>
      <c r="H240" s="47"/>
      <c r="I240" s="47"/>
      <c r="J240" s="46"/>
      <c r="K240" s="46"/>
      <c r="L240" s="46"/>
      <c r="M240" s="46"/>
      <c r="N240" s="46"/>
      <c r="O240" s="258"/>
    </row>
    <row r="241" spans="1:40" ht="13.5" hidden="1" x14ac:dyDescent="0.15">
      <c r="A241" s="259">
        <v>4</v>
      </c>
      <c r="B241" s="338" t="s">
        <v>618</v>
      </c>
      <c r="C241" s="104"/>
      <c r="D241" s="104"/>
      <c r="E241" s="104"/>
      <c r="F241" s="112"/>
      <c r="G241" s="112"/>
      <c r="H241" s="112"/>
      <c r="I241" s="112"/>
      <c r="J241" s="46"/>
      <c r="K241" s="46"/>
      <c r="L241" s="46"/>
      <c r="M241" s="46"/>
      <c r="N241" s="46"/>
      <c r="O241" s="258"/>
    </row>
    <row r="242" spans="1:40" ht="13.5" hidden="1" x14ac:dyDescent="0.15">
      <c r="A242" s="259">
        <v>5</v>
      </c>
      <c r="B242" s="345" t="s">
        <v>646</v>
      </c>
      <c r="C242" s="104"/>
      <c r="D242" s="104"/>
      <c r="E242" s="104"/>
      <c r="F242" s="112"/>
      <c r="G242" s="112"/>
      <c r="H242" s="112"/>
      <c r="I242" s="112"/>
      <c r="J242" s="46"/>
      <c r="K242" s="46"/>
      <c r="L242" s="46"/>
      <c r="M242" s="46"/>
      <c r="N242" s="46"/>
      <c r="O242" s="258"/>
    </row>
    <row r="243" spans="1:40" ht="13.5" hidden="1" x14ac:dyDescent="0.15">
      <c r="A243" s="259">
        <v>6</v>
      </c>
      <c r="B243" s="345" t="s">
        <v>647</v>
      </c>
      <c r="C243" s="104"/>
      <c r="D243" s="104"/>
      <c r="E243" s="104"/>
      <c r="F243" s="112"/>
      <c r="G243" s="112"/>
      <c r="H243" s="112"/>
      <c r="I243" s="112"/>
      <c r="J243" s="46"/>
      <c r="K243" s="46"/>
      <c r="L243" s="46"/>
      <c r="M243" s="46"/>
      <c r="N243" s="46"/>
      <c r="O243" s="258"/>
    </row>
    <row r="244" spans="1:40" ht="13.5" hidden="1" x14ac:dyDescent="0.15">
      <c r="A244" s="259">
        <v>7</v>
      </c>
      <c r="B244" s="51" t="s">
        <v>551</v>
      </c>
      <c r="C244" s="104"/>
      <c r="D244" s="104"/>
      <c r="E244" s="104"/>
      <c r="F244" s="112"/>
      <c r="G244" s="112"/>
      <c r="H244" s="112"/>
      <c r="I244" s="112"/>
      <c r="J244" s="46"/>
      <c r="K244" s="46"/>
      <c r="L244" s="46"/>
      <c r="M244" s="46"/>
      <c r="N244" s="46"/>
      <c r="O244" s="258"/>
    </row>
    <row r="245" spans="1:40" ht="13.5" hidden="1" x14ac:dyDescent="0.15">
      <c r="A245" s="259">
        <v>8</v>
      </c>
      <c r="B245" s="51" t="s">
        <v>552</v>
      </c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258"/>
    </row>
    <row r="246" spans="1:40" ht="13.5" hidden="1" x14ac:dyDescent="0.15">
      <c r="A246" s="259">
        <v>9</v>
      </c>
      <c r="B246" s="51" t="s">
        <v>553</v>
      </c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58"/>
      <c r="AH246" s="69"/>
      <c r="AI246" s="69"/>
      <c r="AJ246" s="69"/>
      <c r="AK246" s="69"/>
      <c r="AL246" s="69"/>
      <c r="AM246" s="69"/>
      <c r="AN246" s="69"/>
    </row>
    <row r="247" spans="1:40" ht="13.5" hidden="1" x14ac:dyDescent="0.15">
      <c r="A247" s="259" t="s">
        <v>722</v>
      </c>
      <c r="B247" s="51" t="s">
        <v>616</v>
      </c>
      <c r="C247" s="109"/>
      <c r="D247" s="109"/>
      <c r="E247" s="110"/>
      <c r="F247" s="358"/>
      <c r="G247" s="111"/>
      <c r="H247" s="111"/>
      <c r="I247" s="111"/>
      <c r="J247" s="46"/>
      <c r="K247" s="46"/>
      <c r="L247" s="46"/>
      <c r="M247" s="46"/>
      <c r="N247" s="9"/>
      <c r="O247" s="258"/>
      <c r="AH247" s="69"/>
      <c r="AI247" s="69"/>
      <c r="AJ247" s="69"/>
      <c r="AK247" s="69"/>
      <c r="AL247" s="69"/>
      <c r="AM247" s="69"/>
      <c r="AN247" s="69"/>
    </row>
    <row r="248" spans="1:40" ht="13.5" hidden="1" x14ac:dyDescent="0.15">
      <c r="A248" s="259">
        <v>10</v>
      </c>
      <c r="B248" s="338" t="s">
        <v>619</v>
      </c>
      <c r="C248" s="104"/>
      <c r="D248" s="105"/>
      <c r="E248" s="106"/>
      <c r="F248" s="46"/>
      <c r="G248" s="46"/>
      <c r="H248" s="46"/>
      <c r="I248" s="46"/>
      <c r="J248" s="46"/>
      <c r="K248" s="46"/>
      <c r="L248" s="46"/>
      <c r="M248" s="46"/>
      <c r="N248" s="46"/>
      <c r="O248" s="258"/>
      <c r="AH248" s="69"/>
      <c r="AI248" s="69"/>
      <c r="AJ248" s="69"/>
      <c r="AK248" s="69"/>
      <c r="AL248" s="69"/>
      <c r="AM248" s="69"/>
      <c r="AN248" s="69"/>
    </row>
    <row r="249" spans="1:40" ht="13.5" hidden="1" x14ac:dyDescent="0.15">
      <c r="A249" s="259">
        <v>11</v>
      </c>
      <c r="B249" s="345" t="s">
        <v>648</v>
      </c>
      <c r="C249" s="104"/>
      <c r="D249" s="105"/>
      <c r="E249" s="106"/>
      <c r="F249" s="47"/>
      <c r="G249" s="47"/>
      <c r="H249" s="47"/>
      <c r="I249" s="47"/>
      <c r="J249" s="46"/>
      <c r="K249" s="46"/>
      <c r="L249" s="46"/>
      <c r="M249" s="46"/>
      <c r="N249" s="46"/>
      <c r="O249" s="258"/>
      <c r="AH249" s="69"/>
      <c r="AI249" s="69"/>
      <c r="AJ249" s="69"/>
      <c r="AK249" s="69"/>
      <c r="AL249" s="69"/>
      <c r="AM249" s="69"/>
      <c r="AN249" s="69"/>
    </row>
    <row r="250" spans="1:40" ht="13.5" hidden="1" x14ac:dyDescent="0.15">
      <c r="A250" s="259">
        <v>12</v>
      </c>
      <c r="B250" s="345" t="s">
        <v>649</v>
      </c>
      <c r="C250" s="104"/>
      <c r="D250" s="105"/>
      <c r="E250" s="106"/>
      <c r="F250" s="47"/>
      <c r="G250" s="111"/>
      <c r="H250" s="47"/>
      <c r="I250" s="47"/>
      <c r="J250" s="46"/>
      <c r="K250" s="46"/>
      <c r="L250" s="46"/>
      <c r="M250" s="46"/>
      <c r="N250" s="46"/>
      <c r="O250" s="258"/>
      <c r="AH250" s="69"/>
      <c r="AI250" s="69"/>
      <c r="AJ250" s="69"/>
      <c r="AK250" s="69"/>
      <c r="AL250" s="69"/>
      <c r="AM250" s="69"/>
      <c r="AN250" s="69"/>
    </row>
    <row r="251" spans="1:40" ht="13.5" hidden="1" x14ac:dyDescent="0.15">
      <c r="A251" s="259">
        <v>13</v>
      </c>
      <c r="B251" s="338" t="s">
        <v>620</v>
      </c>
      <c r="C251" s="104"/>
      <c r="D251" s="105"/>
      <c r="E251" s="106"/>
      <c r="F251" s="47"/>
      <c r="G251" s="111"/>
      <c r="H251" s="47"/>
      <c r="I251" s="47"/>
      <c r="J251" s="46"/>
      <c r="K251" s="46"/>
      <c r="L251" s="46"/>
      <c r="M251" s="46"/>
      <c r="N251" s="46"/>
      <c r="O251" s="258"/>
    </row>
    <row r="252" spans="1:40" ht="13.5" hidden="1" x14ac:dyDescent="0.15">
      <c r="A252" s="259">
        <v>14</v>
      </c>
      <c r="B252" s="345" t="s">
        <v>650</v>
      </c>
      <c r="C252" s="104"/>
      <c r="D252" s="105"/>
      <c r="E252" s="106"/>
      <c r="F252" s="47"/>
      <c r="G252" s="111"/>
      <c r="H252" s="47"/>
      <c r="I252" s="47"/>
      <c r="J252" s="46"/>
      <c r="K252" s="46"/>
      <c r="L252" s="46"/>
      <c r="M252" s="46"/>
      <c r="N252" s="46"/>
      <c r="O252" s="258"/>
    </row>
    <row r="253" spans="1:40" ht="13.5" hidden="1" x14ac:dyDescent="0.15">
      <c r="A253" s="259">
        <v>15</v>
      </c>
      <c r="B253" s="345" t="s">
        <v>651</v>
      </c>
      <c r="C253" s="104"/>
      <c r="D253" s="105"/>
      <c r="E253" s="106"/>
      <c r="F253" s="47"/>
      <c r="G253" s="111"/>
      <c r="H253" s="47"/>
      <c r="I253" s="47"/>
      <c r="J253" s="46"/>
      <c r="K253" s="46"/>
      <c r="L253" s="46"/>
      <c r="M253" s="46"/>
      <c r="N253" s="46"/>
      <c r="O253" s="258"/>
    </row>
    <row r="254" spans="1:40" ht="13.5" hidden="1" x14ac:dyDescent="0.15">
      <c r="A254" s="259">
        <v>16</v>
      </c>
      <c r="B254" s="339" t="s">
        <v>621</v>
      </c>
      <c r="C254" s="104"/>
      <c r="D254" s="105"/>
      <c r="E254" s="106"/>
      <c r="F254" s="112"/>
      <c r="G254" s="112"/>
      <c r="H254" s="112"/>
      <c r="I254" s="112"/>
      <c r="J254" s="46"/>
      <c r="K254" s="46"/>
      <c r="L254" s="46"/>
      <c r="M254" s="46"/>
      <c r="N254" s="46"/>
      <c r="O254" s="258"/>
    </row>
    <row r="255" spans="1:40" ht="13.5" hidden="1" x14ac:dyDescent="0.15">
      <c r="A255" s="259">
        <v>17</v>
      </c>
      <c r="B255" s="345" t="s">
        <v>652</v>
      </c>
      <c r="C255" s="104"/>
      <c r="D255" s="105"/>
      <c r="E255" s="106"/>
      <c r="F255" s="112"/>
      <c r="G255" s="112"/>
      <c r="H255" s="112"/>
      <c r="I255" s="112"/>
      <c r="J255" s="46"/>
      <c r="K255" s="46"/>
      <c r="L255" s="46"/>
      <c r="M255" s="46"/>
      <c r="N255" s="46"/>
      <c r="O255" s="258"/>
    </row>
    <row r="256" spans="1:40" ht="13.5" hidden="1" x14ac:dyDescent="0.15">
      <c r="A256" s="259">
        <v>18</v>
      </c>
      <c r="B256" s="345" t="s">
        <v>653</v>
      </c>
      <c r="C256" s="104"/>
      <c r="D256" s="104"/>
      <c r="E256" s="104"/>
      <c r="F256" s="112"/>
      <c r="G256" s="112"/>
      <c r="H256" s="112"/>
      <c r="I256" s="112"/>
      <c r="J256" s="46"/>
      <c r="K256" s="46"/>
      <c r="L256" s="46"/>
      <c r="M256" s="46"/>
      <c r="N256" s="46"/>
      <c r="O256" s="258"/>
    </row>
    <row r="257" spans="1:15" ht="13.5" hidden="1" x14ac:dyDescent="0.15">
      <c r="A257" s="259">
        <v>19</v>
      </c>
      <c r="B257" s="340" t="s">
        <v>622</v>
      </c>
      <c r="C257" s="104"/>
      <c r="D257" s="104"/>
      <c r="E257" s="104"/>
      <c r="F257" s="112"/>
      <c r="G257" s="112"/>
      <c r="H257" s="112"/>
      <c r="I257" s="112"/>
      <c r="J257" s="46"/>
      <c r="K257" s="46"/>
      <c r="L257" s="46"/>
      <c r="M257" s="46"/>
      <c r="N257" s="46"/>
      <c r="O257" s="258"/>
    </row>
    <row r="258" spans="1:15" ht="13.5" hidden="1" x14ac:dyDescent="0.15">
      <c r="A258" s="259">
        <v>20</v>
      </c>
      <c r="B258" s="345" t="s">
        <v>654</v>
      </c>
      <c r="C258" s="104"/>
      <c r="D258" s="104"/>
      <c r="E258" s="104"/>
      <c r="F258" s="112"/>
      <c r="G258" s="112"/>
      <c r="H258" s="112"/>
      <c r="I258" s="112"/>
      <c r="J258" s="46"/>
      <c r="K258" s="46"/>
      <c r="L258" s="46"/>
      <c r="M258" s="46"/>
      <c r="N258" s="46"/>
      <c r="O258" s="258"/>
    </row>
    <row r="259" spans="1:15" ht="13.5" hidden="1" x14ac:dyDescent="0.15">
      <c r="A259" s="259">
        <v>21</v>
      </c>
      <c r="B259" s="340" t="s">
        <v>623</v>
      </c>
      <c r="C259" s="104"/>
      <c r="D259" s="104"/>
      <c r="E259" s="104"/>
      <c r="F259" s="112"/>
      <c r="G259" s="112"/>
      <c r="H259" s="112"/>
      <c r="I259" s="112"/>
      <c r="J259" s="46"/>
      <c r="K259" s="46"/>
      <c r="L259" s="46"/>
      <c r="M259" s="46"/>
      <c r="N259" s="46"/>
      <c r="O259" s="258"/>
    </row>
    <row r="260" spans="1:15" ht="13.5" hidden="1" x14ac:dyDescent="0.15">
      <c r="A260" s="259">
        <v>22</v>
      </c>
      <c r="B260" s="345" t="s">
        <v>655</v>
      </c>
      <c r="C260" s="104"/>
      <c r="D260" s="104"/>
      <c r="E260" s="104"/>
      <c r="F260" s="112"/>
      <c r="G260" s="112"/>
      <c r="H260" s="112"/>
      <c r="I260" s="112"/>
      <c r="J260" s="46"/>
      <c r="K260" s="46"/>
      <c r="L260" s="46"/>
      <c r="M260" s="46"/>
      <c r="N260" s="46"/>
      <c r="O260" s="258"/>
    </row>
    <row r="261" spans="1:15" ht="13.5" hidden="1" x14ac:dyDescent="0.15">
      <c r="A261" s="259">
        <v>23</v>
      </c>
      <c r="B261" s="340" t="s">
        <v>624</v>
      </c>
      <c r="C261" s="104"/>
      <c r="D261" s="104"/>
      <c r="E261" s="104"/>
      <c r="F261" s="112"/>
      <c r="G261" s="112"/>
      <c r="H261" s="112"/>
      <c r="I261" s="112"/>
      <c r="J261" s="46"/>
      <c r="K261" s="46"/>
      <c r="L261" s="46"/>
      <c r="M261" s="46"/>
      <c r="N261" s="46"/>
      <c r="O261" s="258"/>
    </row>
    <row r="262" spans="1:15" ht="13.5" hidden="1" x14ac:dyDescent="0.15">
      <c r="A262" s="259">
        <v>24</v>
      </c>
      <c r="B262" s="340" t="s">
        <v>625</v>
      </c>
      <c r="C262" s="104"/>
      <c r="D262" s="104"/>
      <c r="E262" s="104"/>
      <c r="F262" s="112"/>
      <c r="G262" s="112"/>
      <c r="H262" s="112"/>
      <c r="I262" s="112"/>
      <c r="J262" s="46"/>
      <c r="K262" s="46"/>
      <c r="L262" s="46"/>
      <c r="M262" s="46"/>
      <c r="N262" s="46"/>
      <c r="O262" s="258"/>
    </row>
    <row r="263" spans="1:15" ht="13.5" hidden="1" x14ac:dyDescent="0.15">
      <c r="A263" s="259">
        <v>25</v>
      </c>
      <c r="B263" s="340" t="s">
        <v>626</v>
      </c>
      <c r="C263" s="104"/>
      <c r="D263" s="104"/>
      <c r="E263" s="104"/>
      <c r="F263" s="112"/>
      <c r="G263" s="112"/>
      <c r="H263" s="112"/>
      <c r="I263" s="112"/>
      <c r="J263" s="46"/>
      <c r="K263" s="46"/>
      <c r="L263" s="46"/>
      <c r="M263" s="46"/>
      <c r="N263" s="46"/>
      <c r="O263" s="258"/>
    </row>
    <row r="264" spans="1:15" ht="13.5" hidden="1" x14ac:dyDescent="0.15">
      <c r="A264" s="259">
        <v>26</v>
      </c>
      <c r="B264" s="51" t="s">
        <v>556</v>
      </c>
      <c r="C264" s="104"/>
      <c r="D264" s="104"/>
      <c r="E264" s="104"/>
      <c r="F264" s="112"/>
      <c r="G264" s="112"/>
      <c r="H264" s="112"/>
      <c r="I264" s="112"/>
      <c r="J264" s="46"/>
      <c r="K264" s="46"/>
      <c r="L264" s="46"/>
      <c r="M264" s="46"/>
      <c r="N264" s="46"/>
      <c r="O264" s="258"/>
    </row>
    <row r="265" spans="1:15" ht="13.5" hidden="1" x14ac:dyDescent="0.15">
      <c r="A265" s="259">
        <v>27</v>
      </c>
      <c r="B265" s="107" t="s">
        <v>549</v>
      </c>
      <c r="C265" s="104"/>
      <c r="D265" s="104"/>
      <c r="E265" s="104"/>
      <c r="F265" s="112"/>
      <c r="G265" s="112"/>
      <c r="H265" s="112"/>
      <c r="I265" s="112"/>
      <c r="J265" s="46"/>
      <c r="K265" s="46"/>
      <c r="L265" s="46"/>
      <c r="M265" s="46"/>
      <c r="N265" s="46"/>
      <c r="O265" s="258"/>
    </row>
    <row r="266" spans="1:15" ht="13.5" hidden="1" x14ac:dyDescent="0.15">
      <c r="A266" s="259">
        <v>28</v>
      </c>
      <c r="B266" s="340" t="s">
        <v>627</v>
      </c>
      <c r="C266" s="359"/>
      <c r="D266" s="111"/>
      <c r="E266" s="360"/>
      <c r="F266" s="112"/>
      <c r="G266" s="112"/>
      <c r="H266" s="112"/>
      <c r="I266" s="112"/>
      <c r="J266" s="46"/>
      <c r="K266" s="46"/>
      <c r="L266" s="46"/>
      <c r="M266" s="46"/>
      <c r="N266" s="361"/>
      <c r="O266" s="258"/>
    </row>
    <row r="267" spans="1:15" ht="13.5" hidden="1" x14ac:dyDescent="0.15">
      <c r="A267" s="259">
        <v>29</v>
      </c>
      <c r="B267" s="345" t="s">
        <v>663</v>
      </c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58"/>
    </row>
    <row r="268" spans="1:15" ht="13.5" hidden="1" x14ac:dyDescent="0.15">
      <c r="A268" s="259">
        <v>30</v>
      </c>
      <c r="B268" s="340" t="s">
        <v>628</v>
      </c>
      <c r="C268" s="109"/>
      <c r="D268" s="109"/>
      <c r="E268" s="110"/>
      <c r="F268" s="358"/>
      <c r="G268" s="111"/>
      <c r="H268" s="111"/>
      <c r="I268" s="111"/>
      <c r="J268" s="46"/>
      <c r="K268" s="46"/>
      <c r="L268" s="46"/>
      <c r="M268" s="46"/>
      <c r="N268" s="9"/>
      <c r="O268" s="258"/>
    </row>
    <row r="269" spans="1:15" ht="13.5" hidden="1" x14ac:dyDescent="0.15">
      <c r="A269" s="259">
        <v>31</v>
      </c>
      <c r="B269" s="51" t="s">
        <v>557</v>
      </c>
      <c r="C269" s="104"/>
      <c r="D269" s="105"/>
      <c r="E269" s="106"/>
      <c r="F269" s="112"/>
      <c r="G269" s="112"/>
      <c r="H269" s="112"/>
      <c r="I269" s="112"/>
      <c r="J269" s="46"/>
      <c r="K269" s="46"/>
      <c r="L269" s="46"/>
      <c r="M269" s="46"/>
      <c r="N269" s="46"/>
      <c r="O269" s="258"/>
    </row>
    <row r="270" spans="1:15" ht="13.5" hidden="1" x14ac:dyDescent="0.15">
      <c r="A270" s="259" t="s">
        <v>723</v>
      </c>
      <c r="B270" s="51" t="s">
        <v>614</v>
      </c>
      <c r="C270" s="104"/>
      <c r="D270" s="105"/>
      <c r="E270" s="106"/>
      <c r="F270" s="112"/>
      <c r="G270" s="112"/>
      <c r="H270" s="112"/>
      <c r="I270" s="112"/>
      <c r="J270" s="46"/>
      <c r="K270" s="46"/>
      <c r="L270" s="46"/>
      <c r="M270" s="46"/>
      <c r="N270" s="46"/>
      <c r="O270" s="258"/>
    </row>
    <row r="271" spans="1:15" ht="13.5" hidden="1" x14ac:dyDescent="0.15">
      <c r="A271" s="259">
        <v>32</v>
      </c>
      <c r="B271" s="345" t="s">
        <v>664</v>
      </c>
      <c r="C271" s="104"/>
      <c r="D271" s="105"/>
      <c r="E271" s="106"/>
      <c r="F271" s="112"/>
      <c r="G271" s="112"/>
      <c r="H271" s="112"/>
      <c r="I271" s="112"/>
      <c r="J271" s="46"/>
      <c r="K271" s="46"/>
      <c r="L271" s="46"/>
      <c r="M271" s="46"/>
      <c r="N271" s="46"/>
      <c r="O271" s="258"/>
    </row>
    <row r="272" spans="1:15" ht="13.5" hidden="1" x14ac:dyDescent="0.15">
      <c r="A272" s="259">
        <v>33</v>
      </c>
      <c r="B272" s="340" t="s">
        <v>629</v>
      </c>
      <c r="C272" s="104"/>
      <c r="D272" s="105"/>
      <c r="E272" s="106"/>
      <c r="F272" s="112"/>
      <c r="G272" s="112"/>
      <c r="H272" s="112"/>
      <c r="I272" s="112"/>
      <c r="J272" s="46"/>
      <c r="K272" s="46"/>
      <c r="L272" s="46"/>
      <c r="M272" s="46"/>
      <c r="N272" s="46"/>
      <c r="O272" s="258"/>
    </row>
    <row r="273" spans="1:15" ht="13.5" hidden="1" x14ac:dyDescent="0.15">
      <c r="A273" s="259">
        <v>34</v>
      </c>
      <c r="B273" s="345" t="s">
        <v>665</v>
      </c>
      <c r="C273" s="104"/>
      <c r="D273" s="105"/>
      <c r="E273" s="106"/>
      <c r="F273" s="112"/>
      <c r="G273" s="112"/>
      <c r="H273" s="112"/>
      <c r="I273" s="112"/>
      <c r="J273" s="46"/>
      <c r="K273" s="46"/>
      <c r="L273" s="46"/>
      <c r="M273" s="46"/>
      <c r="N273" s="46"/>
      <c r="O273" s="258"/>
    </row>
    <row r="274" spans="1:15" ht="13.5" hidden="1" x14ac:dyDescent="0.15">
      <c r="A274" s="259">
        <v>35</v>
      </c>
      <c r="B274" s="51" t="s">
        <v>559</v>
      </c>
      <c r="C274" s="104"/>
      <c r="D274" s="104"/>
      <c r="E274" s="104"/>
      <c r="F274" s="112"/>
      <c r="G274" s="112"/>
      <c r="H274" s="112"/>
      <c r="I274" s="112"/>
      <c r="J274" s="46"/>
      <c r="K274" s="46"/>
      <c r="L274" s="46"/>
      <c r="M274" s="46"/>
      <c r="N274" s="46"/>
      <c r="O274" s="258"/>
    </row>
    <row r="275" spans="1:15" ht="13.5" hidden="1" x14ac:dyDescent="0.15">
      <c r="A275" s="259">
        <v>36</v>
      </c>
      <c r="B275" s="51" t="s">
        <v>560</v>
      </c>
      <c r="C275" s="104"/>
      <c r="D275" s="104"/>
      <c r="E275" s="104"/>
      <c r="F275" s="112"/>
      <c r="G275" s="112"/>
      <c r="H275" s="112"/>
      <c r="I275" s="112"/>
      <c r="J275" s="46"/>
      <c r="K275" s="46"/>
      <c r="L275" s="46"/>
      <c r="M275" s="46"/>
      <c r="N275" s="46"/>
      <c r="O275" s="258"/>
    </row>
    <row r="276" spans="1:15" ht="13.5" hidden="1" x14ac:dyDescent="0.15">
      <c r="A276" s="259">
        <v>37</v>
      </c>
      <c r="B276" s="345" t="s">
        <v>689</v>
      </c>
      <c r="C276" s="104"/>
      <c r="D276" s="104"/>
      <c r="E276" s="104"/>
      <c r="F276" s="112"/>
      <c r="G276" s="112"/>
      <c r="H276" s="112"/>
      <c r="I276" s="112"/>
      <c r="J276" s="46"/>
      <c r="K276" s="46"/>
      <c r="L276" s="46"/>
      <c r="M276" s="46"/>
      <c r="N276" s="46"/>
      <c r="O276" s="258"/>
    </row>
    <row r="277" spans="1:15" ht="13.5" hidden="1" x14ac:dyDescent="0.15">
      <c r="A277" s="259">
        <v>38</v>
      </c>
      <c r="B277" s="345" t="s">
        <v>666</v>
      </c>
      <c r="C277" s="104"/>
      <c r="D277" s="104"/>
      <c r="E277" s="104"/>
      <c r="F277" s="112"/>
      <c r="G277" s="112"/>
      <c r="H277" s="112"/>
      <c r="I277" s="112"/>
      <c r="J277" s="46"/>
      <c r="K277" s="46"/>
      <c r="L277" s="46"/>
      <c r="M277" s="46"/>
      <c r="N277" s="46"/>
      <c r="O277" s="258"/>
    </row>
    <row r="278" spans="1:15" ht="13.5" hidden="1" x14ac:dyDescent="0.15">
      <c r="A278" s="259">
        <v>39</v>
      </c>
      <c r="B278" s="340" t="s">
        <v>630</v>
      </c>
      <c r="C278" s="104"/>
      <c r="D278" s="104"/>
      <c r="E278" s="104"/>
      <c r="F278" s="112"/>
      <c r="G278" s="112"/>
      <c r="H278" s="112"/>
      <c r="I278" s="112"/>
      <c r="J278" s="46"/>
      <c r="K278" s="46"/>
      <c r="L278" s="46"/>
      <c r="M278" s="46"/>
      <c r="N278" s="46"/>
      <c r="O278" s="258"/>
    </row>
    <row r="279" spans="1:15" ht="13.5" hidden="1" x14ac:dyDescent="0.15">
      <c r="A279" s="259">
        <v>40</v>
      </c>
      <c r="B279" s="340" t="s">
        <v>631</v>
      </c>
      <c r="C279" s="9"/>
      <c r="D279" s="9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258"/>
    </row>
    <row r="280" spans="1:15" ht="13.5" hidden="1" x14ac:dyDescent="0.15">
      <c r="A280" s="259">
        <v>41</v>
      </c>
      <c r="B280" s="51" t="s">
        <v>561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258"/>
    </row>
    <row r="281" spans="1:15" ht="13.5" hidden="1" x14ac:dyDescent="0.15">
      <c r="A281" s="259">
        <v>42</v>
      </c>
      <c r="B281" s="345" t="s">
        <v>667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258"/>
    </row>
    <row r="282" spans="1:15" ht="13.5" hidden="1" x14ac:dyDescent="0.15">
      <c r="A282" s="259">
        <v>43</v>
      </c>
      <c r="B282" s="51" t="s">
        <v>562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258"/>
    </row>
    <row r="283" spans="1:15" ht="13.5" hidden="1" x14ac:dyDescent="0.15">
      <c r="A283" s="259">
        <v>44</v>
      </c>
      <c r="B283" s="51" t="s">
        <v>563</v>
      </c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258"/>
    </row>
    <row r="284" spans="1:15" ht="13.5" hidden="1" x14ac:dyDescent="0.15">
      <c r="A284" s="259">
        <v>45</v>
      </c>
      <c r="B284" s="51" t="s">
        <v>686</v>
      </c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258"/>
    </row>
    <row r="285" spans="1:15" ht="13.5" hidden="1" x14ac:dyDescent="0.15">
      <c r="A285" s="259">
        <v>46</v>
      </c>
      <c r="B285" s="345" t="s">
        <v>668</v>
      </c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258"/>
    </row>
    <row r="286" spans="1:15" ht="13.5" hidden="1" x14ac:dyDescent="0.15">
      <c r="A286" s="259">
        <v>47</v>
      </c>
      <c r="B286" s="345" t="s">
        <v>669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258"/>
    </row>
    <row r="287" spans="1:15" ht="13.5" hidden="1" x14ac:dyDescent="0.15">
      <c r="A287" s="259" t="s">
        <v>724</v>
      </c>
      <c r="B287" s="345" t="s">
        <v>701</v>
      </c>
      <c r="C287" s="9"/>
      <c r="D287" s="9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258"/>
    </row>
    <row r="288" spans="1:15" ht="13.5" hidden="1" x14ac:dyDescent="0.15">
      <c r="A288" s="259">
        <v>48</v>
      </c>
      <c r="B288" s="51" t="s">
        <v>564</v>
      </c>
      <c r="C288" s="9"/>
      <c r="D288" s="9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258"/>
    </row>
    <row r="289" spans="1:15" ht="13.5" hidden="1" x14ac:dyDescent="0.15">
      <c r="A289" s="259">
        <v>49</v>
      </c>
      <c r="B289" s="345" t="s">
        <v>670</v>
      </c>
      <c r="C289" s="9"/>
      <c r="D289" s="9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258"/>
    </row>
    <row r="290" spans="1:15" ht="13.5" hidden="1" x14ac:dyDescent="0.15">
      <c r="A290" s="259">
        <v>50</v>
      </c>
      <c r="B290" s="340" t="s">
        <v>632</v>
      </c>
      <c r="C290" s="9"/>
      <c r="D290" s="9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258"/>
    </row>
    <row r="291" spans="1:15" ht="13.5" hidden="1" x14ac:dyDescent="0.15">
      <c r="A291" s="259">
        <v>51</v>
      </c>
      <c r="B291" s="51" t="s">
        <v>565</v>
      </c>
      <c r="C291" s="9"/>
      <c r="D291" s="9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258"/>
    </row>
    <row r="292" spans="1:15" ht="13.5" hidden="1" x14ac:dyDescent="0.15">
      <c r="A292" s="259">
        <v>52</v>
      </c>
      <c r="B292" s="51" t="s">
        <v>566</v>
      </c>
      <c r="C292" s="9"/>
      <c r="D292" s="9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258"/>
    </row>
    <row r="293" spans="1:15" ht="13.5" hidden="1" x14ac:dyDescent="0.15">
      <c r="A293" s="259">
        <v>53</v>
      </c>
      <c r="B293" s="51" t="s">
        <v>567</v>
      </c>
      <c r="C293" s="9"/>
      <c r="D293" s="9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258"/>
    </row>
    <row r="294" spans="1:15" ht="13.5" hidden="1" x14ac:dyDescent="0.15">
      <c r="A294" s="259">
        <v>54</v>
      </c>
      <c r="B294" s="51" t="s">
        <v>568</v>
      </c>
      <c r="C294" s="9"/>
      <c r="D294" s="9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258"/>
    </row>
    <row r="295" spans="1:15" ht="13.5" hidden="1" x14ac:dyDescent="0.15">
      <c r="A295" s="259">
        <v>55</v>
      </c>
      <c r="B295" s="51" t="s">
        <v>569</v>
      </c>
      <c r="C295" s="9"/>
      <c r="D295" s="9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258"/>
    </row>
    <row r="296" spans="1:15" ht="13.5" hidden="1" x14ac:dyDescent="0.15">
      <c r="A296" s="259">
        <v>56</v>
      </c>
      <c r="B296" s="340" t="s">
        <v>633</v>
      </c>
      <c r="C296" s="9"/>
      <c r="D296" s="9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258"/>
    </row>
    <row r="297" spans="1:15" ht="13.5" hidden="1" x14ac:dyDescent="0.15">
      <c r="A297" s="259">
        <v>57</v>
      </c>
      <c r="B297" s="51" t="s">
        <v>570</v>
      </c>
      <c r="C297" s="9"/>
      <c r="D297" s="9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258"/>
    </row>
    <row r="298" spans="1:15" ht="13.5" hidden="1" x14ac:dyDescent="0.15">
      <c r="A298" s="259">
        <v>58</v>
      </c>
      <c r="B298" s="51" t="s">
        <v>571</v>
      </c>
      <c r="C298" s="9"/>
      <c r="D298" s="9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258"/>
    </row>
    <row r="299" spans="1:15" ht="13.5" hidden="1" x14ac:dyDescent="0.15">
      <c r="A299" s="259">
        <v>59</v>
      </c>
      <c r="B299" s="345" t="s">
        <v>671</v>
      </c>
      <c r="C299" s="9"/>
      <c r="D299" s="9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258"/>
    </row>
    <row r="300" spans="1:15" ht="13.5" hidden="1" x14ac:dyDescent="0.15">
      <c r="A300" s="259">
        <v>60</v>
      </c>
      <c r="B300" s="51" t="s">
        <v>572</v>
      </c>
      <c r="C300" s="9"/>
      <c r="D300" s="9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258"/>
    </row>
    <row r="301" spans="1:15" ht="13.5" hidden="1" x14ac:dyDescent="0.15">
      <c r="A301" s="259">
        <v>61</v>
      </c>
      <c r="B301" s="51" t="s">
        <v>573</v>
      </c>
      <c r="C301" s="9"/>
      <c r="D301" s="9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258"/>
    </row>
    <row r="302" spans="1:15" ht="13.5" hidden="1" x14ac:dyDescent="0.15">
      <c r="A302" s="259">
        <v>62</v>
      </c>
      <c r="B302" s="51" t="s">
        <v>574</v>
      </c>
      <c r="C302" s="9"/>
      <c r="D302" s="9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258"/>
    </row>
    <row r="303" spans="1:15" ht="13.5" hidden="1" x14ac:dyDescent="0.15">
      <c r="A303" s="259">
        <v>63</v>
      </c>
      <c r="B303" s="345" t="s">
        <v>672</v>
      </c>
      <c r="C303" s="9"/>
      <c r="D303" s="9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258"/>
    </row>
    <row r="304" spans="1:15" ht="13.5" hidden="1" x14ac:dyDescent="0.15">
      <c r="A304" s="259">
        <v>64</v>
      </c>
      <c r="B304" s="51" t="s">
        <v>580</v>
      </c>
      <c r="C304" s="9"/>
      <c r="D304" s="9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258"/>
    </row>
    <row r="305" spans="1:15" ht="13.5" hidden="1" x14ac:dyDescent="0.15">
      <c r="A305" s="259">
        <v>65</v>
      </c>
      <c r="B305" s="51" t="s">
        <v>583</v>
      </c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258"/>
    </row>
    <row r="306" spans="1:15" ht="13.5" hidden="1" x14ac:dyDescent="0.15">
      <c r="A306" s="259">
        <v>66</v>
      </c>
      <c r="B306" s="340" t="s">
        <v>634</v>
      </c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258"/>
    </row>
    <row r="307" spans="1:15" ht="13.5" hidden="1" x14ac:dyDescent="0.15">
      <c r="A307" s="259">
        <v>67</v>
      </c>
      <c r="B307" s="51" t="s">
        <v>581</v>
      </c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258"/>
    </row>
    <row r="308" spans="1:15" ht="13.5" hidden="1" x14ac:dyDescent="0.15">
      <c r="A308" s="259" t="s">
        <v>725</v>
      </c>
      <c r="B308" s="51" t="s">
        <v>684</v>
      </c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258"/>
    </row>
    <row r="309" spans="1:15" ht="13.5" hidden="1" x14ac:dyDescent="0.15">
      <c r="A309" s="259">
        <v>68</v>
      </c>
      <c r="B309" s="108" t="s">
        <v>673</v>
      </c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258"/>
    </row>
    <row r="310" spans="1:15" ht="13.5" hidden="1" x14ac:dyDescent="0.15">
      <c r="A310" s="259">
        <v>69</v>
      </c>
      <c r="B310" s="340" t="s">
        <v>635</v>
      </c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258"/>
    </row>
    <row r="311" spans="1:15" ht="13.5" hidden="1" x14ac:dyDescent="0.15">
      <c r="A311" s="259">
        <v>70</v>
      </c>
      <c r="B311" s="108" t="s">
        <v>674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258"/>
    </row>
    <row r="312" spans="1:15" ht="13.5" hidden="1" x14ac:dyDescent="0.15">
      <c r="A312" s="259">
        <v>71</v>
      </c>
      <c r="B312" s="108" t="s">
        <v>675</v>
      </c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258"/>
    </row>
    <row r="313" spans="1:15" ht="13.5" hidden="1" x14ac:dyDescent="0.15">
      <c r="A313" s="259">
        <v>72</v>
      </c>
      <c r="B313" s="108" t="s">
        <v>677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258"/>
    </row>
    <row r="314" spans="1:15" ht="13.5" hidden="1" x14ac:dyDescent="0.15">
      <c r="A314" s="259">
        <v>73</v>
      </c>
      <c r="B314" s="340" t="s">
        <v>636</v>
      </c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258"/>
    </row>
    <row r="315" spans="1:15" ht="13.5" hidden="1" x14ac:dyDescent="0.15">
      <c r="A315" s="259">
        <v>74</v>
      </c>
      <c r="B315" s="108" t="s">
        <v>678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258"/>
    </row>
    <row r="316" spans="1:15" ht="13.5" hidden="1" x14ac:dyDescent="0.15">
      <c r="A316" s="259">
        <v>75</v>
      </c>
      <c r="B316" s="340" t="s">
        <v>637</v>
      </c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258"/>
    </row>
    <row r="317" spans="1:15" ht="13.5" hidden="1" x14ac:dyDescent="0.15">
      <c r="A317" s="259">
        <v>76</v>
      </c>
      <c r="B317" s="108" t="s">
        <v>679</v>
      </c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258"/>
    </row>
    <row r="318" spans="1:15" ht="13.5" hidden="1" x14ac:dyDescent="0.15">
      <c r="A318" s="259">
        <v>77</v>
      </c>
      <c r="B318" s="340" t="s">
        <v>638</v>
      </c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258"/>
    </row>
    <row r="319" spans="1:15" ht="13.5" hidden="1" x14ac:dyDescent="0.15">
      <c r="A319" s="259">
        <v>78</v>
      </c>
      <c r="B319" s="108" t="s">
        <v>680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258"/>
    </row>
    <row r="320" spans="1:15" ht="13.5" hidden="1" x14ac:dyDescent="0.15">
      <c r="A320" s="259">
        <v>79</v>
      </c>
      <c r="B320" s="340" t="s">
        <v>639</v>
      </c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258"/>
    </row>
    <row r="321" spans="1:15" ht="13.5" hidden="1" x14ac:dyDescent="0.15">
      <c r="A321" s="259">
        <v>80</v>
      </c>
      <c r="B321" s="340" t="s">
        <v>640</v>
      </c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258"/>
    </row>
    <row r="322" spans="1:15" ht="13.5" hidden="1" x14ac:dyDescent="0.15">
      <c r="A322" s="259">
        <v>81</v>
      </c>
      <c r="B322" s="108" t="s">
        <v>681</v>
      </c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258"/>
    </row>
    <row r="323" spans="1:15" ht="13.5" hidden="1" x14ac:dyDescent="0.15">
      <c r="A323" s="259">
        <v>82</v>
      </c>
      <c r="B323" s="51" t="s">
        <v>584</v>
      </c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258"/>
    </row>
    <row r="324" spans="1:15" ht="13.5" hidden="1" x14ac:dyDescent="0.15">
      <c r="A324" s="259">
        <v>83</v>
      </c>
      <c r="B324" s="340" t="s">
        <v>683</v>
      </c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258"/>
    </row>
    <row r="325" spans="1:15" ht="13.5" hidden="1" x14ac:dyDescent="0.15">
      <c r="A325" s="259">
        <v>84</v>
      </c>
      <c r="B325" s="340" t="s">
        <v>699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258"/>
    </row>
    <row r="326" spans="1:15" ht="13.5" hidden="1" x14ac:dyDescent="0.15">
      <c r="A326" s="259">
        <v>85</v>
      </c>
      <c r="B326" s="340" t="s">
        <v>641</v>
      </c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258"/>
    </row>
    <row r="327" spans="1:15" ht="13.5" hidden="1" x14ac:dyDescent="0.15">
      <c r="A327" s="259">
        <v>86</v>
      </c>
      <c r="B327" s="340" t="s">
        <v>642</v>
      </c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258"/>
    </row>
    <row r="328" spans="1:15" ht="13.5" hidden="1" x14ac:dyDescent="0.15">
      <c r="A328" s="259">
        <v>87</v>
      </c>
      <c r="B328" s="340" t="s">
        <v>643</v>
      </c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258"/>
    </row>
    <row r="329" spans="1:15" ht="13.5" hidden="1" x14ac:dyDescent="0.15">
      <c r="A329" s="259">
        <v>88</v>
      </c>
      <c r="B329" s="340" t="s">
        <v>644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258"/>
    </row>
    <row r="330" spans="1:15" ht="13.5" hidden="1" x14ac:dyDescent="0.15">
      <c r="A330" s="259">
        <v>89</v>
      </c>
      <c r="B330" s="51" t="s">
        <v>585</v>
      </c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258"/>
    </row>
    <row r="331" spans="1:15" ht="13.5" hidden="1" x14ac:dyDescent="0.15">
      <c r="A331" s="259">
        <v>90</v>
      </c>
      <c r="B331" s="108" t="s">
        <v>682</v>
      </c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258"/>
    </row>
    <row r="332" spans="1:15" ht="13.5" hidden="1" x14ac:dyDescent="0.15">
      <c r="A332" s="259">
        <v>91</v>
      </c>
      <c r="B332" s="51" t="s">
        <v>586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258"/>
    </row>
    <row r="333" spans="1:15" ht="13.5" hidden="1" x14ac:dyDescent="0.15">
      <c r="A333" s="259" t="s">
        <v>726</v>
      </c>
      <c r="B333" s="51" t="s">
        <v>685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258"/>
    </row>
    <row r="334" spans="1:15" ht="13.5" hidden="1" x14ac:dyDescent="0.15">
      <c r="A334" s="259">
        <v>92</v>
      </c>
      <c r="B334" s="51" t="s">
        <v>588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258"/>
    </row>
    <row r="335" spans="1:15" ht="13.5" hidden="1" x14ac:dyDescent="0.15">
      <c r="B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258"/>
    </row>
    <row r="336" spans="1:15" ht="13.5" hidden="1" x14ac:dyDescent="0.15">
      <c r="B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258"/>
    </row>
    <row r="337" spans="2:15" ht="13.5" hidden="1" x14ac:dyDescent="0.15">
      <c r="B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258"/>
    </row>
    <row r="338" spans="2:15" ht="13.5" hidden="1" x14ac:dyDescent="0.15">
      <c r="B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258"/>
    </row>
    <row r="339" spans="2:15" ht="13.5" hidden="1" x14ac:dyDescent="0.15">
      <c r="B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258"/>
    </row>
    <row r="340" spans="2:15" ht="13.5" hidden="1" x14ac:dyDescent="0.15">
      <c r="B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258"/>
    </row>
    <row r="341" spans="2:15" ht="13.5" hidden="1" x14ac:dyDescent="0.15">
      <c r="B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258"/>
    </row>
    <row r="342" spans="2:15" ht="13.5" hidden="1" x14ac:dyDescent="0.15">
      <c r="B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258"/>
    </row>
    <row r="343" spans="2:15" ht="13.5" hidden="1" x14ac:dyDescent="0.15">
      <c r="B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258"/>
    </row>
    <row r="344" spans="2:15" ht="13.5" hidden="1" x14ac:dyDescent="0.15">
      <c r="B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258"/>
    </row>
    <row r="345" spans="2:15" ht="13.5" hidden="1" x14ac:dyDescent="0.15">
      <c r="B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258"/>
    </row>
    <row r="346" spans="2:15" ht="13.5" hidden="1" x14ac:dyDescent="0.15">
      <c r="B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258"/>
    </row>
    <row r="347" spans="2:15" ht="13.5" hidden="1" x14ac:dyDescent="0.15">
      <c r="B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258"/>
    </row>
    <row r="348" spans="2:15" ht="13.5" hidden="1" x14ac:dyDescent="0.15">
      <c r="B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258"/>
    </row>
    <row r="349" spans="2:15" ht="13.5" hidden="1" x14ac:dyDescent="0.15">
      <c r="B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258"/>
    </row>
    <row r="350" spans="2:15" ht="13.5" hidden="1" x14ac:dyDescent="0.15">
      <c r="B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258"/>
    </row>
    <row r="351" spans="2:15" ht="13.5" hidden="1" x14ac:dyDescent="0.15">
      <c r="B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258"/>
    </row>
    <row r="352" spans="2:15" ht="13.5" hidden="1" x14ac:dyDescent="0.15">
      <c r="B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258"/>
    </row>
    <row r="353" spans="2:15" ht="13.5" hidden="1" x14ac:dyDescent="0.15">
      <c r="B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258"/>
    </row>
    <row r="354" spans="2:15" ht="13.5" hidden="1" x14ac:dyDescent="0.15">
      <c r="B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258"/>
    </row>
    <row r="355" spans="2:15" ht="13.5" hidden="1" x14ac:dyDescent="0.15">
      <c r="B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258"/>
    </row>
    <row r="356" spans="2:15" ht="13.5" hidden="1" x14ac:dyDescent="0.15">
      <c r="B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258"/>
    </row>
    <row r="357" spans="2:15" ht="13.5" hidden="1" x14ac:dyDescent="0.15">
      <c r="B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258"/>
    </row>
    <row r="358" spans="2:15" ht="13.5" hidden="1" x14ac:dyDescent="0.15">
      <c r="B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258"/>
    </row>
    <row r="359" spans="2:15" ht="13.5" hidden="1" x14ac:dyDescent="0.15">
      <c r="B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258"/>
    </row>
    <row r="360" spans="2:15" ht="13.5" hidden="1" x14ac:dyDescent="0.15">
      <c r="B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258"/>
    </row>
    <row r="361" spans="2:15" ht="13.5" hidden="1" x14ac:dyDescent="0.15">
      <c r="B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258"/>
    </row>
    <row r="362" spans="2:15" ht="13.5" hidden="1" x14ac:dyDescent="0.15">
      <c r="B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258"/>
    </row>
    <row r="363" spans="2:15" ht="13.5" hidden="1" x14ac:dyDescent="0.15">
      <c r="B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258"/>
    </row>
    <row r="364" spans="2:15" ht="13.5" hidden="1" x14ac:dyDescent="0.15">
      <c r="B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258"/>
    </row>
    <row r="365" spans="2:15" ht="13.5" hidden="1" x14ac:dyDescent="0.15">
      <c r="B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258"/>
    </row>
    <row r="366" spans="2:15" ht="13.5" hidden="1" x14ac:dyDescent="0.15">
      <c r="B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258"/>
    </row>
    <row r="367" spans="2:15" ht="13.5" hidden="1" x14ac:dyDescent="0.15">
      <c r="B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258"/>
    </row>
    <row r="368" spans="2:15" ht="13.5" hidden="1" x14ac:dyDescent="0.15">
      <c r="B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258"/>
    </row>
    <row r="369" spans="2:15" ht="13.5" hidden="1" x14ac:dyDescent="0.15">
      <c r="B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258"/>
    </row>
    <row r="370" spans="2:15" ht="13.5" hidden="1" x14ac:dyDescent="0.15">
      <c r="B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258"/>
    </row>
    <row r="371" spans="2:15" ht="13.5" hidden="1" x14ac:dyDescent="0.15">
      <c r="B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258"/>
    </row>
    <row r="372" spans="2:15" ht="13.5" hidden="1" x14ac:dyDescent="0.15">
      <c r="B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258"/>
    </row>
    <row r="373" spans="2:15" ht="13.5" hidden="1" x14ac:dyDescent="0.15">
      <c r="B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258"/>
    </row>
    <row r="374" spans="2:15" ht="13.5" hidden="1" x14ac:dyDescent="0.15">
      <c r="B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258"/>
    </row>
    <row r="375" spans="2:15" ht="13.5" hidden="1" x14ac:dyDescent="0.15">
      <c r="B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258"/>
    </row>
    <row r="376" spans="2:15" ht="13.5" hidden="1" x14ac:dyDescent="0.15">
      <c r="B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258"/>
    </row>
    <row r="377" spans="2:15" ht="13.5" hidden="1" x14ac:dyDescent="0.15">
      <c r="B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258"/>
    </row>
    <row r="378" spans="2:15" ht="13.5" hidden="1" x14ac:dyDescent="0.15">
      <c r="B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258"/>
    </row>
    <row r="379" spans="2:15" ht="13.5" hidden="1" x14ac:dyDescent="0.15">
      <c r="B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258"/>
    </row>
    <row r="380" spans="2:15" ht="13.5" hidden="1" x14ac:dyDescent="0.15">
      <c r="B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258"/>
    </row>
    <row r="381" spans="2:15" ht="13.5" hidden="1" x14ac:dyDescent="0.15">
      <c r="B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258"/>
    </row>
    <row r="382" spans="2:15" ht="13.5" hidden="1" x14ac:dyDescent="0.15">
      <c r="B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258"/>
    </row>
    <row r="383" spans="2:15" ht="13.5" hidden="1" x14ac:dyDescent="0.15">
      <c r="B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258"/>
    </row>
    <row r="384" spans="2:15" ht="13.5" hidden="1" x14ac:dyDescent="0.15">
      <c r="B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258"/>
    </row>
    <row r="385" spans="2:15" ht="13.5" hidden="1" x14ac:dyDescent="0.15">
      <c r="B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258"/>
    </row>
    <row r="386" spans="2:15" ht="13.5" hidden="1" x14ac:dyDescent="0.15">
      <c r="B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258"/>
    </row>
    <row r="387" spans="2:15" ht="13.5" hidden="1" x14ac:dyDescent="0.15">
      <c r="B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258"/>
    </row>
    <row r="388" spans="2:15" ht="13.5" hidden="1" x14ac:dyDescent="0.15">
      <c r="B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258"/>
    </row>
    <row r="389" spans="2:15" ht="13.5" hidden="1" x14ac:dyDescent="0.15">
      <c r="B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258"/>
    </row>
    <row r="390" spans="2:15" ht="13.5" hidden="1" x14ac:dyDescent="0.15">
      <c r="B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258"/>
    </row>
    <row r="391" spans="2:15" ht="13.5" hidden="1" x14ac:dyDescent="0.15">
      <c r="B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258"/>
    </row>
    <row r="392" spans="2:15" ht="13.5" hidden="1" x14ac:dyDescent="0.15">
      <c r="B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258"/>
    </row>
    <row r="393" spans="2:15" ht="13.5" hidden="1" x14ac:dyDescent="0.15">
      <c r="B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258"/>
    </row>
    <row r="394" spans="2:15" ht="13.5" hidden="1" x14ac:dyDescent="0.15">
      <c r="B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258"/>
    </row>
    <row r="395" spans="2:15" ht="13.5" hidden="1" x14ac:dyDescent="0.15">
      <c r="B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258"/>
    </row>
    <row r="396" spans="2:15" ht="13.5" hidden="1" x14ac:dyDescent="0.15">
      <c r="B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258"/>
    </row>
    <row r="397" spans="2:15" ht="13.5" hidden="1" x14ac:dyDescent="0.15">
      <c r="B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258"/>
    </row>
    <row r="398" spans="2:15" ht="13.5" hidden="1" x14ac:dyDescent="0.15">
      <c r="B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258"/>
    </row>
    <row r="399" spans="2:15" ht="13.5" hidden="1" x14ac:dyDescent="0.15">
      <c r="B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258"/>
    </row>
    <row r="400" spans="2:15" ht="13.5" hidden="1" x14ac:dyDescent="0.15">
      <c r="B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258"/>
    </row>
    <row r="401" spans="2:15" ht="13.5" hidden="1" x14ac:dyDescent="0.15">
      <c r="B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258"/>
    </row>
    <row r="402" spans="2:15" ht="13.5" hidden="1" x14ac:dyDescent="0.15">
      <c r="B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258"/>
    </row>
    <row r="403" spans="2:15" ht="13.5" hidden="1" x14ac:dyDescent="0.15">
      <c r="B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258"/>
    </row>
    <row r="404" spans="2:15" ht="13.5" hidden="1" x14ac:dyDescent="0.15">
      <c r="B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258"/>
    </row>
    <row r="405" spans="2:15" ht="13.5" hidden="1" x14ac:dyDescent="0.15">
      <c r="B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258"/>
    </row>
    <row r="406" spans="2:15" ht="13.5" hidden="1" x14ac:dyDescent="0.15">
      <c r="B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258"/>
    </row>
    <row r="407" spans="2:15" ht="13.5" hidden="1" x14ac:dyDescent="0.15">
      <c r="B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258"/>
    </row>
    <row r="408" spans="2:15" ht="13.5" hidden="1" x14ac:dyDescent="0.15">
      <c r="B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258"/>
    </row>
    <row r="409" spans="2:15" ht="13.5" hidden="1" x14ac:dyDescent="0.15">
      <c r="B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258"/>
    </row>
    <row r="410" spans="2:15" ht="13.5" hidden="1" x14ac:dyDescent="0.15">
      <c r="B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258"/>
    </row>
    <row r="411" spans="2:15" ht="13.5" hidden="1" x14ac:dyDescent="0.15">
      <c r="B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258"/>
    </row>
    <row r="412" spans="2:15" ht="13.5" hidden="1" x14ac:dyDescent="0.15">
      <c r="B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258"/>
    </row>
    <row r="413" spans="2:15" ht="13.5" hidden="1" x14ac:dyDescent="0.15">
      <c r="B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258"/>
    </row>
    <row r="414" spans="2:15" ht="13.5" hidden="1" x14ac:dyDescent="0.15">
      <c r="B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258"/>
    </row>
    <row r="415" spans="2:15" ht="13.5" hidden="1" x14ac:dyDescent="0.15">
      <c r="B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258"/>
    </row>
    <row r="416" spans="2:15" ht="13.5" hidden="1" x14ac:dyDescent="0.15">
      <c r="B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258"/>
    </row>
    <row r="417" spans="2:15" ht="13.5" hidden="1" x14ac:dyDescent="0.15">
      <c r="B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258"/>
    </row>
    <row r="418" spans="2:15" ht="13.5" hidden="1" x14ac:dyDescent="0.15">
      <c r="B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258"/>
    </row>
    <row r="419" spans="2:15" ht="13.5" hidden="1" x14ac:dyDescent="0.15">
      <c r="B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258"/>
    </row>
    <row r="420" spans="2:15" ht="13.5" hidden="1" x14ac:dyDescent="0.15">
      <c r="B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258"/>
    </row>
    <row r="421" spans="2:15" ht="13.5" hidden="1" x14ac:dyDescent="0.15">
      <c r="B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258"/>
    </row>
    <row r="422" spans="2:15" ht="13.5" hidden="1" x14ac:dyDescent="0.15">
      <c r="B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258"/>
    </row>
    <row r="423" spans="2:15" ht="13.5" hidden="1" x14ac:dyDescent="0.15">
      <c r="B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258"/>
    </row>
    <row r="424" spans="2:15" ht="13.5" hidden="1" x14ac:dyDescent="0.15">
      <c r="B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258"/>
    </row>
    <row r="425" spans="2:15" ht="13.5" hidden="1" x14ac:dyDescent="0.15">
      <c r="B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258"/>
    </row>
    <row r="426" spans="2:15" ht="13.5" hidden="1" x14ac:dyDescent="0.15">
      <c r="B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258"/>
    </row>
    <row r="427" spans="2:15" ht="13.5" hidden="1" x14ac:dyDescent="0.15">
      <c r="B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258"/>
    </row>
    <row r="428" spans="2:15" ht="13.5" hidden="1" x14ac:dyDescent="0.15">
      <c r="B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258"/>
    </row>
    <row r="429" spans="2:15" ht="13.5" hidden="1" x14ac:dyDescent="0.15">
      <c r="B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258"/>
    </row>
    <row r="430" spans="2:15" ht="13.5" hidden="1" x14ac:dyDescent="0.15">
      <c r="B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258"/>
    </row>
    <row r="431" spans="2:15" ht="13.5" hidden="1" x14ac:dyDescent="0.15">
      <c r="B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258"/>
    </row>
    <row r="432" spans="2:15" ht="13.5" hidden="1" x14ac:dyDescent="0.15">
      <c r="B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258"/>
    </row>
    <row r="433" spans="2:15" ht="13.5" hidden="1" x14ac:dyDescent="0.15">
      <c r="B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258"/>
    </row>
    <row r="434" spans="2:15" ht="13.5" hidden="1" x14ac:dyDescent="0.15">
      <c r="B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258"/>
    </row>
    <row r="435" spans="2:15" ht="13.5" hidden="1" x14ac:dyDescent="0.15">
      <c r="B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258"/>
    </row>
    <row r="436" spans="2:15" ht="13.5" hidden="1" x14ac:dyDescent="0.15">
      <c r="B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258"/>
    </row>
    <row r="437" spans="2:15" ht="13.5" hidden="1" x14ac:dyDescent="0.15">
      <c r="B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258"/>
    </row>
    <row r="438" spans="2:15" ht="13.5" hidden="1" x14ac:dyDescent="0.15">
      <c r="B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258"/>
    </row>
    <row r="439" spans="2:15" ht="13.5" hidden="1" x14ac:dyDescent="0.15">
      <c r="B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258"/>
    </row>
    <row r="440" spans="2:15" ht="13.5" hidden="1" x14ac:dyDescent="0.15">
      <c r="B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258"/>
    </row>
    <row r="441" spans="2:15" ht="13.5" hidden="1" x14ac:dyDescent="0.15">
      <c r="B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258"/>
    </row>
    <row r="442" spans="2:15" ht="13.5" hidden="1" x14ac:dyDescent="0.15">
      <c r="B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258"/>
    </row>
    <row r="443" spans="2:15" ht="13.5" hidden="1" x14ac:dyDescent="0.15">
      <c r="B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258"/>
    </row>
    <row r="444" spans="2:15" ht="13.5" hidden="1" x14ac:dyDescent="0.15">
      <c r="B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258"/>
    </row>
    <row r="445" spans="2:15" ht="13.5" hidden="1" x14ac:dyDescent="0.15">
      <c r="B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258"/>
    </row>
    <row r="446" spans="2:15" ht="13.5" hidden="1" x14ac:dyDescent="0.15">
      <c r="B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258"/>
    </row>
    <row r="447" spans="2:15" ht="13.5" hidden="1" x14ac:dyDescent="0.15">
      <c r="B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258"/>
    </row>
    <row r="448" spans="2:15" ht="13.5" hidden="1" x14ac:dyDescent="0.15">
      <c r="B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258"/>
    </row>
    <row r="449" spans="2:15" ht="13.5" hidden="1" x14ac:dyDescent="0.15">
      <c r="B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258"/>
    </row>
    <row r="450" spans="2:15" ht="13.5" hidden="1" x14ac:dyDescent="0.15">
      <c r="B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258"/>
    </row>
    <row r="451" spans="2:15" ht="13.5" hidden="1" x14ac:dyDescent="0.15">
      <c r="B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258"/>
    </row>
    <row r="452" spans="2:15" ht="13.5" hidden="1" x14ac:dyDescent="0.15">
      <c r="B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258"/>
    </row>
    <row r="453" spans="2:15" ht="13.5" hidden="1" x14ac:dyDescent="0.15">
      <c r="B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258"/>
    </row>
    <row r="454" spans="2:15" ht="13.5" hidden="1" x14ac:dyDescent="0.15">
      <c r="B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258"/>
    </row>
    <row r="455" spans="2:15" ht="13.5" hidden="1" x14ac:dyDescent="0.15">
      <c r="B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258"/>
    </row>
    <row r="456" spans="2:15" ht="13.5" hidden="1" x14ac:dyDescent="0.15">
      <c r="B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258"/>
    </row>
    <row r="457" spans="2:15" ht="13.5" hidden="1" x14ac:dyDescent="0.15">
      <c r="B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258"/>
    </row>
    <row r="458" spans="2:15" ht="13.5" hidden="1" x14ac:dyDescent="0.15">
      <c r="B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258"/>
    </row>
    <row r="459" spans="2:15" ht="13.5" hidden="1" x14ac:dyDescent="0.15">
      <c r="B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258"/>
    </row>
    <row r="460" spans="2:15" ht="13.5" hidden="1" x14ac:dyDescent="0.15">
      <c r="B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258"/>
    </row>
    <row r="461" spans="2:15" ht="13.5" hidden="1" x14ac:dyDescent="0.15">
      <c r="B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258"/>
    </row>
    <row r="462" spans="2:15" ht="13.5" hidden="1" x14ac:dyDescent="0.15">
      <c r="B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258"/>
    </row>
    <row r="463" spans="2:15" ht="13.5" hidden="1" x14ac:dyDescent="0.15">
      <c r="B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258"/>
    </row>
    <row r="464" spans="2:15" ht="13.5" hidden="1" x14ac:dyDescent="0.15">
      <c r="B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258"/>
    </row>
    <row r="465" spans="2:15" ht="13.5" hidden="1" x14ac:dyDescent="0.15">
      <c r="B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258"/>
    </row>
    <row r="466" spans="2:15" ht="13.5" hidden="1" x14ac:dyDescent="0.15">
      <c r="B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258"/>
    </row>
    <row r="467" spans="2:15" ht="13.5" hidden="1" x14ac:dyDescent="0.15">
      <c r="B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258"/>
    </row>
    <row r="468" spans="2:15" ht="13.5" hidden="1" x14ac:dyDescent="0.15">
      <c r="B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258"/>
    </row>
    <row r="469" spans="2:15" ht="13.5" hidden="1" x14ac:dyDescent="0.15">
      <c r="B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258"/>
    </row>
    <row r="470" spans="2:15" ht="13.5" hidden="1" x14ac:dyDescent="0.15">
      <c r="B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258"/>
    </row>
    <row r="471" spans="2:15" ht="13.5" hidden="1" x14ac:dyDescent="0.15">
      <c r="B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258"/>
    </row>
    <row r="472" spans="2:15" ht="13.5" hidden="1" x14ac:dyDescent="0.15">
      <c r="B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258"/>
    </row>
    <row r="473" spans="2:15" ht="13.5" hidden="1" x14ac:dyDescent="0.15">
      <c r="B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258"/>
    </row>
    <row r="474" spans="2:15" ht="13.5" hidden="1" x14ac:dyDescent="0.15">
      <c r="B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258"/>
    </row>
    <row r="475" spans="2:15" ht="13.5" hidden="1" x14ac:dyDescent="0.15">
      <c r="B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258"/>
    </row>
    <row r="476" spans="2:15" ht="13.5" hidden="1" x14ac:dyDescent="0.15">
      <c r="B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258"/>
    </row>
    <row r="477" spans="2:15" ht="13.5" hidden="1" x14ac:dyDescent="0.15">
      <c r="B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258"/>
    </row>
    <row r="478" spans="2:15" ht="13.5" hidden="1" x14ac:dyDescent="0.15">
      <c r="B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258"/>
    </row>
    <row r="479" spans="2:15" ht="13.5" hidden="1" x14ac:dyDescent="0.15">
      <c r="B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258"/>
    </row>
    <row r="480" spans="2:15" ht="13.5" hidden="1" x14ac:dyDescent="0.15">
      <c r="B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258"/>
    </row>
    <row r="481" spans="2:15" ht="13.5" hidden="1" x14ac:dyDescent="0.15">
      <c r="B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258"/>
    </row>
    <row r="482" spans="2:15" ht="13.5" hidden="1" x14ac:dyDescent="0.15">
      <c r="B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258"/>
    </row>
    <row r="483" spans="2:15" ht="13.5" hidden="1" x14ac:dyDescent="0.15">
      <c r="B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258"/>
    </row>
    <row r="484" spans="2:15" ht="13.5" hidden="1" x14ac:dyDescent="0.15">
      <c r="B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258"/>
    </row>
    <row r="485" spans="2:15" ht="13.5" hidden="1" x14ac:dyDescent="0.15">
      <c r="B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258"/>
    </row>
    <row r="486" spans="2:15" ht="13.5" hidden="1" x14ac:dyDescent="0.15">
      <c r="B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258"/>
    </row>
    <row r="487" spans="2:15" ht="13.5" hidden="1" x14ac:dyDescent="0.15">
      <c r="B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258"/>
    </row>
    <row r="488" spans="2:15" ht="13.5" hidden="1" x14ac:dyDescent="0.15">
      <c r="B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258"/>
    </row>
    <row r="489" spans="2:15" ht="13.5" hidden="1" x14ac:dyDescent="0.15">
      <c r="B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258"/>
    </row>
    <row r="490" spans="2:15" ht="13.5" hidden="1" x14ac:dyDescent="0.15">
      <c r="B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258"/>
    </row>
    <row r="491" spans="2:15" ht="13.5" hidden="1" x14ac:dyDescent="0.15">
      <c r="B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258"/>
    </row>
    <row r="492" spans="2:15" ht="13.5" hidden="1" x14ac:dyDescent="0.15">
      <c r="B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258"/>
    </row>
    <row r="493" spans="2:15" ht="13.5" hidden="1" x14ac:dyDescent="0.15">
      <c r="B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258"/>
    </row>
    <row r="494" spans="2:15" ht="13.5" hidden="1" x14ac:dyDescent="0.15">
      <c r="B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258"/>
    </row>
    <row r="495" spans="2:15" ht="13.5" hidden="1" x14ac:dyDescent="0.15">
      <c r="B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258"/>
    </row>
    <row r="496" spans="2:15" ht="13.5" hidden="1" x14ac:dyDescent="0.15">
      <c r="B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258"/>
    </row>
    <row r="497" spans="2:15" ht="13.5" hidden="1" x14ac:dyDescent="0.15">
      <c r="B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258"/>
    </row>
    <row r="498" spans="2:15" ht="13.5" hidden="1" x14ac:dyDescent="0.15">
      <c r="B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258"/>
    </row>
    <row r="499" spans="2:15" ht="13.5" hidden="1" x14ac:dyDescent="0.15">
      <c r="B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258"/>
    </row>
    <row r="500" spans="2:15" ht="13.5" hidden="1" x14ac:dyDescent="0.15">
      <c r="B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258"/>
    </row>
    <row r="501" spans="2:15" ht="13.5" hidden="1" x14ac:dyDescent="0.15">
      <c r="B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258"/>
    </row>
    <row r="502" spans="2:15" ht="13.5" hidden="1" x14ac:dyDescent="0.15">
      <c r="B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258"/>
    </row>
    <row r="503" spans="2:15" ht="13.5" hidden="1" x14ac:dyDescent="0.15">
      <c r="B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258"/>
    </row>
    <row r="504" spans="2:15" ht="13.5" hidden="1" x14ac:dyDescent="0.15">
      <c r="B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258"/>
    </row>
    <row r="505" spans="2:15" ht="13.5" hidden="1" x14ac:dyDescent="0.15">
      <c r="B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258"/>
    </row>
    <row r="506" spans="2:15" ht="13.5" hidden="1" x14ac:dyDescent="0.15">
      <c r="B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258"/>
    </row>
    <row r="507" spans="2:15" ht="13.5" hidden="1" x14ac:dyDescent="0.15">
      <c r="B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258"/>
    </row>
    <row r="508" spans="2:15" ht="13.5" hidden="1" x14ac:dyDescent="0.15">
      <c r="B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258"/>
    </row>
    <row r="509" spans="2:15" ht="13.5" hidden="1" x14ac:dyDescent="0.15">
      <c r="B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258"/>
    </row>
    <row r="510" spans="2:15" ht="13.5" hidden="1" x14ac:dyDescent="0.15">
      <c r="B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258"/>
    </row>
    <row r="511" spans="2:15" ht="13.5" hidden="1" x14ac:dyDescent="0.15">
      <c r="B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258"/>
    </row>
    <row r="512" spans="2:15" ht="13.5" hidden="1" x14ac:dyDescent="0.15">
      <c r="B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258"/>
    </row>
    <row r="513" spans="2:15" ht="13.5" hidden="1" x14ac:dyDescent="0.15">
      <c r="B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258"/>
    </row>
    <row r="514" spans="2:15" ht="13.5" hidden="1" x14ac:dyDescent="0.15">
      <c r="B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258"/>
    </row>
    <row r="515" spans="2:15" ht="13.5" hidden="1" x14ac:dyDescent="0.15">
      <c r="B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258"/>
    </row>
    <row r="516" spans="2:15" ht="13.5" hidden="1" x14ac:dyDescent="0.15">
      <c r="B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258"/>
    </row>
    <row r="517" spans="2:15" ht="13.5" hidden="1" x14ac:dyDescent="0.15">
      <c r="B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258"/>
    </row>
    <row r="518" spans="2:15" ht="13.5" hidden="1" x14ac:dyDescent="0.15">
      <c r="B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258"/>
    </row>
    <row r="519" spans="2:15" ht="13.5" hidden="1" x14ac:dyDescent="0.15">
      <c r="B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258"/>
    </row>
    <row r="520" spans="2:15" ht="13.5" hidden="1" x14ac:dyDescent="0.15">
      <c r="B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258"/>
    </row>
    <row r="521" spans="2:15" ht="13.5" hidden="1" x14ac:dyDescent="0.15">
      <c r="B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258"/>
    </row>
    <row r="522" spans="2:15" ht="13.5" hidden="1" x14ac:dyDescent="0.15">
      <c r="B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258"/>
    </row>
    <row r="523" spans="2:15" ht="13.5" hidden="1" x14ac:dyDescent="0.15">
      <c r="B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258"/>
    </row>
    <row r="524" spans="2:15" ht="13.5" hidden="1" x14ac:dyDescent="0.15">
      <c r="B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258"/>
    </row>
    <row r="525" spans="2:15" ht="13.5" hidden="1" x14ac:dyDescent="0.15">
      <c r="B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258"/>
    </row>
    <row r="526" spans="2:15" ht="13.5" hidden="1" x14ac:dyDescent="0.15">
      <c r="B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258"/>
    </row>
    <row r="527" spans="2:15" ht="13.5" hidden="1" x14ac:dyDescent="0.15">
      <c r="B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258"/>
    </row>
    <row r="528" spans="2:15" ht="13.5" hidden="1" x14ac:dyDescent="0.15">
      <c r="B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258"/>
    </row>
    <row r="529" spans="2:15" ht="13.5" hidden="1" x14ac:dyDescent="0.15">
      <c r="B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258"/>
    </row>
    <row r="530" spans="2:15" ht="13.5" hidden="1" x14ac:dyDescent="0.15">
      <c r="B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258"/>
    </row>
    <row r="531" spans="2:15" ht="13.5" hidden="1" x14ac:dyDescent="0.15">
      <c r="B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258"/>
    </row>
    <row r="532" spans="2:15" ht="13.5" hidden="1" x14ac:dyDescent="0.15">
      <c r="B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258"/>
    </row>
    <row r="533" spans="2:15" ht="13.5" hidden="1" x14ac:dyDescent="0.15">
      <c r="B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258"/>
    </row>
    <row r="534" spans="2:15" ht="13.5" hidden="1" x14ac:dyDescent="0.15">
      <c r="B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258"/>
    </row>
    <row r="535" spans="2:15" ht="13.5" hidden="1" x14ac:dyDescent="0.15">
      <c r="B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258"/>
    </row>
    <row r="536" spans="2:15" ht="13.5" hidden="1" x14ac:dyDescent="0.15">
      <c r="B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258"/>
    </row>
    <row r="537" spans="2:15" ht="13.5" hidden="1" x14ac:dyDescent="0.15">
      <c r="B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258"/>
    </row>
    <row r="538" spans="2:15" ht="13.5" hidden="1" x14ac:dyDescent="0.15">
      <c r="B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258"/>
    </row>
    <row r="539" spans="2:15" ht="13.5" hidden="1" x14ac:dyDescent="0.15">
      <c r="B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258"/>
    </row>
    <row r="540" spans="2:15" ht="13.5" hidden="1" x14ac:dyDescent="0.15">
      <c r="B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258"/>
    </row>
    <row r="541" spans="2:15" ht="13.5" hidden="1" x14ac:dyDescent="0.15">
      <c r="B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258"/>
    </row>
    <row r="542" spans="2:15" ht="13.5" hidden="1" x14ac:dyDescent="0.15">
      <c r="B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258"/>
    </row>
    <row r="543" spans="2:15" ht="13.5" hidden="1" x14ac:dyDescent="0.15">
      <c r="B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258"/>
    </row>
    <row r="544" spans="2:15" ht="13.5" hidden="1" x14ac:dyDescent="0.15">
      <c r="B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258"/>
    </row>
    <row r="545" spans="2:15" ht="13.5" hidden="1" x14ac:dyDescent="0.15">
      <c r="B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258"/>
    </row>
    <row r="546" spans="2:15" ht="13.5" hidden="1" x14ac:dyDescent="0.15">
      <c r="B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258"/>
    </row>
    <row r="547" spans="2:15" ht="13.5" hidden="1" x14ac:dyDescent="0.15">
      <c r="B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258"/>
    </row>
    <row r="548" spans="2:15" ht="13.5" hidden="1" x14ac:dyDescent="0.15">
      <c r="B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258"/>
    </row>
    <row r="549" spans="2:15" ht="13.5" hidden="1" x14ac:dyDescent="0.15">
      <c r="B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258"/>
    </row>
    <row r="550" spans="2:15" ht="13.5" hidden="1" x14ac:dyDescent="0.15">
      <c r="B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258"/>
    </row>
    <row r="551" spans="2:15" ht="13.5" hidden="1" x14ac:dyDescent="0.15">
      <c r="B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258"/>
    </row>
    <row r="552" spans="2:15" ht="13.5" hidden="1" x14ac:dyDescent="0.15">
      <c r="B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258"/>
    </row>
    <row r="553" spans="2:15" ht="13.5" hidden="1" x14ac:dyDescent="0.15">
      <c r="B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258"/>
    </row>
    <row r="554" spans="2:15" ht="13.5" hidden="1" x14ac:dyDescent="0.15">
      <c r="B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258"/>
    </row>
    <row r="555" spans="2:15" ht="13.5" hidden="1" x14ac:dyDescent="0.15">
      <c r="B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258"/>
    </row>
    <row r="556" spans="2:15" ht="13.5" hidden="1" x14ac:dyDescent="0.15">
      <c r="B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258"/>
    </row>
    <row r="557" spans="2:15" ht="13.5" hidden="1" x14ac:dyDescent="0.15">
      <c r="B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258"/>
    </row>
    <row r="558" spans="2:15" ht="13.5" hidden="1" x14ac:dyDescent="0.15">
      <c r="B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258"/>
    </row>
    <row r="559" spans="2:15" ht="13.5" hidden="1" x14ac:dyDescent="0.15">
      <c r="B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258"/>
    </row>
    <row r="560" spans="2:15" ht="13.5" hidden="1" x14ac:dyDescent="0.15">
      <c r="B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258"/>
    </row>
    <row r="561" spans="2:15" ht="13.5" hidden="1" x14ac:dyDescent="0.15">
      <c r="B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258"/>
    </row>
    <row r="562" spans="2:15" ht="13.5" hidden="1" x14ac:dyDescent="0.15">
      <c r="B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258"/>
    </row>
    <row r="563" spans="2:15" ht="13.5" hidden="1" x14ac:dyDescent="0.15">
      <c r="B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258"/>
    </row>
    <row r="564" spans="2:15" ht="13.5" hidden="1" x14ac:dyDescent="0.15">
      <c r="B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258"/>
    </row>
    <row r="565" spans="2:15" ht="13.5" hidden="1" x14ac:dyDescent="0.15">
      <c r="B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258"/>
    </row>
    <row r="566" spans="2:15" ht="13.5" hidden="1" x14ac:dyDescent="0.15">
      <c r="B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258"/>
    </row>
    <row r="567" spans="2:15" ht="13.5" hidden="1" x14ac:dyDescent="0.15">
      <c r="B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258"/>
    </row>
    <row r="568" spans="2:15" ht="13.5" hidden="1" x14ac:dyDescent="0.15">
      <c r="B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258"/>
    </row>
    <row r="569" spans="2:15" ht="13.5" hidden="1" x14ac:dyDescent="0.15">
      <c r="B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258"/>
    </row>
    <row r="570" spans="2:15" ht="13.5" hidden="1" x14ac:dyDescent="0.15">
      <c r="B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258"/>
    </row>
    <row r="571" spans="2:15" ht="13.5" hidden="1" x14ac:dyDescent="0.15">
      <c r="B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258"/>
    </row>
    <row r="572" spans="2:15" ht="13.5" hidden="1" x14ac:dyDescent="0.15">
      <c r="B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258"/>
    </row>
    <row r="573" spans="2:15" ht="13.5" hidden="1" x14ac:dyDescent="0.15">
      <c r="B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258"/>
    </row>
    <row r="574" spans="2:15" ht="13.5" hidden="1" x14ac:dyDescent="0.15">
      <c r="B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258"/>
    </row>
    <row r="575" spans="2:15" ht="13.5" hidden="1" x14ac:dyDescent="0.15">
      <c r="B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258"/>
    </row>
    <row r="576" spans="2:15" ht="13.5" hidden="1" x14ac:dyDescent="0.15">
      <c r="B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258"/>
    </row>
    <row r="577" spans="2:15" ht="13.5" hidden="1" x14ac:dyDescent="0.15">
      <c r="B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258"/>
    </row>
    <row r="578" spans="2:15" ht="13.5" hidden="1" x14ac:dyDescent="0.15">
      <c r="B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258"/>
    </row>
    <row r="579" spans="2:15" ht="13.5" hidden="1" x14ac:dyDescent="0.15">
      <c r="B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258"/>
    </row>
    <row r="580" spans="2:15" ht="13.5" hidden="1" x14ac:dyDescent="0.15">
      <c r="B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258"/>
    </row>
    <row r="581" spans="2:15" ht="13.5" hidden="1" x14ac:dyDescent="0.15">
      <c r="B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258"/>
    </row>
    <row r="582" spans="2:15" ht="13.5" hidden="1" x14ac:dyDescent="0.15">
      <c r="B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258"/>
    </row>
    <row r="583" spans="2:15" ht="13.5" hidden="1" x14ac:dyDescent="0.15">
      <c r="B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258"/>
    </row>
    <row r="584" spans="2:15" ht="13.5" hidden="1" x14ac:dyDescent="0.15">
      <c r="B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258"/>
    </row>
    <row r="585" spans="2:15" ht="13.5" hidden="1" x14ac:dyDescent="0.15">
      <c r="B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258"/>
    </row>
    <row r="586" spans="2:15" ht="13.5" hidden="1" x14ac:dyDescent="0.15">
      <c r="B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258"/>
    </row>
    <row r="587" spans="2:15" ht="13.5" hidden="1" x14ac:dyDescent="0.15">
      <c r="B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258"/>
    </row>
    <row r="588" spans="2:15" ht="13.5" hidden="1" x14ac:dyDescent="0.15">
      <c r="B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258"/>
    </row>
    <row r="589" spans="2:15" ht="13.5" hidden="1" x14ac:dyDescent="0.15">
      <c r="B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258"/>
    </row>
    <row r="590" spans="2:15" ht="13.5" hidden="1" x14ac:dyDescent="0.15">
      <c r="B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258"/>
    </row>
    <row r="591" spans="2:15" ht="13.5" hidden="1" x14ac:dyDescent="0.15">
      <c r="B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258"/>
    </row>
    <row r="592" spans="2:15" ht="13.5" hidden="1" x14ac:dyDescent="0.15">
      <c r="B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258"/>
    </row>
    <row r="593" spans="2:15" ht="13.5" hidden="1" x14ac:dyDescent="0.15">
      <c r="B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258"/>
    </row>
    <row r="594" spans="2:15" ht="13.5" hidden="1" x14ac:dyDescent="0.15">
      <c r="B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258"/>
    </row>
    <row r="595" spans="2:15" ht="13.5" hidden="1" x14ac:dyDescent="0.15">
      <c r="B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258"/>
    </row>
    <row r="596" spans="2:15" ht="13.5" hidden="1" x14ac:dyDescent="0.15">
      <c r="B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258"/>
    </row>
    <row r="597" spans="2:15" ht="13.5" hidden="1" x14ac:dyDescent="0.15">
      <c r="B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258"/>
    </row>
    <row r="598" spans="2:15" ht="13.5" hidden="1" x14ac:dyDescent="0.15">
      <c r="B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258"/>
    </row>
    <row r="599" spans="2:15" ht="13.5" hidden="1" x14ac:dyDescent="0.15">
      <c r="B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258"/>
    </row>
    <row r="600" spans="2:15" ht="13.5" hidden="1" x14ac:dyDescent="0.15">
      <c r="B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258"/>
    </row>
    <row r="601" spans="2:15" ht="13.5" hidden="1" x14ac:dyDescent="0.15">
      <c r="B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258"/>
    </row>
    <row r="602" spans="2:15" ht="13.5" hidden="1" x14ac:dyDescent="0.15">
      <c r="B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258"/>
    </row>
    <row r="603" spans="2:15" ht="13.5" hidden="1" x14ac:dyDescent="0.15">
      <c r="B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258"/>
    </row>
    <row r="604" spans="2:15" ht="13.5" hidden="1" x14ac:dyDescent="0.15">
      <c r="B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258"/>
    </row>
    <row r="605" spans="2:15" ht="13.5" hidden="1" x14ac:dyDescent="0.15">
      <c r="B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258"/>
    </row>
    <row r="606" spans="2:15" ht="13.5" hidden="1" x14ac:dyDescent="0.15">
      <c r="B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258"/>
    </row>
    <row r="607" spans="2:15" ht="13.5" hidden="1" x14ac:dyDescent="0.15">
      <c r="B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258"/>
    </row>
    <row r="608" spans="2:15" ht="13.5" hidden="1" x14ac:dyDescent="0.15">
      <c r="B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258"/>
    </row>
    <row r="609" spans="2:15" ht="13.5" hidden="1" x14ac:dyDescent="0.15">
      <c r="B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258"/>
    </row>
    <row r="610" spans="2:15" ht="13.5" hidden="1" x14ac:dyDescent="0.15">
      <c r="B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258"/>
    </row>
    <row r="611" spans="2:15" ht="13.5" hidden="1" x14ac:dyDescent="0.15">
      <c r="B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258"/>
    </row>
    <row r="612" spans="2:15" ht="13.5" hidden="1" x14ac:dyDescent="0.15">
      <c r="B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258"/>
    </row>
    <row r="613" spans="2:15" ht="13.5" hidden="1" x14ac:dyDescent="0.15">
      <c r="B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258"/>
    </row>
    <row r="614" spans="2:15" ht="13.5" hidden="1" x14ac:dyDescent="0.15">
      <c r="B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258"/>
    </row>
    <row r="615" spans="2:15" ht="13.5" hidden="1" x14ac:dyDescent="0.15">
      <c r="B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258"/>
    </row>
    <row r="616" spans="2:15" ht="13.5" hidden="1" x14ac:dyDescent="0.15">
      <c r="B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258"/>
    </row>
    <row r="617" spans="2:15" ht="13.5" hidden="1" x14ac:dyDescent="0.15">
      <c r="B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258"/>
    </row>
    <row r="618" spans="2:15" ht="13.5" hidden="1" x14ac:dyDescent="0.15">
      <c r="B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258"/>
    </row>
    <row r="619" spans="2:15" ht="13.5" hidden="1" x14ac:dyDescent="0.15">
      <c r="B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258"/>
    </row>
    <row r="620" spans="2:15" ht="13.5" hidden="1" x14ac:dyDescent="0.15">
      <c r="B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258"/>
    </row>
    <row r="621" spans="2:15" ht="13.5" hidden="1" x14ac:dyDescent="0.15">
      <c r="B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258"/>
    </row>
    <row r="622" spans="2:15" ht="13.5" hidden="1" x14ac:dyDescent="0.15">
      <c r="B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258"/>
    </row>
    <row r="623" spans="2:15" ht="13.5" hidden="1" x14ac:dyDescent="0.15">
      <c r="B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258"/>
    </row>
    <row r="624" spans="2:15" ht="13.5" hidden="1" x14ac:dyDescent="0.15">
      <c r="B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258"/>
    </row>
    <row r="625" spans="2:15" ht="13.5" hidden="1" x14ac:dyDescent="0.15">
      <c r="B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258"/>
    </row>
    <row r="626" spans="2:15" ht="13.5" hidden="1" x14ac:dyDescent="0.15">
      <c r="B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258"/>
    </row>
    <row r="627" spans="2:15" ht="13.5" hidden="1" x14ac:dyDescent="0.15">
      <c r="B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258"/>
    </row>
    <row r="628" spans="2:15" ht="13.5" hidden="1" x14ac:dyDescent="0.15">
      <c r="B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258"/>
    </row>
    <row r="629" spans="2:15" ht="13.5" hidden="1" x14ac:dyDescent="0.15">
      <c r="B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258"/>
    </row>
    <row r="630" spans="2:15" ht="13.5" hidden="1" x14ac:dyDescent="0.15">
      <c r="B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258"/>
    </row>
    <row r="631" spans="2:15" ht="13.5" hidden="1" x14ac:dyDescent="0.15">
      <c r="B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258"/>
    </row>
    <row r="632" spans="2:15" ht="13.5" hidden="1" x14ac:dyDescent="0.15">
      <c r="B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258"/>
    </row>
    <row r="633" spans="2:15" ht="13.5" hidden="1" x14ac:dyDescent="0.15">
      <c r="B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258"/>
    </row>
    <row r="634" spans="2:15" ht="13.5" hidden="1" x14ac:dyDescent="0.15">
      <c r="B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258"/>
    </row>
    <row r="635" spans="2:15" ht="13.5" hidden="1" x14ac:dyDescent="0.15">
      <c r="B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258"/>
    </row>
    <row r="636" spans="2:15" ht="13.5" hidden="1" x14ac:dyDescent="0.15">
      <c r="B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258"/>
    </row>
    <row r="637" spans="2:15" ht="13.5" hidden="1" x14ac:dyDescent="0.15">
      <c r="B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258"/>
    </row>
    <row r="638" spans="2:15" ht="13.5" hidden="1" x14ac:dyDescent="0.15">
      <c r="B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258"/>
    </row>
    <row r="639" spans="2:15" ht="13.5" hidden="1" x14ac:dyDescent="0.15">
      <c r="B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258"/>
    </row>
    <row r="640" spans="2:15" ht="13.5" hidden="1" x14ac:dyDescent="0.15">
      <c r="B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258"/>
    </row>
    <row r="641" spans="2:15" ht="13.5" hidden="1" x14ac:dyDescent="0.15">
      <c r="B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258"/>
    </row>
    <row r="642" spans="2:15" ht="13.5" hidden="1" x14ac:dyDescent="0.15">
      <c r="B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258"/>
    </row>
    <row r="643" spans="2:15" ht="13.5" hidden="1" x14ac:dyDescent="0.15">
      <c r="B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258"/>
    </row>
    <row r="644" spans="2:15" ht="13.5" hidden="1" x14ac:dyDescent="0.15">
      <c r="B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258"/>
    </row>
    <row r="645" spans="2:15" ht="13.5" hidden="1" x14ac:dyDescent="0.15">
      <c r="B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258"/>
    </row>
    <row r="646" spans="2:15" ht="13.5" hidden="1" x14ac:dyDescent="0.15">
      <c r="B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258"/>
    </row>
    <row r="647" spans="2:15" ht="13.5" hidden="1" x14ac:dyDescent="0.15">
      <c r="B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258"/>
    </row>
    <row r="648" spans="2:15" ht="13.5" hidden="1" x14ac:dyDescent="0.15">
      <c r="B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258"/>
    </row>
    <row r="649" spans="2:15" ht="13.5" hidden="1" x14ac:dyDescent="0.15">
      <c r="B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258"/>
    </row>
    <row r="650" spans="2:15" ht="13.5" hidden="1" x14ac:dyDescent="0.15">
      <c r="B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258"/>
    </row>
    <row r="651" spans="2:15" ht="13.5" hidden="1" x14ac:dyDescent="0.15">
      <c r="B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258"/>
    </row>
    <row r="652" spans="2:15" ht="13.5" hidden="1" x14ac:dyDescent="0.15">
      <c r="B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258"/>
    </row>
    <row r="653" spans="2:15" ht="13.5" hidden="1" x14ac:dyDescent="0.15">
      <c r="B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258"/>
    </row>
    <row r="654" spans="2:15" ht="13.5" hidden="1" x14ac:dyDescent="0.15">
      <c r="B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258"/>
    </row>
    <row r="655" spans="2:15" ht="13.5" hidden="1" x14ac:dyDescent="0.15">
      <c r="B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258"/>
    </row>
    <row r="656" spans="2:15" ht="13.5" hidden="1" x14ac:dyDescent="0.15">
      <c r="B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258"/>
    </row>
    <row r="657" spans="2:15" ht="13.5" hidden="1" x14ac:dyDescent="0.15">
      <c r="B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258"/>
    </row>
    <row r="658" spans="2:15" ht="13.5" hidden="1" x14ac:dyDescent="0.15">
      <c r="B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258"/>
    </row>
    <row r="659" spans="2:15" ht="13.5" hidden="1" x14ac:dyDescent="0.15">
      <c r="B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258"/>
    </row>
    <row r="660" spans="2:15" ht="13.5" hidden="1" x14ac:dyDescent="0.15">
      <c r="B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258"/>
    </row>
    <row r="661" spans="2:15" ht="13.5" hidden="1" x14ac:dyDescent="0.15">
      <c r="B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258"/>
    </row>
    <row r="662" spans="2:15" ht="13.5" hidden="1" x14ac:dyDescent="0.15">
      <c r="B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258"/>
    </row>
    <row r="663" spans="2:15" ht="13.5" hidden="1" x14ac:dyDescent="0.15">
      <c r="B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258"/>
    </row>
    <row r="664" spans="2:15" ht="13.5" hidden="1" x14ac:dyDescent="0.15">
      <c r="B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258"/>
    </row>
    <row r="665" spans="2:15" ht="13.5" hidden="1" x14ac:dyDescent="0.15">
      <c r="B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258"/>
    </row>
    <row r="666" spans="2:15" ht="13.5" hidden="1" x14ac:dyDescent="0.15">
      <c r="B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258"/>
    </row>
    <row r="667" spans="2:15" ht="13.5" hidden="1" x14ac:dyDescent="0.15">
      <c r="B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258"/>
    </row>
    <row r="668" spans="2:15" ht="13.5" hidden="1" x14ac:dyDescent="0.15">
      <c r="B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258"/>
    </row>
    <row r="669" spans="2:15" ht="13.5" hidden="1" x14ac:dyDescent="0.15">
      <c r="B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258"/>
    </row>
    <row r="670" spans="2:15" ht="13.5" hidden="1" x14ac:dyDescent="0.15">
      <c r="B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258"/>
    </row>
    <row r="671" spans="2:15" ht="13.5" hidden="1" x14ac:dyDescent="0.15">
      <c r="B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258"/>
    </row>
    <row r="672" spans="2:15" ht="13.5" hidden="1" x14ac:dyDescent="0.15">
      <c r="B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258"/>
    </row>
    <row r="673" spans="2:15" ht="13.5" hidden="1" x14ac:dyDescent="0.15">
      <c r="B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258"/>
    </row>
    <row r="674" spans="2:15" ht="13.5" hidden="1" x14ac:dyDescent="0.15">
      <c r="B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258"/>
    </row>
    <row r="675" spans="2:15" ht="13.5" hidden="1" x14ac:dyDescent="0.15">
      <c r="B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258"/>
    </row>
    <row r="676" spans="2:15" ht="13.5" hidden="1" x14ac:dyDescent="0.15">
      <c r="B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258"/>
    </row>
    <row r="677" spans="2:15" ht="13.5" hidden="1" x14ac:dyDescent="0.15">
      <c r="B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258"/>
    </row>
    <row r="678" spans="2:15" ht="13.5" hidden="1" x14ac:dyDescent="0.15">
      <c r="B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258"/>
    </row>
    <row r="679" spans="2:15" ht="13.5" hidden="1" x14ac:dyDescent="0.15">
      <c r="B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258"/>
    </row>
    <row r="680" spans="2:15" ht="13.5" hidden="1" x14ac:dyDescent="0.15">
      <c r="B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258"/>
    </row>
    <row r="681" spans="2:15" ht="13.5" hidden="1" x14ac:dyDescent="0.15">
      <c r="B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258"/>
    </row>
    <row r="682" spans="2:15" ht="13.5" hidden="1" x14ac:dyDescent="0.15">
      <c r="B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258"/>
    </row>
    <row r="683" spans="2:15" ht="13.5" hidden="1" x14ac:dyDescent="0.15">
      <c r="B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258"/>
    </row>
    <row r="684" spans="2:15" ht="13.5" hidden="1" x14ac:dyDescent="0.15">
      <c r="B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258"/>
    </row>
    <row r="685" spans="2:15" ht="13.5" hidden="1" x14ac:dyDescent="0.15">
      <c r="B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258"/>
    </row>
    <row r="686" spans="2:15" ht="13.5" hidden="1" x14ac:dyDescent="0.15">
      <c r="B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258"/>
    </row>
    <row r="687" spans="2:15" ht="13.5" hidden="1" x14ac:dyDescent="0.15">
      <c r="B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258"/>
    </row>
    <row r="688" spans="2:15" ht="13.5" hidden="1" x14ac:dyDescent="0.15">
      <c r="B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258"/>
    </row>
    <row r="689" spans="2:15" ht="13.5" hidden="1" x14ac:dyDescent="0.15">
      <c r="B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258"/>
    </row>
    <row r="690" spans="2:15" ht="13.5" hidden="1" x14ac:dyDescent="0.15">
      <c r="B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258"/>
    </row>
    <row r="691" spans="2:15" ht="13.5" hidden="1" x14ac:dyDescent="0.15">
      <c r="B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258"/>
    </row>
    <row r="692" spans="2:15" ht="13.5" hidden="1" x14ac:dyDescent="0.15">
      <c r="B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258"/>
    </row>
    <row r="693" spans="2:15" ht="13.5" hidden="1" x14ac:dyDescent="0.15">
      <c r="B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258"/>
    </row>
    <row r="694" spans="2:15" ht="13.5" hidden="1" x14ac:dyDescent="0.15">
      <c r="B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258"/>
    </row>
    <row r="695" spans="2:15" ht="13.5" hidden="1" x14ac:dyDescent="0.15">
      <c r="B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258"/>
    </row>
    <row r="696" spans="2:15" ht="13.5" hidden="1" x14ac:dyDescent="0.15">
      <c r="B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258"/>
    </row>
    <row r="697" spans="2:15" ht="13.5" hidden="1" x14ac:dyDescent="0.15">
      <c r="B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258"/>
    </row>
    <row r="698" spans="2:15" ht="13.5" hidden="1" x14ac:dyDescent="0.15">
      <c r="B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258"/>
    </row>
    <row r="699" spans="2:15" ht="13.5" hidden="1" x14ac:dyDescent="0.15">
      <c r="B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258"/>
    </row>
    <row r="700" spans="2:15" ht="13.5" hidden="1" x14ac:dyDescent="0.15">
      <c r="B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258"/>
    </row>
    <row r="701" spans="2:15" ht="13.5" hidden="1" x14ac:dyDescent="0.15">
      <c r="B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258"/>
    </row>
    <row r="702" spans="2:15" ht="13.5" hidden="1" x14ac:dyDescent="0.15">
      <c r="B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258"/>
    </row>
    <row r="703" spans="2:15" ht="13.5" hidden="1" x14ac:dyDescent="0.15">
      <c r="B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258"/>
    </row>
    <row r="704" spans="2:15" ht="13.5" hidden="1" x14ac:dyDescent="0.15">
      <c r="B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258"/>
    </row>
    <row r="705" spans="2:15" ht="13.5" hidden="1" x14ac:dyDescent="0.15">
      <c r="B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258"/>
    </row>
    <row r="706" spans="2:15" ht="13.5" hidden="1" x14ac:dyDescent="0.15">
      <c r="B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258"/>
    </row>
    <row r="707" spans="2:15" ht="13.5" hidden="1" x14ac:dyDescent="0.15">
      <c r="B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258"/>
    </row>
    <row r="708" spans="2:15" ht="13.5" hidden="1" x14ac:dyDescent="0.15">
      <c r="B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258"/>
    </row>
    <row r="709" spans="2:15" ht="13.5" hidden="1" x14ac:dyDescent="0.15">
      <c r="B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258"/>
    </row>
    <row r="710" spans="2:15" ht="13.5" hidden="1" x14ac:dyDescent="0.15">
      <c r="B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258"/>
    </row>
    <row r="711" spans="2:15" ht="13.5" hidden="1" x14ac:dyDescent="0.15">
      <c r="B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258"/>
    </row>
    <row r="712" spans="2:15" ht="13.5" hidden="1" x14ac:dyDescent="0.15">
      <c r="B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258"/>
    </row>
    <row r="713" spans="2:15" ht="13.5" hidden="1" x14ac:dyDescent="0.15">
      <c r="B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258"/>
    </row>
    <row r="714" spans="2:15" ht="13.5" hidden="1" x14ac:dyDescent="0.15">
      <c r="B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258"/>
    </row>
    <row r="715" spans="2:15" ht="13.5" hidden="1" x14ac:dyDescent="0.15">
      <c r="B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258"/>
    </row>
    <row r="716" spans="2:15" ht="13.5" hidden="1" x14ac:dyDescent="0.15">
      <c r="B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258"/>
    </row>
    <row r="717" spans="2:15" ht="13.5" hidden="1" x14ac:dyDescent="0.15">
      <c r="B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258"/>
    </row>
    <row r="718" spans="2:15" ht="13.5" hidden="1" x14ac:dyDescent="0.15">
      <c r="B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258"/>
    </row>
    <row r="719" spans="2:15" ht="13.5" hidden="1" x14ac:dyDescent="0.15">
      <c r="B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258"/>
    </row>
    <row r="720" spans="2:15" ht="13.5" hidden="1" x14ac:dyDescent="0.15">
      <c r="B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258"/>
    </row>
    <row r="721" spans="2:15" ht="13.5" hidden="1" x14ac:dyDescent="0.15">
      <c r="B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258"/>
    </row>
    <row r="722" spans="2:15" ht="13.5" hidden="1" x14ac:dyDescent="0.15">
      <c r="B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258"/>
    </row>
    <row r="723" spans="2:15" ht="13.5" hidden="1" x14ac:dyDescent="0.15">
      <c r="B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258"/>
    </row>
    <row r="724" spans="2:15" ht="13.5" hidden="1" x14ac:dyDescent="0.15">
      <c r="B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258"/>
    </row>
    <row r="725" spans="2:15" ht="13.5" hidden="1" x14ac:dyDescent="0.15">
      <c r="B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258"/>
    </row>
    <row r="726" spans="2:15" ht="13.5" hidden="1" x14ac:dyDescent="0.15">
      <c r="B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258"/>
    </row>
    <row r="727" spans="2:15" ht="13.5" hidden="1" x14ac:dyDescent="0.15">
      <c r="B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258"/>
    </row>
    <row r="728" spans="2:15" ht="13.5" hidden="1" x14ac:dyDescent="0.15">
      <c r="B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258"/>
    </row>
    <row r="729" spans="2:15" ht="13.5" hidden="1" x14ac:dyDescent="0.15">
      <c r="B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258"/>
    </row>
    <row r="730" spans="2:15" ht="13.5" hidden="1" x14ac:dyDescent="0.15">
      <c r="B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258"/>
    </row>
    <row r="731" spans="2:15" ht="13.5" hidden="1" x14ac:dyDescent="0.15">
      <c r="B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258"/>
    </row>
    <row r="732" spans="2:15" ht="13.5" hidden="1" x14ac:dyDescent="0.15">
      <c r="B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258"/>
    </row>
    <row r="733" spans="2:15" ht="13.5" hidden="1" x14ac:dyDescent="0.15">
      <c r="B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258"/>
    </row>
    <row r="734" spans="2:15" ht="13.5" hidden="1" x14ac:dyDescent="0.15">
      <c r="B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258"/>
    </row>
    <row r="735" spans="2:15" ht="13.5" hidden="1" x14ac:dyDescent="0.15">
      <c r="B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258"/>
    </row>
    <row r="736" spans="2:15" ht="13.5" hidden="1" x14ac:dyDescent="0.15">
      <c r="B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258"/>
    </row>
    <row r="737" spans="2:15" ht="13.5" hidden="1" x14ac:dyDescent="0.15">
      <c r="B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258"/>
    </row>
    <row r="738" spans="2:15" ht="13.5" hidden="1" x14ac:dyDescent="0.15">
      <c r="B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258"/>
    </row>
    <row r="739" spans="2:15" ht="13.5" hidden="1" x14ac:dyDescent="0.15">
      <c r="B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258"/>
    </row>
    <row r="740" spans="2:15" ht="13.5" hidden="1" x14ac:dyDescent="0.15">
      <c r="B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258"/>
    </row>
    <row r="741" spans="2:15" ht="13.5" hidden="1" x14ac:dyDescent="0.15">
      <c r="B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258"/>
    </row>
    <row r="742" spans="2:15" ht="13.5" hidden="1" x14ac:dyDescent="0.15">
      <c r="B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258"/>
    </row>
    <row r="743" spans="2:15" ht="13.5" hidden="1" x14ac:dyDescent="0.15">
      <c r="B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258"/>
    </row>
    <row r="744" spans="2:15" ht="13.5" hidden="1" x14ac:dyDescent="0.15">
      <c r="B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258"/>
    </row>
    <row r="745" spans="2:15" ht="13.5" hidden="1" x14ac:dyDescent="0.15">
      <c r="B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258"/>
    </row>
    <row r="746" spans="2:15" ht="13.5" hidden="1" x14ac:dyDescent="0.15">
      <c r="B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258"/>
    </row>
    <row r="747" spans="2:15" ht="13.5" hidden="1" x14ac:dyDescent="0.15">
      <c r="B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258"/>
    </row>
    <row r="748" spans="2:15" ht="13.5" hidden="1" x14ac:dyDescent="0.15">
      <c r="B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258"/>
    </row>
    <row r="749" spans="2:15" ht="13.5" hidden="1" x14ac:dyDescent="0.15">
      <c r="B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258"/>
    </row>
    <row r="750" spans="2:15" ht="13.5" hidden="1" x14ac:dyDescent="0.15">
      <c r="B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258"/>
    </row>
    <row r="751" spans="2:15" ht="13.5" hidden="1" x14ac:dyDescent="0.15">
      <c r="B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258"/>
    </row>
    <row r="752" spans="2:15" ht="13.5" hidden="1" x14ac:dyDescent="0.15">
      <c r="B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258"/>
    </row>
    <row r="753" spans="2:15" ht="13.5" hidden="1" x14ac:dyDescent="0.15">
      <c r="B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258"/>
    </row>
    <row r="754" spans="2:15" ht="13.5" hidden="1" x14ac:dyDescent="0.15">
      <c r="B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258"/>
    </row>
    <row r="755" spans="2:15" ht="13.5" hidden="1" x14ac:dyDescent="0.15">
      <c r="B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258"/>
    </row>
    <row r="756" spans="2:15" ht="13.5" hidden="1" x14ac:dyDescent="0.15">
      <c r="B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258"/>
    </row>
    <row r="757" spans="2:15" ht="13.5" hidden="1" x14ac:dyDescent="0.15">
      <c r="B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258"/>
    </row>
    <row r="758" spans="2:15" ht="13.5" hidden="1" x14ac:dyDescent="0.15">
      <c r="B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258"/>
    </row>
    <row r="759" spans="2:15" ht="13.5" hidden="1" x14ac:dyDescent="0.15">
      <c r="B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258"/>
    </row>
    <row r="760" spans="2:15" ht="13.5" hidden="1" x14ac:dyDescent="0.15">
      <c r="B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258"/>
    </row>
    <row r="761" spans="2:15" ht="13.5" hidden="1" x14ac:dyDescent="0.15">
      <c r="B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258"/>
    </row>
    <row r="762" spans="2:15" ht="13.5" hidden="1" x14ac:dyDescent="0.15">
      <c r="B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258"/>
    </row>
    <row r="763" spans="2:15" ht="13.5" hidden="1" x14ac:dyDescent="0.15">
      <c r="B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258"/>
    </row>
    <row r="764" spans="2:15" ht="13.5" hidden="1" x14ac:dyDescent="0.15">
      <c r="B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258"/>
    </row>
    <row r="765" spans="2:15" ht="13.5" hidden="1" x14ac:dyDescent="0.15">
      <c r="B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258"/>
    </row>
    <row r="766" spans="2:15" ht="13.5" hidden="1" x14ac:dyDescent="0.15">
      <c r="B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258"/>
    </row>
    <row r="767" spans="2:15" ht="13.5" hidden="1" x14ac:dyDescent="0.15">
      <c r="B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258"/>
    </row>
    <row r="768" spans="2:15" ht="13.5" hidden="1" x14ac:dyDescent="0.15">
      <c r="B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258"/>
    </row>
    <row r="769" spans="2:15" ht="13.5" hidden="1" x14ac:dyDescent="0.15">
      <c r="B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258"/>
    </row>
    <row r="770" spans="2:15" ht="13.5" hidden="1" x14ac:dyDescent="0.15">
      <c r="B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258"/>
    </row>
    <row r="771" spans="2:15" ht="13.5" hidden="1" x14ac:dyDescent="0.15">
      <c r="B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258"/>
    </row>
    <row r="772" spans="2:15" ht="13.5" hidden="1" x14ac:dyDescent="0.15">
      <c r="B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258"/>
    </row>
    <row r="773" spans="2:15" ht="13.5" hidden="1" x14ac:dyDescent="0.15">
      <c r="B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258"/>
    </row>
    <row r="774" spans="2:15" ht="13.5" hidden="1" x14ac:dyDescent="0.15">
      <c r="B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258"/>
    </row>
    <row r="775" spans="2:15" ht="13.5" hidden="1" x14ac:dyDescent="0.15">
      <c r="B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258"/>
    </row>
    <row r="776" spans="2:15" ht="13.5" hidden="1" x14ac:dyDescent="0.15">
      <c r="B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258"/>
    </row>
    <row r="777" spans="2:15" ht="13.5" hidden="1" x14ac:dyDescent="0.15">
      <c r="B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258"/>
    </row>
    <row r="778" spans="2:15" ht="13.5" hidden="1" x14ac:dyDescent="0.15">
      <c r="B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258"/>
    </row>
    <row r="779" spans="2:15" ht="13.5" hidden="1" x14ac:dyDescent="0.15">
      <c r="B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258"/>
    </row>
    <row r="780" spans="2:15" ht="13.5" hidden="1" x14ac:dyDescent="0.15">
      <c r="B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258"/>
    </row>
    <row r="781" spans="2:15" ht="13.5" hidden="1" x14ac:dyDescent="0.15">
      <c r="B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258"/>
    </row>
    <row r="782" spans="2:15" ht="13.5" hidden="1" x14ac:dyDescent="0.15">
      <c r="B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258"/>
    </row>
    <row r="783" spans="2:15" ht="13.5" hidden="1" x14ac:dyDescent="0.15">
      <c r="B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258"/>
    </row>
    <row r="784" spans="2:15" ht="13.5" hidden="1" x14ac:dyDescent="0.15">
      <c r="B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258"/>
    </row>
    <row r="785" spans="2:15" ht="13.5" hidden="1" x14ac:dyDescent="0.15">
      <c r="B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258"/>
    </row>
    <row r="786" spans="2:15" ht="13.5" hidden="1" x14ac:dyDescent="0.15">
      <c r="B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258"/>
    </row>
    <row r="787" spans="2:15" ht="13.5" hidden="1" x14ac:dyDescent="0.15">
      <c r="B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258"/>
    </row>
    <row r="788" spans="2:15" ht="13.5" hidden="1" x14ac:dyDescent="0.15">
      <c r="B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258"/>
    </row>
    <row r="789" spans="2:15" ht="13.5" hidden="1" x14ac:dyDescent="0.15">
      <c r="B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258"/>
    </row>
    <row r="790" spans="2:15" ht="13.5" hidden="1" x14ac:dyDescent="0.15">
      <c r="B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258"/>
    </row>
    <row r="791" spans="2:15" ht="13.5" hidden="1" x14ac:dyDescent="0.15">
      <c r="B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258"/>
    </row>
    <row r="792" spans="2:15" ht="13.5" hidden="1" x14ac:dyDescent="0.15">
      <c r="B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258"/>
    </row>
    <row r="793" spans="2:15" ht="13.5" hidden="1" x14ac:dyDescent="0.15">
      <c r="B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258"/>
    </row>
    <row r="794" spans="2:15" ht="13.5" hidden="1" x14ac:dyDescent="0.15">
      <c r="B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258"/>
    </row>
    <row r="795" spans="2:15" ht="13.5" hidden="1" x14ac:dyDescent="0.15">
      <c r="B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258"/>
    </row>
    <row r="796" spans="2:15" ht="13.5" hidden="1" x14ac:dyDescent="0.15">
      <c r="B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258"/>
    </row>
    <row r="797" spans="2:15" ht="13.5" hidden="1" x14ac:dyDescent="0.15">
      <c r="B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258"/>
    </row>
    <row r="798" spans="2:15" ht="13.5" hidden="1" x14ac:dyDescent="0.15">
      <c r="B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258"/>
    </row>
    <row r="799" spans="2:15" ht="13.5" hidden="1" x14ac:dyDescent="0.15">
      <c r="B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258"/>
    </row>
    <row r="800" spans="2:15" ht="13.5" hidden="1" x14ac:dyDescent="0.15">
      <c r="B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258"/>
    </row>
    <row r="801" spans="2:15" ht="13.5" hidden="1" x14ac:dyDescent="0.15">
      <c r="B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258"/>
    </row>
    <row r="802" spans="2:15" ht="13.5" hidden="1" x14ac:dyDescent="0.15">
      <c r="B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258"/>
    </row>
    <row r="803" spans="2:15" ht="13.5" hidden="1" x14ac:dyDescent="0.15">
      <c r="B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258"/>
    </row>
    <row r="804" spans="2:15" ht="13.5" hidden="1" x14ac:dyDescent="0.15">
      <c r="B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258"/>
    </row>
    <row r="805" spans="2:15" ht="13.5" hidden="1" x14ac:dyDescent="0.15">
      <c r="B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258"/>
    </row>
    <row r="806" spans="2:15" ht="13.5" hidden="1" x14ac:dyDescent="0.15">
      <c r="B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258"/>
    </row>
    <row r="807" spans="2:15" ht="13.5" hidden="1" x14ac:dyDescent="0.15">
      <c r="B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258"/>
    </row>
    <row r="808" spans="2:15" ht="13.5" hidden="1" x14ac:dyDescent="0.15">
      <c r="B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258"/>
    </row>
    <row r="809" spans="2:15" ht="13.5" hidden="1" x14ac:dyDescent="0.15">
      <c r="B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258"/>
    </row>
    <row r="810" spans="2:15" ht="13.5" hidden="1" x14ac:dyDescent="0.15">
      <c r="B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258"/>
    </row>
    <row r="811" spans="2:15" ht="13.5" hidden="1" x14ac:dyDescent="0.15">
      <c r="B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258"/>
    </row>
    <row r="812" spans="2:15" ht="13.5" hidden="1" x14ac:dyDescent="0.15">
      <c r="B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258"/>
    </row>
    <row r="813" spans="2:15" ht="13.5" hidden="1" x14ac:dyDescent="0.15">
      <c r="B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258"/>
    </row>
    <row r="814" spans="2:15" ht="13.5" hidden="1" x14ac:dyDescent="0.15">
      <c r="B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258"/>
    </row>
    <row r="815" spans="2:15" ht="13.5" hidden="1" x14ac:dyDescent="0.15">
      <c r="B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258"/>
    </row>
    <row r="816" spans="2:15" ht="13.5" hidden="1" x14ac:dyDescent="0.15">
      <c r="B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258"/>
    </row>
    <row r="817" spans="2:15" ht="13.5" hidden="1" x14ac:dyDescent="0.15">
      <c r="B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258"/>
    </row>
    <row r="818" spans="2:15" ht="13.5" hidden="1" x14ac:dyDescent="0.15">
      <c r="B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258"/>
    </row>
    <row r="819" spans="2:15" ht="13.5" hidden="1" x14ac:dyDescent="0.15">
      <c r="B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258"/>
    </row>
    <row r="820" spans="2:15" ht="13.5" hidden="1" x14ac:dyDescent="0.15">
      <c r="B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258"/>
    </row>
    <row r="821" spans="2:15" ht="13.5" hidden="1" x14ac:dyDescent="0.15">
      <c r="B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258"/>
    </row>
    <row r="822" spans="2:15" ht="13.5" hidden="1" x14ac:dyDescent="0.15">
      <c r="B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258"/>
    </row>
    <row r="823" spans="2:15" ht="13.5" hidden="1" x14ac:dyDescent="0.15">
      <c r="B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258"/>
    </row>
    <row r="824" spans="2:15" ht="13.5" hidden="1" x14ac:dyDescent="0.15">
      <c r="B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258"/>
    </row>
    <row r="825" spans="2:15" ht="13.5" hidden="1" x14ac:dyDescent="0.15">
      <c r="B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258"/>
    </row>
    <row r="826" spans="2:15" ht="13.5" hidden="1" x14ac:dyDescent="0.15">
      <c r="B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258"/>
    </row>
    <row r="827" spans="2:15" ht="13.5" hidden="1" x14ac:dyDescent="0.15">
      <c r="B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258"/>
    </row>
    <row r="828" spans="2:15" ht="13.5" hidden="1" x14ac:dyDescent="0.15">
      <c r="B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258"/>
    </row>
    <row r="829" spans="2:15" ht="13.5" hidden="1" x14ac:dyDescent="0.15">
      <c r="B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258"/>
    </row>
  </sheetData>
  <sheetProtection password="F44E" sheet="1" objects="1" scenarios="1"/>
  <mergeCells count="30">
    <mergeCell ref="M6:N6"/>
    <mergeCell ref="E2:I2"/>
    <mergeCell ref="K2:N2"/>
    <mergeCell ref="D52:E52"/>
    <mergeCell ref="B4:N4"/>
    <mergeCell ref="C33:D33"/>
    <mergeCell ref="E6:H6"/>
    <mergeCell ref="H20:I20"/>
    <mergeCell ref="J20:M20"/>
    <mergeCell ref="J18:N18"/>
    <mergeCell ref="B106:E106"/>
    <mergeCell ref="B135:N135"/>
    <mergeCell ref="C128:E128"/>
    <mergeCell ref="F128:H128"/>
    <mergeCell ref="K115:S115"/>
    <mergeCell ref="B115:J115"/>
    <mergeCell ref="I128:J128"/>
    <mergeCell ref="C7:J7"/>
    <mergeCell ref="C8:H8"/>
    <mergeCell ref="C9:H9"/>
    <mergeCell ref="G15:I15"/>
    <mergeCell ref="E14:F14"/>
    <mergeCell ref="H14:I14"/>
    <mergeCell ref="H19:I19"/>
    <mergeCell ref="L11:M11"/>
    <mergeCell ref="D61:E61"/>
    <mergeCell ref="B35:E35"/>
    <mergeCell ref="B40:N40"/>
    <mergeCell ref="G41:N41"/>
    <mergeCell ref="J19:M19"/>
  </mergeCells>
  <phoneticPr fontId="0" type="noConversion"/>
  <conditionalFormatting sqref="J105">
    <cfRule type="cellIs" dxfId="25" priority="1" stopIfTrue="1" operator="equal">
      <formula>"ATENDE TEMPO NO CARGO"</formula>
    </cfRule>
    <cfRule type="cellIs" dxfId="24" priority="2" stopIfTrue="1" operator="equal">
      <formula>"NÃO CUMPRE TEMPO NO CARGO"</formula>
    </cfRule>
  </conditionalFormatting>
  <conditionalFormatting sqref="M248:M266 M238:M244 M269:M292 C226:C228 C137:C182 N181:N182 C184:C203 C223:C224 C230:C234 C205:C221">
    <cfRule type="cellIs" dxfId="23" priority="3" stopIfTrue="1" operator="equal">
      <formula>"ANUÊNIO"</formula>
    </cfRule>
    <cfRule type="cellIs" dxfId="22" priority="4" stopIfTrue="1" operator="equal">
      <formula>"TRIÊNIO"</formula>
    </cfRule>
    <cfRule type="cellIs" dxfId="21" priority="5" stopIfTrue="1" operator="equal">
      <formula>"QUINQUÊNIO"</formula>
    </cfRule>
  </conditionalFormatting>
  <conditionalFormatting sqref="F72:F74">
    <cfRule type="cellIs" dxfId="20" priority="6" stopIfTrue="1" operator="equal">
      <formula>"NADA A CUMPRIR"</formula>
    </cfRule>
    <cfRule type="cellIs" dxfId="19" priority="7" stopIfTrue="1" operator="equal">
      <formula>"NÃO CABE"</formula>
    </cfRule>
    <cfRule type="cellIs" dxfId="18" priority="8" stopIfTrue="1" operator="greaterThanOrEqual">
      <formula>0</formula>
    </cfRule>
  </conditionalFormatting>
  <conditionalFormatting sqref="E71">
    <cfRule type="cellIs" dxfId="17" priority="9" stopIfTrue="1" operator="equal">
      <formula>"NÃO ATENDE LIMITE MÍNIMO DE IDADE"</formula>
    </cfRule>
    <cfRule type="cellIs" dxfId="16" priority="10" stopIfTrue="1" operator="equal">
      <formula>"REANALISAR FUNDAMENTAÇÃO E/OU MODALIDADE"</formula>
    </cfRule>
    <cfRule type="cellIs" dxfId="15" priority="11" stopIfTrue="1" operator="equal">
      <formula>"ATENDE LIMITE MÍNIMO DE IDADE"</formula>
    </cfRule>
  </conditionalFormatting>
  <conditionalFormatting sqref="N69 N71">
    <cfRule type="cellIs" dxfId="14" priority="12" stopIfTrue="1" operator="equal">
      <formula>0</formula>
    </cfRule>
  </conditionalFormatting>
  <conditionalFormatting sqref="K8">
    <cfRule type="expression" dxfId="13" priority="13" stopIfTrue="1">
      <formula>"SE($N$8=0)"</formula>
    </cfRule>
  </conditionalFormatting>
  <conditionalFormatting sqref="C73">
    <cfRule type="cellIs" dxfId="12" priority="14" stopIfTrue="1" operator="equal">
      <formula>"FALTA DATA"</formula>
    </cfRule>
  </conditionalFormatting>
  <conditionalFormatting sqref="M74">
    <cfRule type="cellIs" dxfId="11" priority="15" stopIfTrue="1" operator="equal">
      <formula>"ATENDE"</formula>
    </cfRule>
    <cfRule type="cellIs" dxfId="10" priority="16" stopIfTrue="1" operator="equal">
      <formula>"NÃO ATENDE"</formula>
    </cfRule>
    <cfRule type="cellIs" dxfId="9" priority="17" stopIfTrue="1" operator="equal">
      <formula>"NÃO CABE"</formula>
    </cfRule>
  </conditionalFormatting>
  <conditionalFormatting sqref="M73">
    <cfRule type="cellIs" dxfId="8" priority="18" stopIfTrue="1" operator="equal">
      <formula>"ATENDE"</formula>
    </cfRule>
    <cfRule type="cellIs" dxfId="7" priority="19" stopIfTrue="1" operator="equal">
      <formula>"NÃO ATENDE"</formula>
    </cfRule>
    <cfRule type="cellIs" dxfId="6" priority="20" stopIfTrue="1" operator="equal">
      <formula>"NÃO CABE"</formula>
    </cfRule>
  </conditionalFormatting>
  <conditionalFormatting sqref="M75:M76 M92:M93 L78:L86 L77:M77 L88:L91">
    <cfRule type="cellIs" dxfId="5" priority="21" stopIfTrue="1" operator="equal">
      <formula>"ATENDE"</formula>
    </cfRule>
    <cfRule type="cellIs" dxfId="4" priority="22" stopIfTrue="1" operator="equal">
      <formula>"NÃO ATENDE"</formula>
    </cfRule>
    <cfRule type="cellIs" dxfId="3" priority="23" stopIfTrue="1" operator="equal">
      <formula>"OK"</formula>
    </cfRule>
  </conditionalFormatting>
  <conditionalFormatting sqref="K42">
    <cfRule type="expression" dxfId="2" priority="24" stopIfTrue="1">
      <formula>$E$42&lt;=0</formula>
    </cfRule>
  </conditionalFormatting>
  <conditionalFormatting sqref="M42">
    <cfRule type="expression" dxfId="1" priority="25" stopIfTrue="1">
      <formula>$E$42&lt;=0</formula>
    </cfRule>
  </conditionalFormatting>
  <conditionalFormatting sqref="O70 I67">
    <cfRule type="cellIs" dxfId="0" priority="26" stopIfTrue="1" operator="equal">
      <formula>"REVER TIPO DE ADICIONAL"</formula>
    </cfRule>
  </conditionalFormatting>
  <dataValidations disablePrompts="1" count="2">
    <dataValidation type="list" allowBlank="1" showInputMessage="1" showErrorMessage="1" sqref="K2:N2" xr:uid="{00000000-0002-0000-1500-000000000000}">
      <formula1>$O$2:$O$7</formula1>
    </dataValidation>
    <dataValidation type="list" allowBlank="1" showInputMessage="1" showErrorMessage="1" sqref="E2:I2" xr:uid="{00000000-0002-0000-1500-000001000000}">
      <formula1>$B$95:$B$103</formula1>
    </dataValidation>
  </dataValidations>
  <printOptions horizontalCentered="1" gridLinesSet="0"/>
  <pageMargins left="0.19685039370078741" right="0" top="0.19685039370078741" bottom="0.19685039370078741" header="0.19685039370078741" footer="3.937007874015748E-2"/>
  <pageSetup paperSize="9" scale="75" orientation="portrait" horizontalDpi="300" verticalDpi="300" r:id="rId1"/>
  <headerFooter alignWithMargins="0"/>
  <colBreaks count="1" manualBreakCount="1">
    <brk id="15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22</vt:i4>
      </vt:variant>
    </vt:vector>
  </HeadingPairs>
  <TitlesOfParts>
    <vt:vector size="44" baseType="lpstr">
      <vt:lpstr>FICHA FUNCIONAL</vt:lpstr>
      <vt:lpstr>MTS - MAPA DE TEMPO DE SERVIÇO</vt:lpstr>
      <vt:lpstr>RESUMO CONCLUSIVO</vt:lpstr>
      <vt:lpstr>CENÁRIOS DE CONCESSÃO</vt:lpstr>
      <vt:lpstr>CRÍTICA_IGP1</vt:lpstr>
      <vt:lpstr>INSTRUÇÃO</vt:lpstr>
      <vt:lpstr>VI_REAEC20</vt:lpstr>
      <vt:lpstr>VI_RP_EC20</vt:lpstr>
      <vt:lpstr>VI_RP_EC41</vt:lpstr>
      <vt:lpstr>VI_ART. 6º</vt:lpstr>
      <vt:lpstr>VI_TRANS_EC47</vt:lpstr>
      <vt:lpstr>VI_TRANS_EC20</vt:lpstr>
      <vt:lpstr>VPTS_RAEC20</vt:lpstr>
      <vt:lpstr>VPTC_TRANS_EC20</vt:lpstr>
      <vt:lpstr>VPI_RAEC20</vt:lpstr>
      <vt:lpstr>VPI_RP_EC41</vt:lpstr>
      <vt:lpstr>VR_ART_ 2º</vt:lpstr>
      <vt:lpstr>VE_RAEC20</vt:lpstr>
      <vt:lpstr>VE_ART_6º</vt:lpstr>
      <vt:lpstr>VE_TRANS_EC20</vt:lpstr>
      <vt:lpstr>VE_RP_EC20</vt:lpstr>
      <vt:lpstr>VE_RP_EC41</vt:lpstr>
      <vt:lpstr>CENÁRIOS DE CONCESSÃO!Area_de_impressao</vt:lpstr>
      <vt:lpstr>CRÍTICA_IGP1!Area_de_impressao</vt:lpstr>
      <vt:lpstr>FICHA FUNCIONAL!Area_de_impressao</vt:lpstr>
      <vt:lpstr>INSTRUÇÃO!Area_de_impressao</vt:lpstr>
      <vt:lpstr>MTS - MAPA DE TEMPO DE SERVIÇO!Area_de_impressao</vt:lpstr>
      <vt:lpstr>RESUMO CONCLUSIVO!Area_de_impressao</vt:lpstr>
      <vt:lpstr>VE_ART_6º!Area_de_impressao</vt:lpstr>
      <vt:lpstr>VE_RAEC20!Area_de_impressao</vt:lpstr>
      <vt:lpstr>VE_RP_EC20!Area_de_impressao</vt:lpstr>
      <vt:lpstr>VE_RP_EC41!Area_de_impressao</vt:lpstr>
      <vt:lpstr>VE_TRANS_EC20!Area_de_impressao</vt:lpstr>
      <vt:lpstr>VI_ART. 6º!Area_de_impressao</vt:lpstr>
      <vt:lpstr>VI_REAEC20!Area_de_impressao</vt:lpstr>
      <vt:lpstr>VI_RP_EC20!Area_de_impressao</vt:lpstr>
      <vt:lpstr>VI_RP_EC41!Area_de_impressao</vt:lpstr>
      <vt:lpstr>VI_TRANS_EC20!Area_de_impressao</vt:lpstr>
      <vt:lpstr>VI_TRANS_EC47!Area_de_impressao</vt:lpstr>
      <vt:lpstr>VPI_RAEC20!Area_de_impressao</vt:lpstr>
      <vt:lpstr>VPI_RP_EC41!Area_de_impressao</vt:lpstr>
      <vt:lpstr>VPTC_TRANS_EC20!Area_de_impressao</vt:lpstr>
      <vt:lpstr>VPTS_RAEC20!Area_de_impressao</vt:lpstr>
      <vt:lpstr>VR_ART_ 2º!Area_de_impressao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TRIBUNAL DE CONTAS DO ESTADO DO RIO DE JANEIRO</dc:title>
  <dc:subject>CÔMPUTO DE CODIGO 55, INDEVIDAMENTE, PARA ATS, REF, PROPORCIONALIDADE, LICENÇA PRÊMIO ....</dc:subject>
  <dc:creator>GILO</dc:creator>
  <cp:keywords>COD 55</cp:keywords>
  <dc:description>CONSOANTE DECISÃO PROLATADA NOS TERMOS DO VOTO DO RELATOR, JOSÉ GOMES GRACIOSA, EM SESSÃO DE 17/09/98, DECIDIU POR DILIGÊNCIA EXTERNA, "por absoluta falta de amparo legal que autorize a contagem do tempo de afastamento permitido pela Lei nº 2.173/93 ...</dc:description>
  <cp:lastModifiedBy>X</cp:lastModifiedBy>
  <cp:lastPrinted>2013-01-18T00:09:51Z</cp:lastPrinted>
  <dcterms:created xsi:type="dcterms:W3CDTF">2000-08-31T20:16:01Z</dcterms:created>
  <dcterms:modified xsi:type="dcterms:W3CDTF">2018-05-11T11:45:15Z</dcterms:modified>
</cp:coreProperties>
</file>