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5.xml" ContentType="application/vnd.openxmlformats-officedocument.drawing+xml"/>
  <Override PartName="/xl/embeddings/oleObject1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ctrlProps/ctrlProp24.xml" ContentType="application/vnd.ms-excel.controlproperties+xml"/>
  <Override PartName="/xl/drawings/drawing8.xml" ContentType="application/vnd.openxmlformats-officedocument.drawing+xml"/>
  <Override PartName="/xl/embeddings/oleObject20.bin" ContentType="application/vnd.openxmlformats-officedocument.oleObject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ctrlProps/ctrlProp30.xml" ContentType="application/vnd.ms-excel.controlproperties+xml"/>
  <Override PartName="/xl/drawings/drawing11.xml" ContentType="application/vnd.openxmlformats-officedocument.drawing+xml"/>
  <Override PartName="/xl/embeddings/oleObject24.bin" ContentType="application/vnd.openxmlformats-officedocument.oleObject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ctrlProps/ctrlProp36.xml" ContentType="application/vnd.ms-excel.controlproperties+xml"/>
  <Override PartName="/xl/drawings/drawing14.xml" ContentType="application/vnd.openxmlformats-officedocument.drawing+xml"/>
  <Override PartName="/xl/embeddings/oleObject29.bin" ContentType="application/vnd.openxmlformats-officedocument.oleObject"/>
  <Override PartName="/xl/ctrlProps/ctrlProp37.xml" ContentType="application/vnd.ms-excel.controlproperties+xml"/>
  <Override PartName="/xl/ctrlProps/ctrlProp38.xml" ContentType="application/vnd.ms-excel.controlproperties+xml"/>
  <Override PartName="/xl/drawings/drawing15.xml" ContentType="application/vnd.openxmlformats-officedocument.drawing+xml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8.xml" ContentType="application/vnd.openxmlformats-officedocument.drawing+xml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ctrlProps/ctrlProp48.xml" ContentType="application/vnd.ms-excel.controlproperties+xml"/>
  <Override PartName="/xl/drawings/drawing1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20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1.xml" ContentType="application/vnd.openxmlformats-officedocument.drawing+xml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ctrlProps/ctrlProp55.xml" ContentType="application/vnd.ms-excel.controlproperties+xml"/>
  <Override PartName="/xl/drawings/drawing22.xml" ContentType="application/vnd.openxmlformats-officedocument.drawing+xml"/>
  <Override PartName="/xl/embeddings/oleObject38.bin" ContentType="application/vnd.openxmlformats-officedocument.oleObject"/>
  <Override PartName="/xl/ctrlProps/ctrlProp56.xml" ContentType="application/vnd.ms-excel.controlproperties+xml"/>
  <Override PartName="/xl/ctrlProps/ctrlProp57.xml" ContentType="application/vnd.ms-excel.controlproperties+xml"/>
  <Override PartName="/xl/drawings/drawing2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24.xml" ContentType="application/vnd.openxmlformats-officedocument.drawing+xml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ctrlProps/ctrlProp61.xml" ContentType="application/vnd.ms-excel.controlproperties+xml"/>
  <Override PartName="/xl/drawings/drawing25.xml" ContentType="application/vnd.openxmlformats-officedocument.drawing+xml"/>
  <Override PartName="/xl/embeddings/oleObject43.bin" ContentType="application/vnd.openxmlformats-officedocument.oleObject"/>
  <Override PartName="/xl/ctrlProps/ctrlProp62.xml" ContentType="application/vnd.ms-excel.controlproperties+xml"/>
  <Override PartName="/xl/ctrlProps/ctrlProp63.xml" ContentType="application/vnd.ms-excel.controlproperties+xml"/>
  <Override PartName="/xl/drawings/drawing26.xml" ContentType="application/vnd.openxmlformats-officedocument.drawing+xml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2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8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9.xml" ContentType="application/vnd.openxmlformats-officedocument.drawing+xml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embeddings/oleObject49.bin" ContentType="application/vnd.openxmlformats-officedocument.oleObject"/>
  <Override PartName="/xl/ctrlProps/ctrlProp73.xml" ContentType="application/vnd.ms-excel.controlproperties+xml"/>
  <Override PartName="/xl/drawings/drawing30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3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32.xml" ContentType="application/vnd.openxmlformats-officedocument.drawing+xml"/>
  <Override PartName="/xl/embeddings/oleObject50.bin" ContentType="application/vnd.openxmlformats-officedocument.oleObject"/>
  <Override PartName="/xl/embeddings/oleObject51.bin" ContentType="application/vnd.openxmlformats-officedocument.oleObject"/>
  <Override PartName="/xl/embeddings/oleObject52.bin" ContentType="application/vnd.openxmlformats-officedocument.oleObject"/>
  <Override PartName="/xl/embeddings/oleObject53.bin" ContentType="application/vnd.openxmlformats-officedocument.oleObject"/>
  <Override PartName="/xl/ctrlProps/ctrlProp80.xml" ContentType="application/vnd.ms-excel.controlproperties+xml"/>
  <Override PartName="/xl/drawings/drawing33.xml" ContentType="application/vnd.openxmlformats-officedocument.drawing+xml"/>
  <Override PartName="/xl/embeddings/oleObject54.bin" ContentType="application/vnd.openxmlformats-officedocument.oleObject"/>
  <Override PartName="/xl/ctrlProps/ctrlProp81.xml" ContentType="application/vnd.ms-excel.controlproperties+xml"/>
  <Override PartName="/xl/ctrlProps/ctrlProp82.xml" ContentType="application/vnd.ms-excel.controlproperties+xml"/>
  <Override PartName="/xl/drawings/drawing34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35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36.xml" ContentType="application/vnd.openxmlformats-officedocument.drawing+xml"/>
  <Override PartName="/xl/embeddings/oleObject55.bin" ContentType="application/vnd.openxmlformats-officedocument.oleObject"/>
  <Override PartName="/xl/embeddings/oleObject56.bin" ContentType="application/vnd.openxmlformats-officedocument.oleObject"/>
  <Override PartName="/xl/embeddings/oleObject57.bin" ContentType="application/vnd.openxmlformats-officedocument.oleObject"/>
  <Override PartName="/xl/embeddings/oleObject58.bin" ContentType="application/vnd.openxmlformats-officedocument.oleObject"/>
  <Override PartName="/xl/embeddings/oleObject59.bin" ContentType="application/vnd.openxmlformats-officedocument.oleObject"/>
  <Override PartName="/xl/ctrlProps/ctrlProp92.xml" ContentType="application/vnd.ms-excel.controlproperties+xml"/>
  <Override PartName="/xl/drawings/drawing37.xml" ContentType="application/vnd.openxmlformats-officedocument.drawing+xml"/>
  <Override PartName="/xl/embeddings/oleObject60.bin" ContentType="application/vnd.openxmlformats-officedocument.oleObject"/>
  <Override PartName="/xl/ctrlProps/ctrlProp93.xml" ContentType="application/vnd.ms-excel.controlproperties+xml"/>
  <Override PartName="/xl/ctrlProps/ctrlProp94.xml" ContentType="application/vnd.ms-excel.controlproperties+xml"/>
  <Override PartName="/xl/drawings/drawing38.xml" ContentType="application/vnd.openxmlformats-officedocument.drawing+xml"/>
  <Override PartName="/xl/embeddings/oleObject61.bin" ContentType="application/vnd.openxmlformats-officedocument.oleObject"/>
  <Override PartName="/xl/embeddings/oleObject62.bin" ContentType="application/vnd.openxmlformats-officedocument.oleObject"/>
  <Override PartName="/xl/embeddings/oleObject63.bin" ContentType="application/vnd.openxmlformats-officedocument.oleObject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39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40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41.xml" ContentType="application/vnd.openxmlformats-officedocument.drawing+xml"/>
  <Override PartName="/xl/embeddings/oleObject64.bin" ContentType="application/vnd.openxmlformats-officedocument.oleObject"/>
  <Override PartName="/xl/embeddings/oleObject65.bin" ContentType="application/vnd.openxmlformats-officedocument.oleObject"/>
  <Override PartName="/xl/embeddings/oleObject66.bin" ContentType="application/vnd.openxmlformats-officedocument.oleObject"/>
  <Override PartName="/xl/embeddings/oleObject67.bin" ContentType="application/vnd.openxmlformats-officedocument.oleObject"/>
  <Override PartName="/xl/ctrlProps/ctrlProp106.xml" ContentType="application/vnd.ms-excel.controlproperties+xml"/>
  <Override PartName="/xl/drawings/drawing42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43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drawings/drawing44.xml" ContentType="application/vnd.openxmlformats-officedocument.drawing+xml"/>
  <Override PartName="/xl/embeddings/oleObject68.bin" ContentType="application/vnd.openxmlformats-officedocument.oleObject"/>
  <Override PartName="/xl/embeddings/oleObject69.bin" ContentType="application/vnd.openxmlformats-officedocument.oleObject"/>
  <Override PartName="/xl/embeddings/oleObject70.bin" ContentType="application/vnd.openxmlformats-officedocument.oleObject"/>
  <Override PartName="/xl/embeddings/oleObject71.bin" ContentType="application/vnd.openxmlformats-officedocument.oleObject"/>
  <Override PartName="/xl/ctrlProps/ctrlProp118.xml" ContentType="application/vnd.ms-excel.controlproperties+xml"/>
  <Override PartName="/xl/drawings/drawing45.xml" ContentType="application/vnd.openxmlformats-officedocument.drawing+xml"/>
  <Override PartName="/xl/embeddings/oleObject72.bin" ContentType="application/vnd.openxmlformats-officedocument.oleObject"/>
  <Override PartName="/xl/ctrlProps/ctrlProp119.xml" ContentType="application/vnd.ms-excel.controlproperties+xml"/>
  <Override PartName="/xl/ctrlProps/ctrlProp120.xml" ContentType="application/vnd.ms-excel.controlproperties+xml"/>
  <Override PartName="/xl/drawings/drawing46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47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48.xml" ContentType="application/vnd.openxmlformats-officedocument.drawing+xml"/>
  <Override PartName="/xl/embeddings/oleObject73.bin" ContentType="application/vnd.openxmlformats-officedocument.oleObject"/>
  <Override PartName="/xl/embeddings/oleObject74.bin" ContentType="application/vnd.openxmlformats-officedocument.oleObject"/>
  <Override PartName="/xl/embeddings/oleObject75.bin" ContentType="application/vnd.openxmlformats-officedocument.oleObject"/>
  <Override PartName="/xl/embeddings/oleObject76.bin" ContentType="application/vnd.openxmlformats-officedocument.oleObject"/>
  <Override PartName="/xl/embeddings/oleObject77.bin" ContentType="application/vnd.openxmlformats-officedocument.oleObject"/>
  <Override PartName="/xl/ctrlProps/ctrlProp1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xWindow="480" yWindow="330" windowWidth="15480" windowHeight="7650" tabRatio="938" activeTab="35"/>
  </bookViews>
  <sheets>
    <sheet name="Abertura" sheetId="51" r:id="rId1"/>
    <sheet name="Entradas1" sheetId="1" r:id="rId2"/>
    <sheet name="Entradas2" sheetId="2" r:id="rId3"/>
    <sheet name="Blocos" sheetId="3" r:id="rId4"/>
    <sheet name="1 Estaca" sheetId="4" r:id="rId5"/>
    <sheet name="1 Est Arm" sheetId="55" r:id="rId6"/>
    <sheet name="1 Est Rel Final" sheetId="56" r:id="rId7"/>
    <sheet name="2 Estacas" sheetId="5" r:id="rId8"/>
    <sheet name="2 Est Armadura" sheetId="14" r:id="rId9"/>
    <sheet name="2 Est Rel Final" sheetId="40" r:id="rId10"/>
    <sheet name="3 Estacas1" sheetId="6" r:id="rId11"/>
    <sheet name="3 Est1 Arm" sheetId="15" r:id="rId12"/>
    <sheet name="Rel Final3.1" sheetId="21" r:id="rId13"/>
    <sheet name="3 Estacas2" sheetId="7" r:id="rId14"/>
    <sheet name="3 Estac 2 Arm" sheetId="33" r:id="rId15"/>
    <sheet name="3 Est 2 Arm Lados" sheetId="34" r:id="rId16"/>
    <sheet name="3 Est 2 Arm Lados Dist" sheetId="35" r:id="rId17"/>
    <sheet name="3 Est2 LAdosRelFinal" sheetId="38" r:id="rId18"/>
    <sheet name="3 Est 2 Arm Medianas" sheetId="36" r:id="rId19"/>
    <sheet name="3 Est2 Arm Median. Dist" sheetId="37" r:id="rId20"/>
    <sheet name="3 Est 2 Median. RelFinal" sheetId="39" r:id="rId21"/>
    <sheet name="4 Estacas1" sheetId="8" r:id="rId22"/>
    <sheet name="4 Est1 Arm" sheetId="16" r:id="rId23"/>
    <sheet name="Rel Final4.1" sheetId="22" r:id="rId24"/>
    <sheet name="4 Estacas2" sheetId="9" r:id="rId25"/>
    <sheet name="4 Est2 Arm1" sheetId="19" r:id="rId26"/>
    <sheet name="4 Est 2 Armadlados" sheetId="27" r:id="rId27"/>
    <sheet name="4 Est 2 Armlados dist" sheetId="28" r:id="rId28"/>
    <sheet name="4Est 2LadosRel Fin" sheetId="29" r:id="rId29"/>
    <sheet name="4 Est2 DiagoArm" sheetId="30" r:id="rId30"/>
    <sheet name="4 Est2 DiagoArmDist" sheetId="31" r:id="rId31"/>
    <sheet name="4 Est2 Diag Rel Final" sheetId="32" r:id="rId32"/>
    <sheet name="5 Estacas1" sheetId="10" r:id="rId33"/>
    <sheet name="5 Estacas1Arm" sheetId="41" r:id="rId34"/>
    <sheet name="5 Estacas1 Arm Dist" sheetId="45" r:id="rId35"/>
    <sheet name="5 Est 1 Rel Final" sheetId="50" r:id="rId36"/>
    <sheet name="5 Estacas2" sheetId="11" r:id="rId37"/>
    <sheet name="5 Estacas2Arm" sheetId="42" r:id="rId38"/>
    <sheet name="5 Estacas2 Arm.Lados" sheetId="43" r:id="rId39"/>
    <sheet name="5 Estacas2Lados Arrm Dist" sheetId="44" r:id="rId40"/>
    <sheet name="5 Estacas Relatório Final" sheetId="46" r:id="rId41"/>
    <sheet name="5 Estacas2Arm.Medianas" sheetId="47" r:id="rId42"/>
    <sheet name="5Est Med. Dist" sheetId="49" r:id="rId43"/>
    <sheet name="5 Estacas2 Med.Relat. Fina" sheetId="48" r:id="rId44"/>
    <sheet name="6 Estacas" sheetId="12" r:id="rId45"/>
    <sheet name="6 Est. Arm" sheetId="23" r:id="rId46"/>
    <sheet name="6 Est. Arm Dist" sheetId="25" r:id="rId47"/>
    <sheet name="Rel Final 6" sheetId="26" r:id="rId48"/>
  </sheets>
  <externalReferences>
    <externalReference r:id="rId49"/>
  </externalReferences>
  <calcPr calcId="145621"/>
</workbook>
</file>

<file path=xl/calcChain.xml><?xml version="1.0" encoding="utf-8"?>
<calcChain xmlns="http://schemas.openxmlformats.org/spreadsheetml/2006/main">
  <c r="T18" i="40" l="1"/>
  <c r="S12" i="55"/>
  <c r="S13" i="55" s="1"/>
  <c r="S14" i="55" s="1"/>
  <c r="U25" i="4" l="1"/>
  <c r="X25" i="4" s="1"/>
  <c r="U28" i="4" s="1"/>
  <c r="M8" i="4" s="1"/>
  <c r="U7" i="56" s="1"/>
  <c r="W26" i="5"/>
  <c r="U8" i="4"/>
  <c r="X8" i="4" s="1"/>
  <c r="U9" i="4"/>
  <c r="X9" i="4" s="1"/>
  <c r="U17" i="56"/>
  <c r="U4" i="56"/>
  <c r="F69" i="56"/>
  <c r="D100" i="55"/>
  <c r="C33" i="55"/>
  <c r="C7" i="55"/>
  <c r="S4" i="4"/>
  <c r="S3" i="4"/>
  <c r="P67" i="48"/>
  <c r="L67" i="48"/>
  <c r="P63" i="48"/>
  <c r="L63" i="48"/>
  <c r="O46" i="48"/>
  <c r="K46" i="48"/>
  <c r="T18" i="48"/>
  <c r="L67" i="46"/>
  <c r="P67" i="46"/>
  <c r="P63" i="46"/>
  <c r="L63" i="46"/>
  <c r="P46" i="46"/>
  <c r="O46" i="46"/>
  <c r="K46" i="46"/>
  <c r="J46" i="46"/>
  <c r="E114" i="49"/>
  <c r="R55" i="49" s="1"/>
  <c r="R44" i="49"/>
  <c r="R45" i="49" s="1"/>
  <c r="R47" i="49" s="1"/>
  <c r="U47" i="49" s="1"/>
  <c r="R37" i="49"/>
  <c r="N37" i="49"/>
  <c r="C35" i="49"/>
  <c r="D109" i="49"/>
  <c r="R28" i="49" s="1"/>
  <c r="R16" i="49"/>
  <c r="R17" i="49" s="1"/>
  <c r="R19" i="49" s="1"/>
  <c r="U19" i="49" s="1"/>
  <c r="R9" i="49"/>
  <c r="C7" i="49"/>
  <c r="O5" i="49"/>
  <c r="N37" i="44"/>
  <c r="O5" i="44"/>
  <c r="T18" i="26"/>
  <c r="E129" i="25"/>
  <c r="T35" i="26" s="1"/>
  <c r="J62" i="26" s="1"/>
  <c r="R44" i="25"/>
  <c r="R37" i="25"/>
  <c r="C35" i="25"/>
  <c r="D125" i="25"/>
  <c r="R10" i="25" s="1"/>
  <c r="R16" i="25"/>
  <c r="R9" i="25"/>
  <c r="C7" i="25"/>
  <c r="E107" i="23"/>
  <c r="R56" i="23" s="1"/>
  <c r="R44" i="23"/>
  <c r="R37" i="23"/>
  <c r="C35" i="23"/>
  <c r="E26" i="23"/>
  <c r="T22" i="26" s="1"/>
  <c r="J50" i="26" s="1"/>
  <c r="R16" i="23"/>
  <c r="R9" i="23"/>
  <c r="C7" i="23"/>
  <c r="AA34" i="12"/>
  <c r="Z26" i="12"/>
  <c r="AC26" i="12" s="1"/>
  <c r="Z19" i="12"/>
  <c r="Z4" i="12"/>
  <c r="G47" i="55" l="1"/>
  <c r="S15" i="55"/>
  <c r="R32" i="23"/>
  <c r="G49" i="23"/>
  <c r="T28" i="26" s="1"/>
  <c r="T5" i="55"/>
  <c r="G21" i="55"/>
  <c r="E34" i="55"/>
  <c r="U20" i="56"/>
  <c r="C51" i="56" s="1"/>
  <c r="U20" i="4"/>
  <c r="R55" i="25"/>
  <c r="R38" i="25"/>
  <c r="R39" i="25" s="1"/>
  <c r="R32" i="49"/>
  <c r="N38" i="49"/>
  <c r="U10" i="4"/>
  <c r="U11" i="4"/>
  <c r="U3" i="4"/>
  <c r="R4" i="23"/>
  <c r="G21" i="23"/>
  <c r="T24" i="26" s="1"/>
  <c r="R28" i="23"/>
  <c r="R27" i="23" s="1"/>
  <c r="R38" i="23"/>
  <c r="R39" i="23" s="1"/>
  <c r="R55" i="23"/>
  <c r="R32" i="25"/>
  <c r="G49" i="25"/>
  <c r="T37" i="26" s="1"/>
  <c r="R56" i="25"/>
  <c r="R4" i="49"/>
  <c r="R10" i="23"/>
  <c r="R11" i="23" s="1"/>
  <c r="T26" i="26"/>
  <c r="J54" i="26" s="1"/>
  <c r="R38" i="49"/>
  <c r="R39" i="49" s="1"/>
  <c r="G49" i="49"/>
  <c r="T32" i="48" s="1"/>
  <c r="T26" i="48"/>
  <c r="T30" i="48"/>
  <c r="J67" i="48" s="1"/>
  <c r="R21" i="49"/>
  <c r="R27" i="49"/>
  <c r="R56" i="49"/>
  <c r="R10" i="49"/>
  <c r="O4" i="49" s="1"/>
  <c r="G21" i="49"/>
  <c r="T28" i="48" s="1"/>
  <c r="R49" i="49"/>
  <c r="Z13" i="12"/>
  <c r="G21" i="25"/>
  <c r="T32" i="26" s="1"/>
  <c r="T30" i="26"/>
  <c r="N62" i="26" s="1"/>
  <c r="R4" i="25"/>
  <c r="R27" i="25"/>
  <c r="G35" i="26"/>
  <c r="C36" i="26"/>
  <c r="K42" i="26"/>
  <c r="J43" i="26"/>
  <c r="D35" i="26"/>
  <c r="K35" i="26"/>
  <c r="H36" i="26"/>
  <c r="P36" i="26"/>
  <c r="O42" i="26"/>
  <c r="C43" i="26" l="1"/>
  <c r="G16" i="55"/>
  <c r="G42" i="55"/>
  <c r="G41" i="55" s="1"/>
  <c r="U12" i="4"/>
  <c r="X12" i="4" s="1"/>
  <c r="C55" i="56"/>
  <c r="U22" i="56"/>
  <c r="J36" i="26"/>
  <c r="O35" i="26"/>
  <c r="G51" i="56"/>
  <c r="G55" i="56"/>
  <c r="J46" i="48"/>
  <c r="N67" i="48"/>
  <c r="P46" i="48"/>
  <c r="R11" i="49"/>
  <c r="J63" i="48"/>
  <c r="N63" i="48"/>
  <c r="P38" i="48"/>
  <c r="O38" i="48"/>
  <c r="J38" i="48"/>
  <c r="K38" i="48"/>
  <c r="H43" i="26"/>
  <c r="D42" i="26"/>
  <c r="G42" i="26"/>
  <c r="J58" i="26"/>
  <c r="G15" i="55" l="1"/>
  <c r="H15" i="55" s="1"/>
  <c r="E102" i="47"/>
  <c r="G21" i="47" s="1"/>
  <c r="T24" i="48" s="1"/>
  <c r="R16" i="47"/>
  <c r="R9" i="47"/>
  <c r="C7" i="47"/>
  <c r="T18" i="46"/>
  <c r="E105" i="44"/>
  <c r="R55" i="44" s="1"/>
  <c r="R44" i="44"/>
  <c r="R37" i="44"/>
  <c r="C35" i="44"/>
  <c r="D115" i="44"/>
  <c r="R16" i="44"/>
  <c r="R9" i="44"/>
  <c r="C7" i="44"/>
  <c r="E101" i="43"/>
  <c r="R27" i="43" s="1"/>
  <c r="R16" i="43"/>
  <c r="R9" i="43"/>
  <c r="C7" i="43"/>
  <c r="AE34" i="11"/>
  <c r="AD26" i="11"/>
  <c r="AG26" i="11" s="1"/>
  <c r="AD19" i="11"/>
  <c r="AD4" i="11"/>
  <c r="AD13" i="11" l="1"/>
  <c r="R4" i="47"/>
  <c r="R38" i="44"/>
  <c r="G49" i="44"/>
  <c r="T32" i="46" s="1"/>
  <c r="R4" i="43"/>
  <c r="G21" i="43"/>
  <c r="T24" i="46" s="1"/>
  <c r="R32" i="44"/>
  <c r="R10" i="47"/>
  <c r="R28" i="47"/>
  <c r="T22" i="48"/>
  <c r="R10" i="43"/>
  <c r="R11" i="43" s="1"/>
  <c r="R28" i="43"/>
  <c r="T22" i="46"/>
  <c r="R56" i="44"/>
  <c r="T30" i="46"/>
  <c r="N38" i="44"/>
  <c r="R27" i="47"/>
  <c r="R28" i="44"/>
  <c r="R27" i="44" s="1"/>
  <c r="T26" i="46"/>
  <c r="R4" i="44"/>
  <c r="R10" i="44"/>
  <c r="G21" i="44"/>
  <c r="T28" i="46" s="1"/>
  <c r="T18" i="50"/>
  <c r="E112" i="45"/>
  <c r="R56" i="45" s="1"/>
  <c r="R44" i="45"/>
  <c r="R37" i="45"/>
  <c r="N37" i="45"/>
  <c r="C35" i="45"/>
  <c r="D107" i="45"/>
  <c r="T30" i="50" s="1"/>
  <c r="J66" i="50" s="1"/>
  <c r="R16" i="45"/>
  <c r="R9" i="45"/>
  <c r="C7" i="45"/>
  <c r="O6" i="45"/>
  <c r="O5" i="45"/>
  <c r="F117" i="41"/>
  <c r="R57" i="41" s="1"/>
  <c r="R45" i="41"/>
  <c r="R38" i="41"/>
  <c r="C36" i="41"/>
  <c r="F107" i="41"/>
  <c r="T22" i="50" s="1"/>
  <c r="C43" i="50" s="1"/>
  <c r="H17" i="41"/>
  <c r="R16" i="41"/>
  <c r="R9" i="41"/>
  <c r="C7" i="41"/>
  <c r="AE35" i="10"/>
  <c r="AD27" i="10"/>
  <c r="AG27" i="10" s="1"/>
  <c r="AD20" i="10"/>
  <c r="AD5" i="10"/>
  <c r="F70" i="32"/>
  <c r="R4" i="45" l="1"/>
  <c r="G49" i="45"/>
  <c r="T37" i="50" s="1"/>
  <c r="R38" i="45"/>
  <c r="G21" i="45"/>
  <c r="T32" i="50" s="1"/>
  <c r="R10" i="45"/>
  <c r="R11" i="45" s="1"/>
  <c r="R27" i="45"/>
  <c r="R39" i="41"/>
  <c r="R4" i="41"/>
  <c r="G22" i="41"/>
  <c r="T24" i="50" s="1"/>
  <c r="R10" i="41"/>
  <c r="R11" i="41" s="1"/>
  <c r="R27" i="41"/>
  <c r="G51" i="41"/>
  <c r="T28" i="50" s="1"/>
  <c r="N59" i="48"/>
  <c r="H45" i="48"/>
  <c r="G45" i="48"/>
  <c r="C45" i="48"/>
  <c r="D45" i="48"/>
  <c r="D38" i="48"/>
  <c r="C38" i="48"/>
  <c r="J59" i="48"/>
  <c r="H38" i="48"/>
  <c r="G38" i="48"/>
  <c r="T26" i="50"/>
  <c r="P36" i="50" s="1"/>
  <c r="J36" i="50" s="1"/>
  <c r="T35" i="50"/>
  <c r="J70" i="50" s="1"/>
  <c r="N67" i="46"/>
  <c r="J67" i="46"/>
  <c r="C38" i="46"/>
  <c r="G38" i="46"/>
  <c r="J59" i="46"/>
  <c r="H38" i="46"/>
  <c r="N59" i="46"/>
  <c r="D38" i="46"/>
  <c r="R56" i="41"/>
  <c r="R32" i="45"/>
  <c r="N38" i="45"/>
  <c r="R55" i="45"/>
  <c r="N63" i="46"/>
  <c r="K38" i="46"/>
  <c r="J38" i="46"/>
  <c r="J63" i="46"/>
  <c r="O38" i="46"/>
  <c r="P38" i="46"/>
  <c r="O4" i="44"/>
  <c r="R11" i="44"/>
  <c r="AD14" i="10"/>
  <c r="D35" i="50"/>
  <c r="H36" i="50"/>
  <c r="D42" i="50"/>
  <c r="G49" i="50"/>
  <c r="H50" i="50"/>
  <c r="N66" i="50"/>
  <c r="G35" i="50"/>
  <c r="C36" i="50"/>
  <c r="G42" i="50"/>
  <c r="H43" i="50"/>
  <c r="D49" i="50"/>
  <c r="C50" i="50"/>
  <c r="N58" i="50"/>
  <c r="J43" i="50" l="1"/>
  <c r="O42" i="50"/>
  <c r="K42" i="50"/>
  <c r="N70" i="50"/>
  <c r="P43" i="50"/>
  <c r="N62" i="50"/>
  <c r="K35" i="50"/>
  <c r="O35" i="50"/>
  <c r="J62" i="50"/>
  <c r="T18" i="32"/>
  <c r="E50" i="31" l="1"/>
  <c r="R28" i="31" s="1"/>
  <c r="R27" i="31" l="1"/>
  <c r="G21" i="31"/>
  <c r="R16" i="31"/>
  <c r="R10" i="31"/>
  <c r="R9" i="31"/>
  <c r="C7" i="31"/>
  <c r="R4" i="31"/>
  <c r="E55" i="30"/>
  <c r="R28" i="30" s="1"/>
  <c r="R16" i="30"/>
  <c r="R9" i="30"/>
  <c r="C7" i="30"/>
  <c r="F70" i="29"/>
  <c r="R4" i="30" l="1"/>
  <c r="R10" i="30"/>
  <c r="G21" i="30"/>
  <c r="R27" i="30"/>
  <c r="T18" i="29"/>
  <c r="E51" i="28"/>
  <c r="R27" i="28" s="1"/>
  <c r="R16" i="28"/>
  <c r="R9" i="28"/>
  <c r="C7" i="28"/>
  <c r="R4" i="28"/>
  <c r="E54" i="27"/>
  <c r="G21" i="27" s="1"/>
  <c r="T24" i="32" s="1"/>
  <c r="R16" i="27"/>
  <c r="R9" i="27"/>
  <c r="C7" i="27"/>
  <c r="AB35" i="9"/>
  <c r="AA27" i="9"/>
  <c r="AA14" i="9" s="1"/>
  <c r="AA20" i="9"/>
  <c r="R11" i="28" l="1"/>
  <c r="R10" i="28"/>
  <c r="G21" i="28"/>
  <c r="T28" i="32" s="1"/>
  <c r="R27" i="27"/>
  <c r="R4" i="27"/>
  <c r="R10" i="27"/>
  <c r="R28" i="27"/>
  <c r="T22" i="32"/>
  <c r="T24" i="29"/>
  <c r="R28" i="28"/>
  <c r="T26" i="32"/>
  <c r="T22" i="29"/>
  <c r="I30" i="29" s="1"/>
  <c r="T26" i="29"/>
  <c r="I34" i="29" s="1"/>
  <c r="AA5" i="9"/>
  <c r="Q18" i="22"/>
  <c r="E101" i="16"/>
  <c r="Q21" i="22" s="1"/>
  <c r="R16" i="16"/>
  <c r="R9" i="16"/>
  <c r="C7" i="16"/>
  <c r="AD36" i="8"/>
  <c r="AC28" i="8"/>
  <c r="AF28" i="8" s="1"/>
  <c r="AC21" i="8"/>
  <c r="R11" i="8"/>
  <c r="Q11" i="8"/>
  <c r="P11" i="8"/>
  <c r="O11" i="8"/>
  <c r="AC6" i="8"/>
  <c r="O47" i="39"/>
  <c r="K47" i="39"/>
  <c r="O30" i="39"/>
  <c r="G30" i="39"/>
  <c r="T18" i="39"/>
  <c r="R10" i="16" l="1"/>
  <c r="R11" i="16" s="1"/>
  <c r="R27" i="16"/>
  <c r="P20" i="29"/>
  <c r="R4" i="16"/>
  <c r="R28" i="16"/>
  <c r="G20" i="29"/>
  <c r="J20" i="29"/>
  <c r="T28" i="29"/>
  <c r="F20" i="29"/>
  <c r="C20" i="29"/>
  <c r="B20" i="29"/>
  <c r="G21" i="16"/>
  <c r="Q23" i="22" s="1"/>
  <c r="O20" i="29"/>
  <c r="K20" i="29"/>
  <c r="M34" i="32"/>
  <c r="P20" i="32"/>
  <c r="K20" i="32"/>
  <c r="O20" i="32"/>
  <c r="J20" i="32"/>
  <c r="M30" i="32"/>
  <c r="F20" i="32"/>
  <c r="C20" i="32" s="1"/>
  <c r="I30" i="32"/>
  <c r="G20" i="32"/>
  <c r="B20" i="32"/>
  <c r="G34" i="22"/>
  <c r="F35" i="22"/>
  <c r="F45" i="22"/>
  <c r="N34" i="22"/>
  <c r="O35" i="22"/>
  <c r="F103" i="37"/>
  <c r="R28" i="37" s="1"/>
  <c r="R27" i="37" l="1"/>
  <c r="G21" i="37"/>
  <c r="R16" i="37"/>
  <c r="R10" i="37"/>
  <c r="R9" i="37"/>
  <c r="C7" i="37"/>
  <c r="R4" i="37"/>
  <c r="E61" i="36"/>
  <c r="R28" i="36" s="1"/>
  <c r="R27" i="36" l="1"/>
  <c r="G21" i="36"/>
  <c r="R16" i="36"/>
  <c r="R10" i="36"/>
  <c r="R9" i="36"/>
  <c r="C7" i="36"/>
  <c r="R4" i="36"/>
  <c r="F70" i="38"/>
  <c r="O47" i="38"/>
  <c r="K47" i="38"/>
  <c r="O30" i="38"/>
  <c r="G30" i="38"/>
  <c r="T18" i="38"/>
  <c r="E46" i="35"/>
  <c r="R4" i="35" s="1"/>
  <c r="R16" i="35"/>
  <c r="R9" i="35"/>
  <c r="C7" i="35"/>
  <c r="E61" i="34"/>
  <c r="G21" i="34" s="1"/>
  <c r="T24" i="39" s="1"/>
  <c r="R16" i="34"/>
  <c r="R9" i="34"/>
  <c r="C7" i="34"/>
  <c r="AC34" i="7"/>
  <c r="AB26" i="7"/>
  <c r="AB13" i="7" s="1"/>
  <c r="AB19" i="7"/>
  <c r="R11" i="36" l="1"/>
  <c r="G21" i="35"/>
  <c r="T28" i="39" s="1"/>
  <c r="R10" i="35"/>
  <c r="R4" i="34"/>
  <c r="R28" i="34"/>
  <c r="T22" i="39"/>
  <c r="R28" i="35"/>
  <c r="T26" i="39"/>
  <c r="T22" i="38"/>
  <c r="M43" i="38" s="1"/>
  <c r="T26" i="38"/>
  <c r="M47" i="38" s="1"/>
  <c r="R10" i="34"/>
  <c r="R11" i="34" s="1"/>
  <c r="R27" i="34"/>
  <c r="R27" i="35"/>
  <c r="T24" i="38"/>
  <c r="AB4" i="7"/>
  <c r="AB6" i="7" s="1"/>
  <c r="T18" i="21"/>
  <c r="E51" i="15"/>
  <c r="T21" i="21" s="1"/>
  <c r="I29" i="21" s="1"/>
  <c r="R16" i="15"/>
  <c r="R9" i="15"/>
  <c r="C7" i="15"/>
  <c r="AF35" i="6"/>
  <c r="AE27" i="6"/>
  <c r="AH27" i="6" s="1"/>
  <c r="AE20" i="6"/>
  <c r="P11" i="6"/>
  <c r="O11" i="6"/>
  <c r="N11" i="6"/>
  <c r="AE5" i="6"/>
  <c r="F69" i="40"/>
  <c r="K29" i="40"/>
  <c r="E46" i="14"/>
  <c r="R16" i="14"/>
  <c r="R9" i="14"/>
  <c r="C7" i="14"/>
  <c r="X34" i="5"/>
  <c r="Z26" i="5"/>
  <c r="W19" i="5"/>
  <c r="K11" i="5"/>
  <c r="K30" i="38" l="1"/>
  <c r="T21" i="40"/>
  <c r="P20" i="40" s="1"/>
  <c r="T28" i="38"/>
  <c r="R27" i="15"/>
  <c r="G21" i="15"/>
  <c r="T23" i="21" s="1"/>
  <c r="R4" i="15"/>
  <c r="R10" i="15"/>
  <c r="R28" i="15"/>
  <c r="R27" i="14"/>
  <c r="R10" i="14"/>
  <c r="G21" i="14"/>
  <c r="T23" i="40" s="1"/>
  <c r="R28" i="14"/>
  <c r="P31" i="38"/>
  <c r="I47" i="38"/>
  <c r="J31" i="38"/>
  <c r="M47" i="39"/>
  <c r="K30" i="39"/>
  <c r="P31" i="39"/>
  <c r="I47" i="39"/>
  <c r="J31" i="39"/>
  <c r="I31" i="39" s="1"/>
  <c r="M43" i="39"/>
  <c r="D30" i="39"/>
  <c r="C31" i="39"/>
  <c r="I43" i="39"/>
  <c r="I43" i="38"/>
  <c r="I31" i="38"/>
  <c r="C31" i="38"/>
  <c r="D30" i="38"/>
  <c r="O18" i="21"/>
  <c r="J20" i="21"/>
  <c r="AC6" i="7"/>
  <c r="K18" i="21"/>
  <c r="P20" i="21"/>
  <c r="W4" i="5"/>
  <c r="J9" i="4"/>
  <c r="C24" i="2"/>
  <c r="T39" i="4" s="1"/>
  <c r="A211" i="1"/>
  <c r="A210" i="1"/>
  <c r="A209" i="1"/>
  <c r="A208" i="1"/>
  <c r="A207" i="1"/>
  <c r="A206" i="1"/>
  <c r="A205" i="1"/>
  <c r="A202" i="1"/>
  <c r="A201" i="1"/>
  <c r="H5" i="1"/>
  <c r="I29" i="40" l="1"/>
  <c r="K24" i="40"/>
  <c r="J20" i="40"/>
  <c r="M29" i="40"/>
  <c r="O29" i="40" s="1"/>
  <c r="O20" i="40"/>
  <c r="K20" i="40"/>
  <c r="H7" i="1"/>
  <c r="A224" i="1" s="1"/>
  <c r="K19" i="2"/>
  <c r="F5" i="2" s="1"/>
  <c r="Z39" i="12"/>
  <c r="AD39" i="11"/>
  <c r="AD40" i="10"/>
  <c r="AA40" i="9"/>
  <c r="AB39" i="7"/>
  <c r="W40" i="5"/>
  <c r="AE40" i="6"/>
  <c r="AB7" i="7"/>
  <c r="O6" i="7" s="1"/>
  <c r="AE5" i="7"/>
  <c r="O5" i="7" s="1"/>
  <c r="AE4" i="7"/>
  <c r="A216" i="1" l="1"/>
  <c r="A223" i="1"/>
  <c r="A220" i="1"/>
  <c r="A219" i="1"/>
  <c r="A217" i="1"/>
  <c r="A221" i="1"/>
  <c r="A218" i="1"/>
  <c r="A222" i="1"/>
  <c r="J11" i="4"/>
  <c r="S2" i="4"/>
  <c r="B22" i="4" s="1"/>
  <c r="L1" i="3"/>
  <c r="AC4" i="8" s="1"/>
  <c r="B19" i="8" s="1"/>
  <c r="Z2" i="12"/>
  <c r="B20" i="12" s="1"/>
  <c r="AD2" i="11"/>
  <c r="B20" i="11" s="1"/>
  <c r="AD3" i="10"/>
  <c r="B20" i="10" s="1"/>
  <c r="J10" i="4"/>
  <c r="C216" i="1"/>
  <c r="H9" i="1"/>
  <c r="T13" i="39"/>
  <c r="T13" i="38"/>
  <c r="T14" i="39"/>
  <c r="T14" i="38"/>
  <c r="AA4" i="9" l="1"/>
  <c r="B20" i="9" s="1"/>
  <c r="AB3" i="7"/>
  <c r="B22" i="7" s="1"/>
  <c r="AE4" i="6"/>
  <c r="B19" i="6" s="1"/>
  <c r="W3" i="5"/>
  <c r="J13" i="4" s="1"/>
  <c r="L19" i="4" s="1"/>
  <c r="C22" i="2"/>
  <c r="T17" i="40" s="1"/>
  <c r="H11" i="1"/>
  <c r="C23" i="2" s="1"/>
  <c r="C20" i="2"/>
  <c r="L21" i="2" s="1"/>
  <c r="W13" i="5"/>
  <c r="W14" i="5" s="1"/>
  <c r="O8" i="5" s="1"/>
  <c r="M29" i="21"/>
  <c r="AE29" i="6"/>
  <c r="S10" i="6" s="1"/>
  <c r="J45" i="22"/>
  <c r="R28" i="45"/>
  <c r="AC41" i="8"/>
  <c r="AC30" i="8"/>
  <c r="U10" i="8" s="1"/>
  <c r="Q9" i="22" s="1"/>
  <c r="C21" i="2"/>
  <c r="W28" i="5"/>
  <c r="O10" i="5" s="1"/>
  <c r="R17" i="15"/>
  <c r="R19" i="15" s="1"/>
  <c r="U19" i="15" s="1"/>
  <c r="R21" i="15" s="1"/>
  <c r="R17" i="14"/>
  <c r="R19" i="14" s="1"/>
  <c r="U19" i="14" s="1"/>
  <c r="R21" i="14" s="1"/>
  <c r="W20" i="5"/>
  <c r="W21" i="5" s="1"/>
  <c r="W35" i="5"/>
  <c r="R17" i="36"/>
  <c r="R19" i="36" s="1"/>
  <c r="U19" i="36" s="1"/>
  <c r="R21" i="36" s="1"/>
  <c r="R17" i="34"/>
  <c r="R19" i="34" s="1"/>
  <c r="U19" i="34" s="1"/>
  <c r="R21" i="34" s="1"/>
  <c r="AB35" i="7"/>
  <c r="O12" i="7" s="1"/>
  <c r="T11" i="39" s="1"/>
  <c r="R4" i="14"/>
  <c r="R11" i="14"/>
  <c r="L11" i="5"/>
  <c r="AE14" i="6"/>
  <c r="AE15" i="6" s="1"/>
  <c r="S8" i="6" s="1"/>
  <c r="T6" i="21" s="1"/>
  <c r="AE21" i="6"/>
  <c r="AE22" i="6" s="1"/>
  <c r="AE36" i="6"/>
  <c r="S12" i="6" s="1"/>
  <c r="R11" i="15"/>
  <c r="R17" i="35"/>
  <c r="R19" i="35" s="1"/>
  <c r="U19" i="35" s="1"/>
  <c r="R21" i="35" s="1"/>
  <c r="AB20" i="7"/>
  <c r="AB21" i="7" s="1"/>
  <c r="R17" i="37"/>
  <c r="R19" i="37" s="1"/>
  <c r="U19" i="37" s="1"/>
  <c r="R21" i="37" s="1"/>
  <c r="AE26" i="7"/>
  <c r="AB28" i="7" s="1"/>
  <c r="O10" i="7" s="1"/>
  <c r="AB14" i="7"/>
  <c r="O8" i="7" s="1"/>
  <c r="R17" i="16"/>
  <c r="R19" i="16" s="1"/>
  <c r="U19" i="16" s="1"/>
  <c r="R21" i="16" s="1"/>
  <c r="AC15" i="8"/>
  <c r="AC16" i="8" s="1"/>
  <c r="U8" i="8" s="1"/>
  <c r="Q6" i="22" s="1"/>
  <c r="AC22" i="8"/>
  <c r="AC23" i="8" s="1"/>
  <c r="AC37" i="8"/>
  <c r="U12" i="8" s="1"/>
  <c r="Q11" i="22" s="1"/>
  <c r="R17" i="28"/>
  <c r="R19" i="28" s="1"/>
  <c r="U19" i="28" s="1"/>
  <c r="R21" i="28" s="1"/>
  <c r="R17" i="27"/>
  <c r="R19" i="27" s="1"/>
  <c r="U19" i="27" s="1"/>
  <c r="R21" i="27" s="1"/>
  <c r="AA15" i="9"/>
  <c r="P8" i="9" s="1"/>
  <c r="AA21" i="9"/>
  <c r="AA22" i="9" s="1"/>
  <c r="AA36" i="9"/>
  <c r="P12" i="9" s="1"/>
  <c r="T11" i="32" s="1"/>
  <c r="R17" i="31"/>
  <c r="R19" i="31" s="1"/>
  <c r="U19" i="31" s="1"/>
  <c r="R21" i="31" s="1"/>
  <c r="R17" i="30"/>
  <c r="R19" i="30" s="1"/>
  <c r="U19" i="30" s="1"/>
  <c r="R21" i="30" s="1"/>
  <c r="AD27" i="9"/>
  <c r="AA29" i="9" s="1"/>
  <c r="P10" i="9" s="1"/>
  <c r="R11" i="27"/>
  <c r="M30" i="29"/>
  <c r="R11" i="30"/>
  <c r="R11" i="31"/>
  <c r="M34" i="29"/>
  <c r="R11" i="35"/>
  <c r="R11" i="37"/>
  <c r="I34" i="32"/>
  <c r="J58" i="50"/>
  <c r="R45" i="45"/>
  <c r="R47" i="45" s="1"/>
  <c r="U47" i="45" s="1"/>
  <c r="R49" i="45" s="1"/>
  <c r="R17" i="45"/>
  <c r="R19" i="45" s="1"/>
  <c r="U19" i="45" s="1"/>
  <c r="R21" i="45" s="1"/>
  <c r="R17" i="41"/>
  <c r="R19" i="41" s="1"/>
  <c r="U19" i="41" s="1"/>
  <c r="R21" i="41" s="1"/>
  <c r="R46" i="41"/>
  <c r="R48" i="41" s="1"/>
  <c r="U48" i="41" s="1"/>
  <c r="R50" i="41" s="1"/>
  <c r="AD15" i="10"/>
  <c r="S9" i="10" s="1"/>
  <c r="T6" i="50" s="1"/>
  <c r="AD21" i="10"/>
  <c r="AD22" i="10" s="1"/>
  <c r="R28" i="41"/>
  <c r="R45" i="44"/>
  <c r="R47" i="44" s="1"/>
  <c r="U47" i="44" s="1"/>
  <c r="R49" i="44" s="1"/>
  <c r="R17" i="44"/>
  <c r="R19" i="44" s="1"/>
  <c r="U19" i="44" s="1"/>
  <c r="R21" i="44" s="1"/>
  <c r="R17" i="43"/>
  <c r="R19" i="43" s="1"/>
  <c r="U19" i="43" s="1"/>
  <c r="R21" i="43" s="1"/>
  <c r="AD29" i="10"/>
  <c r="S11" i="10" s="1"/>
  <c r="T9" i="50" s="1"/>
  <c r="R33" i="41"/>
  <c r="R17" i="47"/>
  <c r="R19" i="47" s="1"/>
  <c r="U19" i="47" s="1"/>
  <c r="R21" i="47" s="1"/>
  <c r="AD20" i="11"/>
  <c r="AD21" i="11" s="1"/>
  <c r="AD28" i="11"/>
  <c r="P11" i="11" s="1"/>
  <c r="AD35" i="11"/>
  <c r="P13" i="11" s="1"/>
  <c r="T11" i="46" s="1"/>
  <c r="AD14" i="11"/>
  <c r="P9" i="11" s="1"/>
  <c r="R39" i="44"/>
  <c r="R11" i="47"/>
  <c r="AD36" i="10"/>
  <c r="S13" i="10" s="1"/>
  <c r="T11" i="50" s="1"/>
  <c r="R40" i="41"/>
  <c r="R17" i="25"/>
  <c r="R19" i="25" s="1"/>
  <c r="U19" i="25" s="1"/>
  <c r="R21" i="25" s="1"/>
  <c r="R45" i="23"/>
  <c r="R47" i="23" s="1"/>
  <c r="U47" i="23" s="1"/>
  <c r="R49" i="23" s="1"/>
  <c r="R45" i="25"/>
  <c r="R47" i="25" s="1"/>
  <c r="U47" i="25" s="1"/>
  <c r="R49" i="25" s="1"/>
  <c r="R17" i="23"/>
  <c r="R19" i="23" s="1"/>
  <c r="U19" i="23" s="1"/>
  <c r="R21" i="23" s="1"/>
  <c r="R39" i="45"/>
  <c r="Z20" i="12"/>
  <c r="Z21" i="12" s="1"/>
  <c r="R28" i="25"/>
  <c r="N50" i="26"/>
  <c r="N58" i="26"/>
  <c r="Z14" i="12"/>
  <c r="T9" i="12" s="1"/>
  <c r="T6" i="26" s="1"/>
  <c r="Z28" i="12"/>
  <c r="T11" i="12" s="1"/>
  <c r="T9" i="26" s="1"/>
  <c r="Z35" i="12"/>
  <c r="T13" i="12" s="1"/>
  <c r="T11" i="26" s="1"/>
  <c r="P43" i="26"/>
  <c r="R11" i="25"/>
  <c r="N54" i="26"/>
  <c r="T9" i="40" l="1"/>
  <c r="T6" i="40"/>
  <c r="U5" i="56"/>
  <c r="U24" i="4"/>
  <c r="U27" i="4" s="1"/>
  <c r="M7" i="4" s="1"/>
  <c r="O12" i="5"/>
  <c r="B19" i="5"/>
  <c r="T6" i="48"/>
  <c r="T6" i="46"/>
  <c r="T9" i="46"/>
  <c r="T9" i="48"/>
  <c r="C8" i="55"/>
  <c r="C34" i="55" s="1"/>
  <c r="T11" i="21"/>
  <c r="J5" i="4"/>
  <c r="T17" i="48"/>
  <c r="C8" i="49"/>
  <c r="K5" i="5"/>
  <c r="C36" i="25"/>
  <c r="P5" i="12"/>
  <c r="P6" i="12" s="1"/>
  <c r="L5" i="12"/>
  <c r="C36" i="23"/>
  <c r="O5" i="12"/>
  <c r="O6" i="12" s="1"/>
  <c r="C36" i="44"/>
  <c r="M5" i="11"/>
  <c r="M6" i="11" s="1"/>
  <c r="I5" i="11"/>
  <c r="C8" i="47"/>
  <c r="C8" i="44"/>
  <c r="T17" i="50"/>
  <c r="O5" i="10"/>
  <c r="O6" i="10" s="1"/>
  <c r="C36" i="45"/>
  <c r="C8" i="41"/>
  <c r="N5" i="10"/>
  <c r="T17" i="32"/>
  <c r="C8" i="30"/>
  <c r="C8" i="27"/>
  <c r="K6" i="9"/>
  <c r="J5" i="9"/>
  <c r="Q6" i="8"/>
  <c r="R5" i="8"/>
  <c r="L6" i="9"/>
  <c r="M5" i="9"/>
  <c r="Q17" i="22"/>
  <c r="P6" i="8"/>
  <c r="O5" i="8"/>
  <c r="AC10" i="8" s="1"/>
  <c r="AC11" i="8" s="1"/>
  <c r="AC32" i="8" s="1"/>
  <c r="C8" i="37"/>
  <c r="C8" i="34"/>
  <c r="J6" i="7"/>
  <c r="J5" i="7"/>
  <c r="AB8" i="7" s="1"/>
  <c r="AB9" i="7" s="1"/>
  <c r="AB30" i="7" s="1"/>
  <c r="K5" i="7"/>
  <c r="C8" i="35"/>
  <c r="N5" i="6"/>
  <c r="C8" i="15"/>
  <c r="C8" i="14"/>
  <c r="O5" i="6"/>
  <c r="O6" i="6" s="1"/>
  <c r="C36" i="49"/>
  <c r="T17" i="26"/>
  <c r="C8" i="23"/>
  <c r="N5" i="12"/>
  <c r="N6" i="12" s="1"/>
  <c r="C8" i="25"/>
  <c r="Q5" i="12"/>
  <c r="Q6" i="12" s="1"/>
  <c r="M5" i="12"/>
  <c r="M6" i="12" s="1"/>
  <c r="C8" i="43"/>
  <c r="K5" i="11"/>
  <c r="K6" i="11" s="1"/>
  <c r="L5" i="11"/>
  <c r="L6" i="11" s="1"/>
  <c r="T17" i="46"/>
  <c r="J5" i="11"/>
  <c r="J6" i="11" s="1"/>
  <c r="C37" i="41"/>
  <c r="M5" i="10"/>
  <c r="C8" i="45"/>
  <c r="P5" i="10"/>
  <c r="P6" i="10" s="1"/>
  <c r="L5" i="10"/>
  <c r="C8" i="31"/>
  <c r="C8" i="28"/>
  <c r="M6" i="9"/>
  <c r="L5" i="9"/>
  <c r="C8" i="16"/>
  <c r="O6" i="8"/>
  <c r="P5" i="8"/>
  <c r="J6" i="9"/>
  <c r="K5" i="9"/>
  <c r="R6" i="8"/>
  <c r="Q5" i="8"/>
  <c r="T17" i="39"/>
  <c r="C8" i="36"/>
  <c r="L6" i="7"/>
  <c r="L5" i="7"/>
  <c r="K6" i="7"/>
  <c r="T17" i="38"/>
  <c r="P5" i="6"/>
  <c r="P6" i="6" s="1"/>
  <c r="T17" i="21"/>
  <c r="T6" i="39"/>
  <c r="T6" i="38"/>
  <c r="T9" i="21"/>
  <c r="T11" i="38"/>
  <c r="T9" i="29"/>
  <c r="T9" i="32"/>
  <c r="T6" i="32"/>
  <c r="T6" i="29"/>
  <c r="T9" i="39"/>
  <c r="T9" i="38"/>
  <c r="N7" i="6"/>
  <c r="Q7" i="8"/>
  <c r="Q8" i="8" s="1"/>
  <c r="J7" i="11"/>
  <c r="M7" i="11"/>
  <c r="J7" i="7"/>
  <c r="O7" i="6"/>
  <c r="N7" i="12"/>
  <c r="M7" i="9"/>
  <c r="P7" i="12"/>
  <c r="P9" i="12" s="1"/>
  <c r="L7" i="5"/>
  <c r="L8" i="5" s="1"/>
  <c r="P7" i="6"/>
  <c r="P8" i="6" s="1"/>
  <c r="O7" i="8"/>
  <c r="R7" i="8"/>
  <c r="R8" i="8" s="1"/>
  <c r="L7" i="10"/>
  <c r="N7" i="10"/>
  <c r="M7" i="10"/>
  <c r="M8" i="10" s="1"/>
  <c r="P7" i="10"/>
  <c r="P8" i="10" s="1"/>
  <c r="K7" i="11"/>
  <c r="L7" i="7"/>
  <c r="L8" i="7" s="1"/>
  <c r="K7" i="9"/>
  <c r="J7" i="9"/>
  <c r="L7" i="12"/>
  <c r="Q7" i="12"/>
  <c r="K7" i="5"/>
  <c r="T16" i="40" s="1"/>
  <c r="P7" i="8"/>
  <c r="P8" i="8" s="1"/>
  <c r="I7" i="11"/>
  <c r="L7" i="11"/>
  <c r="K7" i="7"/>
  <c r="L7" i="9"/>
  <c r="O7" i="12"/>
  <c r="O7" i="10"/>
  <c r="M7" i="12"/>
  <c r="M9" i="12" s="1"/>
  <c r="T11" i="29"/>
  <c r="T11" i="40" l="1"/>
  <c r="N7" i="4"/>
  <c r="U6" i="56"/>
  <c r="U30" i="4"/>
  <c r="M11" i="4" s="1"/>
  <c r="U10" i="56" s="1"/>
  <c r="U35" i="4"/>
  <c r="M12" i="4" s="1"/>
  <c r="U11" i="56" s="1"/>
  <c r="U16" i="56"/>
  <c r="U13" i="4"/>
  <c r="U14" i="4"/>
  <c r="U18" i="4"/>
  <c r="U15" i="4"/>
  <c r="R3" i="55"/>
  <c r="R2" i="55"/>
  <c r="E8" i="55"/>
  <c r="J6" i="4"/>
  <c r="U14" i="56" s="1"/>
  <c r="U5" i="4"/>
  <c r="U4" i="4"/>
  <c r="N6" i="10"/>
  <c r="M6" i="10"/>
  <c r="T15" i="32"/>
  <c r="G15" i="28"/>
  <c r="G15" i="27"/>
  <c r="G15" i="31"/>
  <c r="T15" i="29"/>
  <c r="G15" i="16"/>
  <c r="Q15" i="22"/>
  <c r="L6" i="10"/>
  <c r="AD9" i="10"/>
  <c r="AD10" i="10" s="1"/>
  <c r="AD31" i="10" s="1"/>
  <c r="AE9" i="6"/>
  <c r="AE10" i="6" s="1"/>
  <c r="AE31" i="6" s="1"/>
  <c r="N6" i="6"/>
  <c r="R24" i="49" s="1"/>
  <c r="T15" i="39"/>
  <c r="G15" i="35"/>
  <c r="T15" i="38"/>
  <c r="G15" i="37"/>
  <c r="G15" i="36"/>
  <c r="G15" i="34"/>
  <c r="AA9" i="9"/>
  <c r="AA10" i="9" s="1"/>
  <c r="AA31" i="9" s="1"/>
  <c r="T17" i="29"/>
  <c r="I6" i="11"/>
  <c r="R24" i="47" s="1"/>
  <c r="G23" i="47" s="1"/>
  <c r="AD8" i="11"/>
  <c r="AD9" i="11" s="1"/>
  <c r="AD30" i="11" s="1"/>
  <c r="K6" i="5"/>
  <c r="W8" i="5"/>
  <c r="W9" i="5" s="1"/>
  <c r="W30" i="5" s="1"/>
  <c r="L5" i="5"/>
  <c r="T16" i="46"/>
  <c r="T16" i="48"/>
  <c r="Z8" i="12"/>
  <c r="Z9" i="12" s="1"/>
  <c r="Z30" i="12" s="1"/>
  <c r="L6" i="12"/>
  <c r="R51" i="49" s="1"/>
  <c r="G15" i="30"/>
  <c r="O9" i="12"/>
  <c r="O8" i="12"/>
  <c r="K8" i="5"/>
  <c r="J8" i="9"/>
  <c r="R24" i="37"/>
  <c r="R24" i="30"/>
  <c r="R24" i="31"/>
  <c r="R23" i="27"/>
  <c r="G23" i="27" s="1"/>
  <c r="H24" i="27" s="1"/>
  <c r="R23" i="28"/>
  <c r="G23" i="28" s="1"/>
  <c r="H24" i="28" s="1"/>
  <c r="R24" i="27"/>
  <c r="J9" i="9"/>
  <c r="T16" i="29"/>
  <c r="R23" i="30"/>
  <c r="G23" i="30" s="1"/>
  <c r="R24" i="35"/>
  <c r="R23" i="35"/>
  <c r="R23" i="37"/>
  <c r="R24" i="28"/>
  <c r="R23" i="31"/>
  <c r="G23" i="31" s="1"/>
  <c r="T16" i="32"/>
  <c r="K9" i="7"/>
  <c r="L9" i="7"/>
  <c r="K8" i="7"/>
  <c r="L9" i="12"/>
  <c r="L8" i="12"/>
  <c r="T16" i="26"/>
  <c r="N9" i="12"/>
  <c r="N8" i="12"/>
  <c r="M8" i="11"/>
  <c r="M9" i="11"/>
  <c r="N8" i="6"/>
  <c r="T16" i="21"/>
  <c r="L8" i="9"/>
  <c r="L9" i="9"/>
  <c r="I9" i="11"/>
  <c r="AA5" i="11" s="1"/>
  <c r="Q9" i="12"/>
  <c r="Q8" i="12"/>
  <c r="K9" i="9"/>
  <c r="K8" i="9"/>
  <c r="L9" i="10"/>
  <c r="M9" i="10"/>
  <c r="L8" i="10"/>
  <c r="T16" i="50"/>
  <c r="M9" i="9"/>
  <c r="M8" i="9"/>
  <c r="R23" i="34"/>
  <c r="G23" i="34" s="1"/>
  <c r="R24" i="34"/>
  <c r="R32" i="36"/>
  <c r="T16" i="39"/>
  <c r="J9" i="7"/>
  <c r="T16" i="38"/>
  <c r="L9" i="11"/>
  <c r="L8" i="11"/>
  <c r="K9" i="11"/>
  <c r="K8" i="11"/>
  <c r="N9" i="10"/>
  <c r="P9" i="10"/>
  <c r="O9" i="10"/>
  <c r="AA8" i="10" s="1"/>
  <c r="N8" i="10"/>
  <c r="O8" i="8"/>
  <c r="Q16" i="22"/>
  <c r="R23" i="16"/>
  <c r="G23" i="16" s="1"/>
  <c r="R24" i="16"/>
  <c r="J8" i="11"/>
  <c r="J9" i="11"/>
  <c r="R23" i="14" l="1"/>
  <c r="G23" i="14" s="1"/>
  <c r="H24" i="14" s="1"/>
  <c r="T15" i="40"/>
  <c r="J23" i="56"/>
  <c r="J35" i="56" s="1"/>
  <c r="C26" i="56"/>
  <c r="C38" i="56" s="1"/>
  <c r="R51" i="44"/>
  <c r="R23" i="23"/>
  <c r="G23" i="23" s="1"/>
  <c r="H24" i="23" s="1"/>
  <c r="R24" i="15"/>
  <c r="R24" i="25"/>
  <c r="R24" i="45"/>
  <c r="R24" i="23"/>
  <c r="R53" i="41"/>
  <c r="R23" i="45"/>
  <c r="R52" i="41"/>
  <c r="R52" i="44"/>
  <c r="R52" i="49"/>
  <c r="R23" i="47"/>
  <c r="R51" i="23"/>
  <c r="G51" i="23" s="1"/>
  <c r="H52" i="23" s="1"/>
  <c r="R51" i="25"/>
  <c r="G51" i="25" s="1"/>
  <c r="H52" i="25" s="1"/>
  <c r="U16" i="4"/>
  <c r="X16" i="4" s="1"/>
  <c r="O44" i="56"/>
  <c r="O35" i="56"/>
  <c r="O32" i="56"/>
  <c r="O23" i="56" s="1"/>
  <c r="D35" i="56"/>
  <c r="D43" i="56" s="1"/>
  <c r="K28" i="56"/>
  <c r="I28" i="56" s="1"/>
  <c r="D23" i="56"/>
  <c r="AA6" i="11"/>
  <c r="R23" i="15"/>
  <c r="G23" i="15" s="1"/>
  <c r="H24" i="15" s="1"/>
  <c r="R23" i="44"/>
  <c r="R52" i="23"/>
  <c r="R52" i="45"/>
  <c r="R52" i="25"/>
  <c r="R24" i="44"/>
  <c r="R23" i="25"/>
  <c r="G23" i="25" s="1"/>
  <c r="H24" i="25" s="1"/>
  <c r="R51" i="45"/>
  <c r="C5" i="55"/>
  <c r="G36" i="55"/>
  <c r="G37" i="55" s="1"/>
  <c r="AA7" i="10"/>
  <c r="AA7" i="11"/>
  <c r="AA6" i="10"/>
  <c r="R24" i="43"/>
  <c r="G23" i="43" s="1"/>
  <c r="H24" i="43" s="1"/>
  <c r="R24" i="14"/>
  <c r="R23" i="49"/>
  <c r="S5" i="4"/>
  <c r="S6" i="4" s="1"/>
  <c r="R26" i="56" s="1"/>
  <c r="H24" i="47"/>
  <c r="T15" i="46"/>
  <c r="D40" i="46" s="1"/>
  <c r="T15" i="48"/>
  <c r="D47" i="48" s="1"/>
  <c r="G15" i="43"/>
  <c r="G15" i="47"/>
  <c r="G15" i="49"/>
  <c r="G43" i="44"/>
  <c r="T15" i="50"/>
  <c r="D44" i="50" s="1"/>
  <c r="G15" i="41"/>
  <c r="G43" i="49"/>
  <c r="G15" i="44"/>
  <c r="G44" i="41"/>
  <c r="G15" i="45"/>
  <c r="G43" i="45"/>
  <c r="T15" i="26"/>
  <c r="K37" i="26" s="1"/>
  <c r="G15" i="25"/>
  <c r="G15" i="23"/>
  <c r="G43" i="25"/>
  <c r="G43" i="23"/>
  <c r="L6" i="5"/>
  <c r="G15" i="14"/>
  <c r="G15" i="15"/>
  <c r="T15" i="21"/>
  <c r="L22" i="21" s="1"/>
  <c r="T19" i="39"/>
  <c r="R23" i="41"/>
  <c r="R25" i="41"/>
  <c r="R26" i="41"/>
  <c r="R24" i="41"/>
  <c r="R23" i="43"/>
  <c r="R25" i="47"/>
  <c r="R26" i="47"/>
  <c r="G25" i="47" s="1"/>
  <c r="P10" i="8"/>
  <c r="Q10" i="8"/>
  <c r="AC7" i="8"/>
  <c r="AC8" i="8" s="1"/>
  <c r="AD8" i="8" s="1"/>
  <c r="O10" i="8"/>
  <c r="R10" i="8"/>
  <c r="E33" i="38"/>
  <c r="T19" i="38"/>
  <c r="R23" i="36"/>
  <c r="G23" i="36" s="1"/>
  <c r="R24" i="36"/>
  <c r="E33" i="39"/>
  <c r="J10" i="11"/>
  <c r="K10" i="11"/>
  <c r="L10" i="11"/>
  <c r="M10" i="11"/>
  <c r="I10" i="11"/>
  <c r="H37" i="22"/>
  <c r="H24" i="34"/>
  <c r="P10" i="10"/>
  <c r="L10" i="10"/>
  <c r="M10" i="10"/>
  <c r="N10" i="10"/>
  <c r="O10" i="10"/>
  <c r="L11" i="12"/>
  <c r="O11" i="12"/>
  <c r="N11" i="12"/>
  <c r="M11" i="12"/>
  <c r="Q11" i="12"/>
  <c r="P11" i="12"/>
  <c r="K11" i="9"/>
  <c r="J11" i="9"/>
  <c r="M11" i="9"/>
  <c r="L11" i="9"/>
  <c r="L11" i="10"/>
  <c r="M11" i="10"/>
  <c r="N11" i="10"/>
  <c r="O11" i="10"/>
  <c r="P11" i="10"/>
  <c r="Z5" i="12"/>
  <c r="Z6" i="12" s="1"/>
  <c r="Q10" i="12"/>
  <c r="L10" i="12"/>
  <c r="O10" i="12"/>
  <c r="N10" i="12"/>
  <c r="M10" i="12"/>
  <c r="P10" i="12"/>
  <c r="H24" i="31"/>
  <c r="L22" i="29"/>
  <c r="T19" i="29"/>
  <c r="C22" i="29"/>
  <c r="AA6" i="9"/>
  <c r="AA7" i="9" s="1"/>
  <c r="AB7" i="9" s="1"/>
  <c r="K10" i="9"/>
  <c r="J10" i="9"/>
  <c r="M10" i="9"/>
  <c r="L10" i="9"/>
  <c r="H24" i="16"/>
  <c r="K11" i="7"/>
  <c r="J11" i="7"/>
  <c r="J12" i="7" s="1"/>
  <c r="L11" i="7"/>
  <c r="AE16" i="7"/>
  <c r="K11" i="11"/>
  <c r="L11" i="11"/>
  <c r="M11" i="11"/>
  <c r="I11" i="11"/>
  <c r="J11" i="11"/>
  <c r="O10" i="6"/>
  <c r="P10" i="6"/>
  <c r="AE6" i="6"/>
  <c r="AE7" i="6" s="1"/>
  <c r="AF7" i="6" s="1"/>
  <c r="N10" i="6"/>
  <c r="L10" i="7"/>
  <c r="J10" i="7"/>
  <c r="AE17" i="7"/>
  <c r="K10" i="7"/>
  <c r="C22" i="32"/>
  <c r="T19" i="32"/>
  <c r="L22" i="32"/>
  <c r="H24" i="30"/>
  <c r="W5" i="5"/>
  <c r="W6" i="5" s="1"/>
  <c r="X6" i="5" s="1"/>
  <c r="K10" i="5"/>
  <c r="L10" i="5" s="1"/>
  <c r="D44" i="26" l="1"/>
  <c r="AA6" i="12"/>
  <c r="Z7" i="12" s="1"/>
  <c r="T7" i="12" s="1"/>
  <c r="T14" i="26" s="1"/>
  <c r="T19" i="26" s="1"/>
  <c r="G26" i="56"/>
  <c r="G38" i="56" s="1"/>
  <c r="L22" i="40"/>
  <c r="G53" i="41"/>
  <c r="G26" i="41"/>
  <c r="G24" i="41"/>
  <c r="AD5" i="11"/>
  <c r="AD6" i="11" s="1"/>
  <c r="AE6" i="11" s="1"/>
  <c r="AD7" i="11" s="1"/>
  <c r="P7" i="11" s="1"/>
  <c r="AD6" i="10"/>
  <c r="AD7" i="10" s="1"/>
  <c r="AE7" i="10" s="1"/>
  <c r="AD8" i="10" s="1"/>
  <c r="S7" i="10" s="1"/>
  <c r="T14" i="50" s="1"/>
  <c r="T19" i="50" s="1"/>
  <c r="M5" i="4"/>
  <c r="U12" i="56" s="1"/>
  <c r="X17" i="4"/>
  <c r="U17" i="4"/>
  <c r="M6" i="4" s="1"/>
  <c r="U13" i="56" s="1"/>
  <c r="U18" i="56" s="1"/>
  <c r="D31" i="56"/>
  <c r="T60" i="56" s="1"/>
  <c r="R38" i="56"/>
  <c r="M38" i="56" s="1"/>
  <c r="T63" i="56" s="1"/>
  <c r="M26" i="56"/>
  <c r="T62" i="56" s="1"/>
  <c r="T61" i="56"/>
  <c r="G4" i="55"/>
  <c r="D37" i="26"/>
  <c r="K44" i="26"/>
  <c r="D40" i="48"/>
  <c r="K37" i="50"/>
  <c r="D37" i="50"/>
  <c r="L12" i="7"/>
  <c r="K12" i="7"/>
  <c r="AD5" i="9"/>
  <c r="AD6" i="9"/>
  <c r="AA8" i="9"/>
  <c r="P6" i="9" s="1"/>
  <c r="P5" i="9"/>
  <c r="O5" i="5"/>
  <c r="Z4" i="5"/>
  <c r="W7" i="5"/>
  <c r="O6" i="5" s="1"/>
  <c r="Z5" i="5"/>
  <c r="H24" i="36"/>
  <c r="S5" i="6"/>
  <c r="AH6" i="6"/>
  <c r="AE8" i="6"/>
  <c r="S6" i="6" s="1"/>
  <c r="AH5" i="6"/>
  <c r="AF7" i="8"/>
  <c r="AF6" i="8"/>
  <c r="AC9" i="8"/>
  <c r="U6" i="8" s="1"/>
  <c r="Q14" i="22" s="1"/>
  <c r="Q19" i="22" s="1"/>
  <c r="U5" i="8"/>
  <c r="Q13" i="22" s="1"/>
  <c r="AC5" i="12" l="1"/>
  <c r="N12" i="12" s="1"/>
  <c r="AC4" i="12"/>
  <c r="T6" i="12"/>
  <c r="T13" i="26" s="1"/>
  <c r="T14" i="40"/>
  <c r="T19" i="40" s="1"/>
  <c r="T13" i="40"/>
  <c r="H41" i="55"/>
  <c r="G30" i="55"/>
  <c r="AG5" i="11"/>
  <c r="K15" i="7"/>
  <c r="I22" i="7" s="1"/>
  <c r="S6" i="10"/>
  <c r="T13" i="50" s="1"/>
  <c r="AG5" i="10"/>
  <c r="AG4" i="11"/>
  <c r="L12" i="11" s="1"/>
  <c r="AG6" i="10"/>
  <c r="P6" i="11"/>
  <c r="T13" i="46" s="1"/>
  <c r="U31" i="4"/>
  <c r="M9" i="4" s="1"/>
  <c r="U8" i="56" s="1"/>
  <c r="U36" i="4"/>
  <c r="M10" i="4" s="1"/>
  <c r="U9" i="56" s="1"/>
  <c r="E51" i="56"/>
  <c r="I51" i="56" s="1"/>
  <c r="E55" i="56"/>
  <c r="I55" i="56" s="1"/>
  <c r="T6" i="55"/>
  <c r="T7" i="55" s="1"/>
  <c r="T8" i="55" s="1"/>
  <c r="I15" i="7"/>
  <c r="T4" i="39" s="1"/>
  <c r="T14" i="48"/>
  <c r="T19" i="48" s="1"/>
  <c r="T14" i="46"/>
  <c r="T19" i="46" s="1"/>
  <c r="O3" i="55"/>
  <c r="T14" i="21"/>
  <c r="T19" i="21" s="1"/>
  <c r="Q12" i="8"/>
  <c r="O12" i="8"/>
  <c r="R12" i="8"/>
  <c r="P12" i="8"/>
  <c r="T13" i="21"/>
  <c r="K12" i="5"/>
  <c r="L12" i="5"/>
  <c r="T14" i="32"/>
  <c r="T14" i="29"/>
  <c r="P12" i="6"/>
  <c r="N12" i="6"/>
  <c r="O12" i="6"/>
  <c r="T13" i="32"/>
  <c r="T13" i="29"/>
  <c r="K12" i="9"/>
  <c r="J12" i="9"/>
  <c r="M12" i="9"/>
  <c r="L12" i="9"/>
  <c r="P12" i="12"/>
  <c r="Q12" i="12"/>
  <c r="L12" i="12" l="1"/>
  <c r="M12" i="12"/>
  <c r="O12" i="12"/>
  <c r="AB15" i="7"/>
  <c r="AB17" i="7" s="1"/>
  <c r="O7" i="7" s="1"/>
  <c r="T7" i="39" s="1"/>
  <c r="T13" i="48"/>
  <c r="N12" i="10"/>
  <c r="T4" i="38"/>
  <c r="P12" i="10"/>
  <c r="O12" i="10"/>
  <c r="M12" i="10"/>
  <c r="I12" i="11"/>
  <c r="M12" i="11"/>
  <c r="J12" i="11"/>
  <c r="K12" i="11"/>
  <c r="L12" i="10"/>
  <c r="J17" i="7"/>
  <c r="J16" i="7"/>
  <c r="T10" i="55"/>
  <c r="P15" i="8"/>
  <c r="N19" i="8" s="1"/>
  <c r="T5" i="39"/>
  <c r="AE11" i="7"/>
  <c r="AE12" i="7" s="1"/>
  <c r="AB32" i="7" s="1"/>
  <c r="O11" i="7" s="1"/>
  <c r="T5" i="38"/>
  <c r="AB11" i="7"/>
  <c r="J15" i="5"/>
  <c r="M15" i="12"/>
  <c r="K20" i="12" s="1"/>
  <c r="O15" i="6"/>
  <c r="L15" i="5"/>
  <c r="T5" i="40" s="1"/>
  <c r="I15" i="9"/>
  <c r="K15" i="9"/>
  <c r="M15" i="6"/>
  <c r="K16" i="5" l="1"/>
  <c r="T4" i="40"/>
  <c r="T7" i="38"/>
  <c r="M15" i="10"/>
  <c r="AD12" i="10" s="1"/>
  <c r="P7" i="7"/>
  <c r="J15" i="11"/>
  <c r="H20" i="11" s="1"/>
  <c r="N15" i="8"/>
  <c r="O17" i="8" s="1"/>
  <c r="G10" i="55"/>
  <c r="G11" i="55" s="1"/>
  <c r="AB23" i="7"/>
  <c r="O9" i="7" s="1"/>
  <c r="P9" i="7" s="1"/>
  <c r="AB37" i="7"/>
  <c r="O13" i="7" s="1"/>
  <c r="T12" i="39" s="1"/>
  <c r="AC13" i="8"/>
  <c r="AC17" i="8"/>
  <c r="AC19" i="8" s="1"/>
  <c r="U7" i="8" s="1"/>
  <c r="V7" i="8" s="1"/>
  <c r="AF13" i="8"/>
  <c r="AF14" i="8" s="1"/>
  <c r="AC39" i="8" s="1"/>
  <c r="U13" i="8" s="1"/>
  <c r="Q5" i="22"/>
  <c r="K17" i="5"/>
  <c r="J16" i="9"/>
  <c r="T4" i="32"/>
  <c r="T4" i="29"/>
  <c r="J17" i="9"/>
  <c r="Z15" i="12"/>
  <c r="Z17" i="12" s="1"/>
  <c r="T8" i="12" s="1"/>
  <c r="AC11" i="12"/>
  <c r="AC12" i="12" s="1"/>
  <c r="Z37" i="12" s="1"/>
  <c r="T14" i="12" s="1"/>
  <c r="Z11" i="12"/>
  <c r="T5" i="26"/>
  <c r="K15" i="12"/>
  <c r="I20" i="9"/>
  <c r="AA12" i="9"/>
  <c r="AD12" i="9"/>
  <c r="AD13" i="9" s="1"/>
  <c r="AA16" i="9"/>
  <c r="AA18" i="9" s="1"/>
  <c r="P7" i="9" s="1"/>
  <c r="T5" i="29"/>
  <c r="T5" i="32"/>
  <c r="AH12" i="6"/>
  <c r="AH13" i="6" s="1"/>
  <c r="AE12" i="6"/>
  <c r="M19" i="6"/>
  <c r="AE16" i="6"/>
  <c r="AE18" i="6" s="1"/>
  <c r="S7" i="6" s="1"/>
  <c r="T5" i="21"/>
  <c r="N17" i="6"/>
  <c r="N16" i="6"/>
  <c r="T4" i="21"/>
  <c r="P11" i="7"/>
  <c r="T10" i="39"/>
  <c r="T10" i="38"/>
  <c r="W15" i="5"/>
  <c r="Y18" i="5" s="1"/>
  <c r="W38" i="5" s="1"/>
  <c r="O13" i="5" s="1"/>
  <c r="Y13" i="5"/>
  <c r="Y14" i="5" s="1"/>
  <c r="W32" i="5" s="1"/>
  <c r="O11" i="5" s="1"/>
  <c r="T10" i="40" s="1"/>
  <c r="W11" i="5"/>
  <c r="J19" i="5"/>
  <c r="D32" i="56" l="1"/>
  <c r="O2" i="55"/>
  <c r="K20" i="10"/>
  <c r="T5" i="50"/>
  <c r="AD16" i="10"/>
  <c r="AD18" i="10" s="1"/>
  <c r="S8" i="10" s="1"/>
  <c r="AG12" i="10"/>
  <c r="AG13" i="10" s="1"/>
  <c r="AD24" i="10" s="1"/>
  <c r="S10" i="10" s="1"/>
  <c r="T8" i="50" s="1"/>
  <c r="K15" i="10"/>
  <c r="T4" i="50" s="1"/>
  <c r="AD11" i="11"/>
  <c r="T5" i="46"/>
  <c r="AD15" i="11"/>
  <c r="AD17" i="11" s="1"/>
  <c r="P8" i="11" s="1"/>
  <c r="Q8" i="11" s="1"/>
  <c r="T5" i="48"/>
  <c r="AG11" i="11"/>
  <c r="AG12" i="11" s="1"/>
  <c r="AD37" i="11" s="1"/>
  <c r="H15" i="11"/>
  <c r="I17" i="11" s="1"/>
  <c r="O16" i="8"/>
  <c r="Q4" i="22"/>
  <c r="T8" i="38"/>
  <c r="D44" i="56"/>
  <c r="I36" i="56"/>
  <c r="N45" i="56"/>
  <c r="N33" i="56"/>
  <c r="I16" i="11"/>
  <c r="T8" i="39"/>
  <c r="U8" i="12"/>
  <c r="T7" i="26"/>
  <c r="T4" i="26"/>
  <c r="L17" i="12"/>
  <c r="L16" i="12"/>
  <c r="Q7" i="22"/>
  <c r="C5" i="36"/>
  <c r="G4" i="36" s="1"/>
  <c r="R7" i="36" s="1"/>
  <c r="G10" i="36" s="1"/>
  <c r="T12" i="38"/>
  <c r="C5" i="34"/>
  <c r="C5" i="37" s="1"/>
  <c r="G4" i="37" s="1"/>
  <c r="AC25" i="8"/>
  <c r="U9" i="8" s="1"/>
  <c r="Q8" i="22" s="1"/>
  <c r="AC34" i="8"/>
  <c r="U11" i="8" s="1"/>
  <c r="V11" i="8" s="1"/>
  <c r="W17" i="5"/>
  <c r="O7" i="5" s="1"/>
  <c r="T7" i="40" s="1"/>
  <c r="AE33" i="6"/>
  <c r="S11" i="6" s="1"/>
  <c r="AE38" i="6"/>
  <c r="S13" i="6" s="1"/>
  <c r="AE24" i="6"/>
  <c r="S9" i="6" s="1"/>
  <c r="Q7" i="9"/>
  <c r="T7" i="32"/>
  <c r="T7" i="29"/>
  <c r="P11" i="5"/>
  <c r="T7" i="21"/>
  <c r="T7" i="6"/>
  <c r="C5" i="16"/>
  <c r="G4" i="16" s="1"/>
  <c r="Q12" i="22"/>
  <c r="Z23" i="12"/>
  <c r="T10" i="12" s="1"/>
  <c r="Z32" i="12"/>
  <c r="T12" i="12" s="1"/>
  <c r="AA33" i="9"/>
  <c r="P11" i="9" s="1"/>
  <c r="AA38" i="9"/>
  <c r="P13" i="9" s="1"/>
  <c r="C5" i="27" s="1"/>
  <c r="C5" i="28" s="1"/>
  <c r="AA24" i="9"/>
  <c r="P9" i="9" s="1"/>
  <c r="C33" i="23" l="1"/>
  <c r="C33" i="25" s="1"/>
  <c r="G32" i="25" s="1"/>
  <c r="C5" i="23"/>
  <c r="T10" i="10"/>
  <c r="L17" i="10"/>
  <c r="L16" i="10"/>
  <c r="AD33" i="10"/>
  <c r="S12" i="10" s="1"/>
  <c r="T10" i="50" s="1"/>
  <c r="AD38" i="10"/>
  <c r="C33" i="45" s="1"/>
  <c r="G32" i="45" s="1"/>
  <c r="R35" i="45" s="1"/>
  <c r="G38" i="45" s="1"/>
  <c r="R42" i="45" s="1"/>
  <c r="G44" i="45" s="1"/>
  <c r="H43" i="45" s="1"/>
  <c r="T7" i="50"/>
  <c r="T8" i="10"/>
  <c r="AD32" i="11"/>
  <c r="P12" i="11" s="1"/>
  <c r="T11" i="48" s="1"/>
  <c r="AD23" i="11"/>
  <c r="P10" i="11" s="1"/>
  <c r="T8" i="46" s="1"/>
  <c r="T7" i="48"/>
  <c r="T4" i="46"/>
  <c r="T4" i="48"/>
  <c r="T7" i="46"/>
  <c r="Q10" i="22"/>
  <c r="G4" i="34"/>
  <c r="R7" i="34" s="1"/>
  <c r="G10" i="34" s="1"/>
  <c r="C5" i="35"/>
  <c r="G4" i="35" s="1"/>
  <c r="R7" i="35" s="1"/>
  <c r="G10" i="35" s="1"/>
  <c r="P14" i="11"/>
  <c r="T12" i="46"/>
  <c r="C33" i="49"/>
  <c r="G32" i="49" s="1"/>
  <c r="R35" i="49" s="1"/>
  <c r="G38" i="49" s="1"/>
  <c r="K49" i="48" s="1"/>
  <c r="C5" i="49"/>
  <c r="G4" i="49" s="1"/>
  <c r="R7" i="49" s="1"/>
  <c r="G10" i="49" s="1"/>
  <c r="K41" i="48" s="1"/>
  <c r="C5" i="43"/>
  <c r="G4" i="43" s="1"/>
  <c r="R7" i="43" s="1"/>
  <c r="G10" i="43" s="1"/>
  <c r="L59" i="46" s="1"/>
  <c r="P59" i="46" s="1"/>
  <c r="T12" i="48"/>
  <c r="C33" i="44"/>
  <c r="G32" i="44" s="1"/>
  <c r="R35" i="44" s="1"/>
  <c r="G38" i="44" s="1"/>
  <c r="K49" i="46" s="1"/>
  <c r="C5" i="44"/>
  <c r="G4" i="44" s="1"/>
  <c r="R7" i="44" s="1"/>
  <c r="G10" i="44" s="1"/>
  <c r="R14" i="44" s="1"/>
  <c r="G16" i="44" s="1"/>
  <c r="H15" i="44" s="1"/>
  <c r="C5" i="47"/>
  <c r="G4" i="47" s="1"/>
  <c r="R7" i="47" s="1"/>
  <c r="G10" i="47" s="1"/>
  <c r="D41" i="48" s="1"/>
  <c r="U10" i="12"/>
  <c r="T8" i="26"/>
  <c r="U12" i="12"/>
  <c r="T10" i="26"/>
  <c r="V9" i="8"/>
  <c r="R14" i="36"/>
  <c r="G16" i="36" s="1"/>
  <c r="H15" i="36" s="1"/>
  <c r="T6" i="36"/>
  <c r="R12" i="36" s="1"/>
  <c r="G11" i="36" s="1"/>
  <c r="D34" i="39"/>
  <c r="T8" i="29"/>
  <c r="Q9" i="9"/>
  <c r="T8" i="32"/>
  <c r="R7" i="16"/>
  <c r="G10" i="16" s="1"/>
  <c r="R7" i="37"/>
  <c r="G10" i="37" s="1"/>
  <c r="T8" i="21"/>
  <c r="T9" i="6"/>
  <c r="W23" i="5"/>
  <c r="O9" i="5" s="1"/>
  <c r="T8" i="40" s="1"/>
  <c r="T10" i="32"/>
  <c r="T10" i="29"/>
  <c r="Q11" i="9"/>
  <c r="T11" i="6"/>
  <c r="T10" i="21"/>
  <c r="T12" i="29"/>
  <c r="C5" i="30"/>
  <c r="C5" i="15"/>
  <c r="G4" i="15" s="1"/>
  <c r="T12" i="21"/>
  <c r="T12" i="26"/>
  <c r="P7" i="5"/>
  <c r="G32" i="23" l="1"/>
  <c r="R35" i="23" s="1"/>
  <c r="G38" i="23" s="1"/>
  <c r="R34" i="49"/>
  <c r="N35" i="49" s="1"/>
  <c r="M39" i="49" s="1"/>
  <c r="G39" i="49" s="1"/>
  <c r="T31" i="48" s="1"/>
  <c r="K45" i="50"/>
  <c r="R14" i="47"/>
  <c r="G16" i="47" s="1"/>
  <c r="H15" i="47" s="1"/>
  <c r="C34" i="41"/>
  <c r="G33" i="41" s="1"/>
  <c r="R36" i="41" s="1"/>
  <c r="G39" i="41" s="1"/>
  <c r="R43" i="41" s="1"/>
  <c r="G45" i="41" s="1"/>
  <c r="H44" i="41" s="1"/>
  <c r="C5" i="41"/>
  <c r="G4" i="41" s="1"/>
  <c r="R7" i="41" s="1"/>
  <c r="G10" i="41" s="1"/>
  <c r="D38" i="50" s="1"/>
  <c r="N35" i="45"/>
  <c r="M39" i="45" s="1"/>
  <c r="G39" i="45" s="1"/>
  <c r="T36" i="50" s="1"/>
  <c r="R34" i="45"/>
  <c r="R40" i="45" s="1"/>
  <c r="K41" i="46"/>
  <c r="S14" i="10"/>
  <c r="T8" i="48"/>
  <c r="T12" i="50"/>
  <c r="C5" i="45"/>
  <c r="G4" i="45" s="1"/>
  <c r="R7" i="45" s="1"/>
  <c r="G10" i="45" s="1"/>
  <c r="D52" i="50" s="1"/>
  <c r="T12" i="10"/>
  <c r="T10" i="48"/>
  <c r="Q12" i="11"/>
  <c r="T10" i="46"/>
  <c r="Q10" i="11"/>
  <c r="R42" i="44"/>
  <c r="G44" i="44" s="1"/>
  <c r="H43" i="44" s="1"/>
  <c r="R42" i="49"/>
  <c r="G44" i="49" s="1"/>
  <c r="H43" i="49" s="1"/>
  <c r="R34" i="44"/>
  <c r="R40" i="44" s="1"/>
  <c r="R6" i="44"/>
  <c r="O3" i="44" s="1"/>
  <c r="O8" i="44" s="1"/>
  <c r="G11" i="44" s="1"/>
  <c r="T27" i="46" s="1"/>
  <c r="R14" i="49"/>
  <c r="G16" i="49" s="1"/>
  <c r="H15" i="49" s="1"/>
  <c r="R6" i="49"/>
  <c r="R12" i="49" s="1"/>
  <c r="T6" i="43"/>
  <c r="R12" i="43" s="1"/>
  <c r="G11" i="43" s="1"/>
  <c r="T23" i="46" s="1"/>
  <c r="D48" i="48"/>
  <c r="T6" i="47"/>
  <c r="R12" i="47" s="1"/>
  <c r="G11" i="47" s="1"/>
  <c r="T23" i="48" s="1"/>
  <c r="R14" i="43"/>
  <c r="G16" i="43" s="1"/>
  <c r="H15" i="43" s="1"/>
  <c r="D41" i="46"/>
  <c r="L59" i="48"/>
  <c r="P59" i="48" s="1"/>
  <c r="R7" i="15"/>
  <c r="G10" i="15" s="1"/>
  <c r="R35" i="25"/>
  <c r="G38" i="25" s="1"/>
  <c r="G4" i="27"/>
  <c r="C5" i="31"/>
  <c r="G4" i="31" s="1"/>
  <c r="G4" i="28"/>
  <c r="R14" i="35"/>
  <c r="G16" i="35" s="1"/>
  <c r="H15" i="35" s="1"/>
  <c r="K34" i="38"/>
  <c r="T6" i="35"/>
  <c r="R12" i="35" s="1"/>
  <c r="P9" i="5"/>
  <c r="R14" i="37"/>
  <c r="G16" i="37" s="1"/>
  <c r="H15" i="37" s="1"/>
  <c r="K34" i="39"/>
  <c r="T6" i="37"/>
  <c r="R12" i="37" s="1"/>
  <c r="R6" i="16"/>
  <c r="R12" i="16" s="1"/>
  <c r="G11" i="16" s="1"/>
  <c r="Q22" i="22" s="1"/>
  <c r="H39" i="22"/>
  <c r="R14" i="16"/>
  <c r="G16" i="16" s="1"/>
  <c r="H15" i="16" s="1"/>
  <c r="H45" i="22"/>
  <c r="L45" i="22" s="1"/>
  <c r="T6" i="34"/>
  <c r="R12" i="34" s="1"/>
  <c r="G11" i="34" s="1"/>
  <c r="D34" i="38"/>
  <c r="R14" i="34"/>
  <c r="G16" i="34" s="1"/>
  <c r="H15" i="34" s="1"/>
  <c r="K43" i="38"/>
  <c r="O43" i="38" s="1"/>
  <c r="K43" i="39"/>
  <c r="O43" i="39" s="1"/>
  <c r="G4" i="23"/>
  <c r="C5" i="25"/>
  <c r="G4" i="25" s="1"/>
  <c r="T12" i="32"/>
  <c r="G4" i="30"/>
  <c r="C5" i="14" l="1"/>
  <c r="G4" i="14" s="1"/>
  <c r="R7" i="14" s="1"/>
  <c r="G10" i="14" s="1"/>
  <c r="T12" i="40"/>
  <c r="R40" i="49"/>
  <c r="T35" i="41"/>
  <c r="R41" i="41" s="1"/>
  <c r="G40" i="41" s="1"/>
  <c r="T27" i="50" s="1"/>
  <c r="L62" i="50"/>
  <c r="P62" i="50" s="1"/>
  <c r="K38" i="50"/>
  <c r="T6" i="41"/>
  <c r="R12" i="41" s="1"/>
  <c r="G11" i="41" s="1"/>
  <c r="T23" i="50" s="1"/>
  <c r="R14" i="41"/>
  <c r="G16" i="41" s="1"/>
  <c r="H15" i="41" s="1"/>
  <c r="D45" i="50"/>
  <c r="L58" i="50"/>
  <c r="P58" i="50" s="1"/>
  <c r="R6" i="45"/>
  <c r="R12" i="45" s="1"/>
  <c r="R14" i="45"/>
  <c r="G16" i="45" s="1"/>
  <c r="H15" i="45" s="1"/>
  <c r="N35" i="44"/>
  <c r="M39" i="44" s="1"/>
  <c r="G39" i="44" s="1"/>
  <c r="T31" i="46" s="1"/>
  <c r="R12" i="44"/>
  <c r="O3" i="49"/>
  <c r="O8" i="49" s="1"/>
  <c r="G11" i="49" s="1"/>
  <c r="T27" i="48" s="1"/>
  <c r="R7" i="30"/>
  <c r="G10" i="30" s="1"/>
  <c r="R7" i="23"/>
  <c r="G10" i="23" s="1"/>
  <c r="R7" i="25"/>
  <c r="G10" i="25" s="1"/>
  <c r="R7" i="28"/>
  <c r="G10" i="28" s="1"/>
  <c r="R14" i="15"/>
  <c r="G16" i="15" s="1"/>
  <c r="H15" i="15" s="1"/>
  <c r="K24" i="21"/>
  <c r="R6" i="15"/>
  <c r="R12" i="15" s="1"/>
  <c r="G11" i="15" s="1"/>
  <c r="T22" i="21" s="1"/>
  <c r="K29" i="21"/>
  <c r="O29" i="21" s="1"/>
  <c r="T23" i="39"/>
  <c r="T23" i="38"/>
  <c r="R7" i="27"/>
  <c r="G10" i="27" s="1"/>
  <c r="R34" i="23"/>
  <c r="R40" i="23" s="1"/>
  <c r="G39" i="23" s="1"/>
  <c r="T27" i="26" s="1"/>
  <c r="R42" i="23"/>
  <c r="G44" i="23" s="1"/>
  <c r="H43" i="23" s="1"/>
  <c r="K38" i="26"/>
  <c r="L50" i="26"/>
  <c r="P50" i="26" s="1"/>
  <c r="L54" i="26"/>
  <c r="P54" i="26" s="1"/>
  <c r="R7" i="31"/>
  <c r="G10" i="31" s="1"/>
  <c r="R42" i="25"/>
  <c r="G44" i="25" s="1"/>
  <c r="H43" i="25" s="1"/>
  <c r="R34" i="25"/>
  <c r="R40" i="25" s="1"/>
  <c r="K45" i="26"/>
  <c r="L62" i="26"/>
  <c r="P62" i="26" s="1"/>
  <c r="O3" i="45" l="1"/>
  <c r="O8" i="45" s="1"/>
  <c r="G11" i="45" s="1"/>
  <c r="T31" i="50" s="1"/>
  <c r="N35" i="25"/>
  <c r="G39" i="25" s="1"/>
  <c r="T36" i="26" s="1"/>
  <c r="T6" i="27"/>
  <c r="R12" i="27" s="1"/>
  <c r="G11" i="27" s="1"/>
  <c r="R14" i="27"/>
  <c r="G16" i="27" s="1"/>
  <c r="H15" i="27" s="1"/>
  <c r="K30" i="29"/>
  <c r="O30" i="29" s="1"/>
  <c r="C23" i="29"/>
  <c r="R14" i="28"/>
  <c r="G16" i="28" s="1"/>
  <c r="H15" i="28" s="1"/>
  <c r="T6" i="28"/>
  <c r="R12" i="28" s="1"/>
  <c r="K34" i="29"/>
  <c r="O34" i="29" s="1"/>
  <c r="K23" i="29"/>
  <c r="T6" i="30"/>
  <c r="R12" i="30" s="1"/>
  <c r="G11" i="30" s="1"/>
  <c r="R14" i="30"/>
  <c r="G16" i="30" s="1"/>
  <c r="H15" i="30" s="1"/>
  <c r="C23" i="32"/>
  <c r="K30" i="32"/>
  <c r="O30" i="32" s="1"/>
  <c r="R14" i="31"/>
  <c r="G16" i="31" s="1"/>
  <c r="H15" i="31" s="1"/>
  <c r="T6" i="31"/>
  <c r="R12" i="31" s="1"/>
  <c r="K23" i="32"/>
  <c r="K34" i="32"/>
  <c r="O34" i="32" s="1"/>
  <c r="R6" i="25"/>
  <c r="R12" i="25" s="1"/>
  <c r="R14" i="25"/>
  <c r="G16" i="25" s="1"/>
  <c r="H15" i="25" s="1"/>
  <c r="D45" i="26"/>
  <c r="L58" i="26"/>
  <c r="P58" i="26" s="1"/>
  <c r="T6" i="14"/>
  <c r="R12" i="14" s="1"/>
  <c r="G11" i="14" s="1"/>
  <c r="R14" i="14"/>
  <c r="G16" i="14" s="1"/>
  <c r="H15" i="14" s="1"/>
  <c r="R6" i="23"/>
  <c r="R12" i="23" s="1"/>
  <c r="G11" i="23" s="1"/>
  <c r="T23" i="26" s="1"/>
  <c r="R14" i="23"/>
  <c r="G16" i="23" s="1"/>
  <c r="H15" i="23" s="1"/>
  <c r="D38" i="26"/>
  <c r="T22" i="40" l="1"/>
  <c r="O3" i="25"/>
  <c r="G11" i="25" s="1"/>
  <c r="T31" i="26" s="1"/>
  <c r="R13" i="28"/>
  <c r="G11" i="28" s="1"/>
  <c r="T27" i="32" s="1"/>
  <c r="R13" i="35"/>
  <c r="G11" i="35" s="1"/>
  <c r="T27" i="38" s="1"/>
  <c r="R13" i="31"/>
  <c r="G11" i="31" s="1"/>
  <c r="T23" i="32"/>
  <c r="T23" i="29"/>
  <c r="R13" i="37"/>
  <c r="G11" i="37" s="1"/>
  <c r="T27" i="29" l="1"/>
  <c r="T27" i="39"/>
</calcChain>
</file>

<file path=xl/sharedStrings.xml><?xml version="1.0" encoding="utf-8"?>
<sst xmlns="http://schemas.openxmlformats.org/spreadsheetml/2006/main" count="2457" uniqueCount="389">
  <si>
    <t>Ø 22 cm</t>
  </si>
  <si>
    <t>Ø 29 cm</t>
  </si>
  <si>
    <t>Ø 33 cm</t>
  </si>
  <si>
    <t>Estaca Pré-Moldada</t>
  </si>
  <si>
    <t>Ø 20 cm</t>
  </si>
  <si>
    <t>Ø 23 cm</t>
  </si>
  <si>
    <t>Ø 26 cm</t>
  </si>
  <si>
    <t>Ø 38 cm</t>
  </si>
  <si>
    <t>Ø 42 cm</t>
  </si>
  <si>
    <t>Ø 50 cm</t>
  </si>
  <si>
    <t>Ø 60 cm</t>
  </si>
  <si>
    <t>Ø 70 cm</t>
  </si>
  <si>
    <t>Madeira</t>
  </si>
  <si>
    <t>Ø 25 cm</t>
  </si>
  <si>
    <t>Ø 30 cm</t>
  </si>
  <si>
    <t>Ø 35 cm</t>
  </si>
  <si>
    <t>Ø 40 cm</t>
  </si>
  <si>
    <t>Tipo de Estaca</t>
  </si>
  <si>
    <t>Diâmetro (cm)</t>
  </si>
  <si>
    <t>Carga Nominal (KN)</t>
  </si>
  <si>
    <t>Estaca Moldada In-Loco</t>
  </si>
  <si>
    <t>Strauss</t>
  </si>
  <si>
    <t>Ø 32 cm</t>
  </si>
  <si>
    <t>Ø 45 cm</t>
  </si>
  <si>
    <t>Estacão</t>
  </si>
  <si>
    <t>Ø 80 cm</t>
  </si>
  <si>
    <t>Ø 100 cm</t>
  </si>
  <si>
    <t>Ø 120 cm</t>
  </si>
  <si>
    <t>Ø 140 cm</t>
  </si>
  <si>
    <t>Ø 160 cm</t>
  </si>
  <si>
    <t>Ø 180 cm</t>
  </si>
  <si>
    <t>Ø 200 cm</t>
  </si>
  <si>
    <t>Apiloada</t>
  </si>
  <si>
    <t>Franki</t>
  </si>
  <si>
    <t>Ø 52 cm</t>
  </si>
  <si>
    <t>Raiz</t>
  </si>
  <si>
    <t>Ø 10 cm</t>
  </si>
  <si>
    <t>Ø 12 cm</t>
  </si>
  <si>
    <t>Ø 15 cm</t>
  </si>
  <si>
    <t>Ø 31 cm</t>
  </si>
  <si>
    <t>Hélice Contínua</t>
  </si>
  <si>
    <t>Ø 27,5 cm</t>
  </si>
  <si>
    <t>Ø 90 cm</t>
  </si>
  <si>
    <t>Estaca:</t>
  </si>
  <si>
    <t>Tipo de Estaca:</t>
  </si>
  <si>
    <t>Escavada</t>
  </si>
  <si>
    <t>Vibrada Concreto</t>
  </si>
  <si>
    <t>Centrifugada Concreto</t>
  </si>
  <si>
    <t>diametro:</t>
  </si>
  <si>
    <t>Selecione a Estaca</t>
  </si>
  <si>
    <t>Selecione a Tipo de Estaca</t>
  </si>
  <si>
    <t>Selecione o Diâmetro (cm) da Estaca</t>
  </si>
  <si>
    <t>Dados Obtidos</t>
  </si>
  <si>
    <t>Diâmetro (cm):</t>
  </si>
  <si>
    <t>Entrada de Dados</t>
  </si>
  <si>
    <t>Carga Nominal (KN):</t>
  </si>
  <si>
    <t>Força Normal (KN):</t>
  </si>
  <si>
    <t>Coeficiente α :</t>
  </si>
  <si>
    <t>Diâmetro Adotado (cm):</t>
  </si>
  <si>
    <t>Resultados Parciais</t>
  </si>
  <si>
    <t>Quantidade de Estacas</t>
  </si>
  <si>
    <t>Coef. Do Tipo da Estaca</t>
  </si>
  <si>
    <t>Selecione o Tipo de Bloco Desejado de Acordo com a Quantidade de Estacas  Solicitadas:</t>
  </si>
  <si>
    <t>6 Estacas</t>
  </si>
  <si>
    <t>1 Estaca</t>
  </si>
  <si>
    <t>2  Estacas</t>
  </si>
  <si>
    <t>3 Estacas</t>
  </si>
  <si>
    <t>4 Estacas</t>
  </si>
  <si>
    <t>5 Estacas</t>
  </si>
  <si>
    <t>c (cm)</t>
  </si>
  <si>
    <t>X (cm)</t>
  </si>
  <si>
    <t>Y (cm)</t>
  </si>
  <si>
    <t>Σ xi²</t>
  </si>
  <si>
    <t>Ø (cm)</t>
  </si>
  <si>
    <t>Σ yi²</t>
  </si>
  <si>
    <t>R máx (KN)</t>
  </si>
  <si>
    <t>Reação (KN)</t>
  </si>
  <si>
    <t>Estaca E1</t>
  </si>
  <si>
    <t>Estaca E2</t>
  </si>
  <si>
    <t>Lest (cm)</t>
  </si>
  <si>
    <t>Estaca E3</t>
  </si>
  <si>
    <t>Estaca E4</t>
  </si>
  <si>
    <t>Estaca E5</t>
  </si>
  <si>
    <t>Estaca E6</t>
  </si>
  <si>
    <t>Pilar</t>
  </si>
  <si>
    <r>
      <t xml:space="preserve">Inclinação </t>
    </r>
    <r>
      <rPr>
        <b/>
        <sz val="11"/>
        <color theme="1"/>
        <rFont val="Calibri"/>
        <family val="2"/>
      </rPr>
      <t>ϴ da biela (45º ≤ ϴ ≤ 55º)</t>
    </r>
  </si>
  <si>
    <t>ϴ</t>
  </si>
  <si>
    <t>Aest (m²)</t>
  </si>
  <si>
    <t>Aest* (m²)</t>
  </si>
  <si>
    <t>σ limite (KN/m²)</t>
  </si>
  <si>
    <t>σ biela (KN/m²)</t>
  </si>
  <si>
    <t>R máx,d</t>
  </si>
  <si>
    <t>σ biela, est,d (KN/m²)</t>
  </si>
  <si>
    <t>Ap (cm²)</t>
  </si>
  <si>
    <t>Ap (m²)</t>
  </si>
  <si>
    <t>Ap* (m²)</t>
  </si>
  <si>
    <t>σ limite, pilar (KN/m²)</t>
  </si>
  <si>
    <t>Carga Admissível Geotécnica (KN):</t>
  </si>
  <si>
    <t>X (m)</t>
  </si>
  <si>
    <t>X(m)</t>
  </si>
  <si>
    <t>Y(m)</t>
  </si>
  <si>
    <t>Y (m)</t>
  </si>
  <si>
    <t>m (cm)</t>
  </si>
  <si>
    <t>d (cm)</t>
  </si>
  <si>
    <t>h (cm)</t>
  </si>
  <si>
    <t>Fcd (Mpa)</t>
  </si>
  <si>
    <t>em KN/m²</t>
  </si>
  <si>
    <t>σ limite (Mpa)</t>
  </si>
  <si>
    <t>Mx' (KN.m)</t>
  </si>
  <si>
    <t>My' (KN.m)</t>
  </si>
  <si>
    <t>σ biela,d,pilar (KN/m²)</t>
  </si>
  <si>
    <t>Abiela (m²)</t>
  </si>
  <si>
    <t>σ fend (KN/m²)</t>
  </si>
  <si>
    <t>Fbiela (KN)</t>
  </si>
  <si>
    <t>Fbiela,d (KN)</t>
  </si>
  <si>
    <t>σ lim,fend (KN/m²)</t>
  </si>
  <si>
    <t>σ lim,fend (MPa)</t>
  </si>
  <si>
    <t>Fbiela,d(KN)</t>
  </si>
  <si>
    <t>Rst,d (KN)</t>
  </si>
  <si>
    <t>Fctm</t>
  </si>
  <si>
    <t>Fcd (KN/m²)</t>
  </si>
  <si>
    <t xml:space="preserve">Rst,d (KN) </t>
  </si>
  <si>
    <t>m1</t>
  </si>
  <si>
    <t>m2</t>
  </si>
  <si>
    <t>m3</t>
  </si>
  <si>
    <t>m4</t>
  </si>
  <si>
    <t>Coeficiente Peso Próprio :</t>
  </si>
  <si>
    <t>Armaduras</t>
  </si>
  <si>
    <t>Dados</t>
  </si>
  <si>
    <t>Cob. Nom (cm)</t>
  </si>
  <si>
    <t>Abarra (cm²)</t>
  </si>
  <si>
    <t>Selecione o Diâmetro das Barras de Aço Desejado (mm)</t>
  </si>
  <si>
    <t>D (mm)</t>
  </si>
  <si>
    <t>Número de Barras</t>
  </si>
  <si>
    <t>Número de Barras Adotadas</t>
  </si>
  <si>
    <t>Número de Espaços entre as barras</t>
  </si>
  <si>
    <t>Diâmetro Estaca (cm)</t>
  </si>
  <si>
    <t>Dist Barras (mm)</t>
  </si>
  <si>
    <t>MAIOR (cm)</t>
  </si>
  <si>
    <t>Distância Mínima entre as Barras (cm)</t>
  </si>
  <si>
    <t>distancia est</t>
  </si>
  <si>
    <t>Ancoragem</t>
  </si>
  <si>
    <t>lb nec (cm)</t>
  </si>
  <si>
    <t>lb disp (cm)</t>
  </si>
  <si>
    <t>fctk,inf (MPa)</t>
  </si>
  <si>
    <t>fctd (MPa)</t>
  </si>
  <si>
    <t>fbd (MPa)</t>
  </si>
  <si>
    <t>fbd (KN/cm²)</t>
  </si>
  <si>
    <t>lb (cm)</t>
  </si>
  <si>
    <t>As, ef (cm²)</t>
  </si>
  <si>
    <t>Diâmetro do Pino de Dobramento (mm)</t>
  </si>
  <si>
    <t>Comprimento da Barra (cm)</t>
  </si>
  <si>
    <t>para &lt;20</t>
  </si>
  <si>
    <t>para &gt;=20</t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</si>
  <si>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x</t>
    </r>
    <r>
      <rPr>
        <b/>
        <i/>
        <sz val="11"/>
        <color theme="1"/>
        <rFont val="Calibri"/>
        <family val="2"/>
        <scheme val="minor"/>
      </rPr>
      <t xml:space="preserve"> (KN.m):</t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</si>
  <si>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y</t>
    </r>
    <r>
      <rPr>
        <b/>
        <i/>
        <sz val="11"/>
        <color theme="1"/>
        <rFont val="Calibri"/>
        <family val="2"/>
        <scheme val="minor"/>
      </rPr>
      <t xml:space="preserve"> (KN.m):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</si>
  <si>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x</t>
    </r>
    <r>
      <rPr>
        <b/>
        <i/>
        <sz val="11"/>
        <color theme="1"/>
        <rFont val="Calibri"/>
        <family val="2"/>
        <scheme val="minor"/>
      </rPr>
      <t xml:space="preserve"> (KN):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</si>
  <si>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y</t>
    </r>
    <r>
      <rPr>
        <b/>
        <i/>
        <sz val="11"/>
        <color theme="1"/>
        <rFont val="Calibri"/>
        <family val="2"/>
        <scheme val="minor"/>
      </rPr>
      <t xml:space="preserve"> (KN):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</si>
  <si>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ck</t>
    </r>
    <r>
      <rPr>
        <b/>
        <i/>
        <sz val="11"/>
        <color theme="1"/>
        <rFont val="Calibri"/>
        <family val="2"/>
        <scheme val="minor"/>
      </rPr>
      <t xml:space="preserve"> do Concreto (MPA)</t>
    </r>
  </si>
  <si>
    <r>
      <t>γ</t>
    </r>
    <r>
      <rPr>
        <b/>
        <i/>
        <vertAlign val="subscript"/>
        <sz val="12"/>
        <color theme="1"/>
        <rFont val="Calibri"/>
        <family val="2"/>
        <scheme val="minor"/>
      </rPr>
      <t>f</t>
    </r>
  </si>
  <si>
    <r>
      <t>γ</t>
    </r>
    <r>
      <rPr>
        <b/>
        <i/>
        <vertAlign val="subscript"/>
        <sz val="11"/>
        <color theme="1"/>
        <rFont val="Calibri"/>
        <family val="2"/>
        <scheme val="minor"/>
      </rPr>
      <t>c</t>
    </r>
  </si>
  <si>
    <r>
      <t>γ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</si>
  <si>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r>
      <t>γ</t>
    </r>
    <r>
      <rPr>
        <b/>
        <i/>
        <vertAlign val="subscript"/>
        <sz val="11"/>
        <color theme="1"/>
        <rFont val="Calibri"/>
        <family val="2"/>
        <scheme val="minor"/>
      </rPr>
      <t>n</t>
    </r>
  </si>
  <si>
    <r>
      <t>Σ 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²</t>
    </r>
  </si>
  <si>
    <r>
      <t>Σ 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²</t>
    </r>
  </si>
  <si>
    <t>Corte AA</t>
  </si>
  <si>
    <t>Corte BB</t>
  </si>
  <si>
    <r>
      <t>R</t>
    </r>
    <r>
      <rPr>
        <vertAlign val="subscript"/>
        <sz val="11"/>
        <color theme="1"/>
        <rFont val="Calibri"/>
        <family val="2"/>
        <scheme val="minor"/>
      </rPr>
      <t>st,d</t>
    </r>
    <r>
      <rPr>
        <sz val="11"/>
        <color theme="1"/>
        <rFont val="Calibri"/>
        <family val="2"/>
        <scheme val="minor"/>
      </rPr>
      <t xml:space="preserve"> (KN)</t>
    </r>
  </si>
  <si>
    <r>
      <t>2</t>
    </r>
    <r>
      <rPr>
        <sz val="11"/>
        <color theme="1"/>
        <rFont val="Calibri"/>
        <family val="2"/>
      </rPr>
      <t>φ (cm)</t>
    </r>
  </si>
  <si>
    <t>10φ (cm)</t>
  </si>
  <si>
    <t>Resultados</t>
  </si>
  <si>
    <r>
      <t>L</t>
    </r>
    <r>
      <rPr>
        <vertAlign val="subscript"/>
        <sz val="11"/>
        <color theme="1"/>
        <rFont val="Calibri"/>
        <family val="2"/>
        <scheme val="minor"/>
      </rPr>
      <t xml:space="preserve">est </t>
    </r>
    <r>
      <rPr>
        <sz val="11"/>
        <color theme="1"/>
        <rFont val="Calibri"/>
        <family val="2"/>
        <scheme val="minor"/>
      </rPr>
      <t>(cm)</t>
    </r>
  </si>
  <si>
    <t>d (m)</t>
  </si>
  <si>
    <t>h (m)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</si>
  <si>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biela, est,d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</si>
  <si>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biela,d,pilar </t>
    </r>
    <r>
      <rPr>
        <b/>
        <sz val="11"/>
        <color theme="1"/>
        <rFont val="Calibri"/>
        <family val="2"/>
        <scheme val="minor"/>
      </rPr>
      <t>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</si>
  <si>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limite, pilar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</si>
  <si>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σ</t>
    </r>
    <r>
      <rPr>
        <b/>
        <vertAlign val="subscript"/>
        <sz val="11"/>
        <rFont val="Calibri"/>
        <family val="2"/>
      </rPr>
      <t xml:space="preserve"> fend </t>
    </r>
    <r>
      <rPr>
        <b/>
        <sz val="11"/>
        <rFont val="Calibri"/>
        <family val="2"/>
      </rPr>
      <t>(KN/m²)</t>
    </r>
  </si>
  <si>
    <r>
      <t>σ</t>
    </r>
    <r>
      <rPr>
        <b/>
        <vertAlign val="subscript"/>
        <sz val="11"/>
        <rFont val="Calibri"/>
        <family val="2"/>
      </rPr>
      <t xml:space="preserve"> lim,fend</t>
    </r>
    <r>
      <rPr>
        <b/>
        <sz val="11"/>
        <rFont val="Calibri"/>
        <family val="2"/>
      </rPr>
      <t xml:space="preserve"> (KN/m²)</t>
    </r>
  </si>
  <si>
    <r>
      <t>R</t>
    </r>
    <r>
      <rPr>
        <b/>
        <vertAlign val="subscript"/>
        <sz val="11"/>
        <rFont val="Calibri"/>
        <family val="2"/>
        <scheme val="minor"/>
      </rPr>
      <t>st,d</t>
    </r>
    <r>
      <rPr>
        <b/>
        <sz val="11"/>
        <rFont val="Calibri"/>
        <family val="2"/>
        <scheme val="minor"/>
      </rPr>
      <t xml:space="preserve"> (KN) </t>
    </r>
  </si>
  <si>
    <t>Legenda</t>
  </si>
  <si>
    <t>Verificação Atendida</t>
  </si>
  <si>
    <t>Redimensionar</t>
  </si>
  <si>
    <t>Estaca mais Solicidada</t>
  </si>
  <si>
    <t>Estaca com Reação Máxima</t>
  </si>
  <si>
    <t>Reação Máxima (KN)</t>
  </si>
  <si>
    <t>Diâmetro da Estaca (cm)</t>
  </si>
  <si>
    <t xml:space="preserve"> Altura Útil do Bloco "d" (m)</t>
  </si>
  <si>
    <t>Altura do Bloco "h" (m)</t>
  </si>
  <si>
    <t>Volume de Concreto +5% (m³)</t>
  </si>
  <si>
    <t>Diâmetro da Barra de Aço (mm)</t>
  </si>
  <si>
    <t>Massa total +10% (Kg)</t>
  </si>
  <si>
    <t>Massa (Kg/m)</t>
  </si>
  <si>
    <t>Comprimento (m)</t>
  </si>
  <si>
    <r>
      <t>Ф</t>
    </r>
    <r>
      <rPr>
        <b/>
        <vertAlign val="subscript"/>
        <sz val="11"/>
        <color theme="1"/>
        <rFont val="Calibri"/>
        <family val="2"/>
        <scheme val="minor"/>
      </rPr>
      <t>barra</t>
    </r>
    <r>
      <rPr>
        <b/>
        <sz val="11"/>
        <color theme="1"/>
        <rFont val="Calibri"/>
        <family val="2"/>
        <scheme val="minor"/>
      </rPr>
      <t xml:space="preserve"> (mm)</t>
    </r>
  </si>
  <si>
    <t>Resumo de Armaduras (Aço CA-50)</t>
  </si>
  <si>
    <t>Tipo de Aço</t>
  </si>
  <si>
    <t>CA-50</t>
  </si>
  <si>
    <r>
      <t>L</t>
    </r>
    <r>
      <rPr>
        <b/>
        <vertAlign val="subscript"/>
        <sz val="11"/>
        <color theme="1"/>
        <rFont val="Calibri"/>
        <family val="2"/>
        <scheme val="minor"/>
      </rPr>
      <t xml:space="preserve">est </t>
    </r>
    <r>
      <rPr>
        <b/>
        <sz val="11"/>
        <color theme="1"/>
        <rFont val="Calibri"/>
        <family val="2"/>
        <scheme val="minor"/>
      </rPr>
      <t>(cm)</t>
    </r>
  </si>
  <si>
    <t>Relatório Final</t>
  </si>
  <si>
    <r>
      <t>F</t>
    </r>
    <r>
      <rPr>
        <vertAlign val="subscript"/>
        <sz val="11"/>
        <color theme="1"/>
        <rFont val="Calibri"/>
        <family val="2"/>
        <scheme val="minor"/>
      </rPr>
      <t>yd</t>
    </r>
    <r>
      <rPr>
        <sz val="11"/>
        <color theme="1"/>
        <rFont val="Calibri"/>
        <family val="2"/>
        <scheme val="minor"/>
      </rPr>
      <t xml:space="preserve"> (KN/cm²)</t>
    </r>
  </si>
  <si>
    <r>
      <t>η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</si>
  <si>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η</t>
    </r>
    <r>
      <rPr>
        <b/>
        <i/>
        <vertAlign val="subscript"/>
        <sz val="11"/>
        <color theme="1"/>
        <rFont val="Calibri"/>
        <family val="2"/>
        <scheme val="minor"/>
      </rPr>
      <t>2</t>
    </r>
  </si>
  <si>
    <r>
      <t>η</t>
    </r>
    <r>
      <rPr>
        <b/>
        <i/>
        <vertAlign val="subscript"/>
        <sz val="11"/>
        <color theme="1"/>
        <rFont val="Calibri"/>
        <family val="2"/>
        <scheme val="minor"/>
      </rPr>
      <t>3</t>
    </r>
  </si>
  <si>
    <t>α</t>
  </si>
  <si>
    <t>Área de Aço (cm²)</t>
  </si>
  <si>
    <t>Distancia Mínima entre Barras (cm)</t>
  </si>
  <si>
    <r>
      <t>Ф</t>
    </r>
    <r>
      <rPr>
        <b/>
        <vertAlign val="subscript"/>
        <sz val="11"/>
        <color theme="1"/>
        <rFont val="Calibri"/>
        <family val="2"/>
        <scheme val="minor"/>
      </rPr>
      <t>pino de dobramento</t>
    </r>
    <r>
      <rPr>
        <b/>
        <sz val="11"/>
        <color theme="1"/>
        <rFont val="Calibri"/>
        <family val="2"/>
        <scheme val="minor"/>
      </rPr>
      <t xml:space="preserve"> (mm)</t>
    </r>
  </si>
  <si>
    <t>σ limite,est (Mpa)</t>
  </si>
  <si>
    <t>Carga Geotécnica (KN)</t>
  </si>
  <si>
    <t>Verificação</t>
  </si>
  <si>
    <t>σ limite,est (KN/m²)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</si>
  <si>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limite,estaca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</si>
  <si>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f</t>
    </r>
    <r>
      <rPr>
        <vertAlign val="subscript"/>
        <sz val="11"/>
        <color theme="1"/>
        <rFont val="Calibri"/>
        <family val="2"/>
        <scheme val="minor"/>
      </rPr>
      <t>ck</t>
    </r>
  </si>
  <si>
    <t>Considerando Ancoragem com Gancho</t>
  </si>
  <si>
    <t>Considerando Barra Nervurada</t>
  </si>
  <si>
    <t>Considerando Boa Aderência</t>
  </si>
  <si>
    <t>Considerando Ф &lt; 32mm</t>
  </si>
  <si>
    <t>Carga Geotécnica</t>
  </si>
  <si>
    <t>Estaca mais Solicitada</t>
  </si>
  <si>
    <t>Geotécnica</t>
  </si>
  <si>
    <t>fn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</si>
  <si>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limite,est</t>
    </r>
    <r>
      <rPr>
        <b/>
        <sz val="11"/>
        <color theme="1"/>
        <rFont val="Calibri"/>
        <family val="2"/>
        <scheme val="minor"/>
      </rPr>
      <t xml:space="preserve"> (KN/m²)</t>
    </r>
  </si>
  <si>
    <t>Armadura Principal de Tração - Maior Dimensão</t>
  </si>
  <si>
    <t>Armadura Principal de Tração - Menor Dimensão</t>
  </si>
  <si>
    <t>Armadura de Distribuição - Menor Dimensão</t>
  </si>
  <si>
    <t>Armadura de Distribuição - Maior Dimensão</t>
  </si>
  <si>
    <t>d(distância entre barras)</t>
  </si>
  <si>
    <t>espaçamento</t>
  </si>
  <si>
    <t>DIST</t>
  </si>
  <si>
    <t>dist</t>
  </si>
  <si>
    <t xml:space="preserve">Armaduras de Distribuição </t>
  </si>
  <si>
    <t xml:space="preserve">Armaduras em Diagonal </t>
  </si>
  <si>
    <t xml:space="preserve">Armaduras Segundo os Lados </t>
  </si>
  <si>
    <t>Armaduras Segundo os Lados</t>
  </si>
  <si>
    <t>Variável</t>
  </si>
  <si>
    <t>Armaduras Segundo as Medianas</t>
  </si>
  <si>
    <t>h</t>
  </si>
  <si>
    <t>Selecione o Tipo de Armadura</t>
  </si>
  <si>
    <t>Armadura Principal de Tração</t>
  </si>
  <si>
    <t>Armadura de Distribuição</t>
  </si>
  <si>
    <t>CORTE AA</t>
  </si>
  <si>
    <t>CORTE BB</t>
  </si>
  <si>
    <t>Resumo de Armaduras de Tração (Aço CA-50)</t>
  </si>
  <si>
    <t>Resumo de Armaduras de Distribuição (Aço CA-50)</t>
  </si>
  <si>
    <t>Corte AA e BB</t>
  </si>
  <si>
    <t>Armadura Principal de Tração Maior Dimensão</t>
  </si>
  <si>
    <t>Armadura Principal de Tração Menor Dimensão</t>
  </si>
  <si>
    <t>Armadura de Distribuição Menor Dimensão</t>
  </si>
  <si>
    <t>Armadura de Distribuição Maior Dimensão</t>
  </si>
  <si>
    <t>MAIOR DIMENSÃO</t>
  </si>
  <si>
    <t>MENOR DIMENSÃO</t>
  </si>
  <si>
    <t>Comprimento da Barra entre estacas 2 e 3 (cm)</t>
  </si>
  <si>
    <t>Comprimento da Barra das estacas 1, 4 e 5(cm)</t>
  </si>
  <si>
    <t>Armadura de Distribuição - Direção X</t>
  </si>
  <si>
    <t>Armadura de Distribuição - Direção Y</t>
  </si>
  <si>
    <t/>
  </si>
  <si>
    <t>Armaduras- Direção X</t>
  </si>
  <si>
    <t>Armaduras- Direção Y</t>
  </si>
  <si>
    <t>Comprimento da Barra (linha das estacas 1 e 2) (cm)</t>
  </si>
  <si>
    <t>Comprimento da Barra (linha das estacas 3,4 e 5) (cm)</t>
  </si>
  <si>
    <t>Eixo X</t>
  </si>
  <si>
    <t>Eixo Y</t>
  </si>
  <si>
    <t>Armadura Principal de Tração Eixo X</t>
  </si>
  <si>
    <t>Armadura Principal de Tração EixoY</t>
  </si>
  <si>
    <t>Armadura de Distribuição Eixo X</t>
  </si>
  <si>
    <t>Armadura de Distribuição Eixo Y</t>
  </si>
  <si>
    <t>Linha das estacas 3, 4 e 5</t>
  </si>
  <si>
    <t>Linha das estacas 1 e 2</t>
  </si>
  <si>
    <t>Resumo de Armaduras Principal de Tração- Maior Dimensão(Aço CA-50)</t>
  </si>
  <si>
    <t>Resumo de Armaduras Principal de Tração- Menor Dimensão(Aço CA-50)</t>
  </si>
  <si>
    <t>Resumo de Armaduras  de Distribuição- Maior Dimensão(Aço CA-50)</t>
  </si>
  <si>
    <t>Resumo de Armaduras de Distribuição- Menor Dimensão (Aço CA-50)</t>
  </si>
  <si>
    <t>Resumo de Armadura Principal de Tração- Eixo X(Aço CA-50)</t>
  </si>
  <si>
    <t>Resumo de Armadura Principal de Tração- Eixo Y(Aço CA-50)</t>
  </si>
  <si>
    <t>Resumo de Armaduras  de Distribuição- Eixo X(Aço CA-50)</t>
  </si>
  <si>
    <t>Armaduras  Segundo as Medianas</t>
  </si>
  <si>
    <t>Eixo - X</t>
  </si>
  <si>
    <t>Eixo - Y</t>
  </si>
  <si>
    <t xml:space="preserve">Armadura Principal de Tração </t>
  </si>
  <si>
    <t>Resumo de ArmaduramPrincipal de Tração (Aço CA-50)</t>
  </si>
  <si>
    <t>Resumo de Armadura de Distribuição Eixo - X (Aço CA-50)</t>
  </si>
  <si>
    <t>Resumo de Armadura de Distribuição Eixo - Y (Aço CA-50)</t>
  </si>
  <si>
    <t>Estacas 1, 4 e 5</t>
  </si>
  <si>
    <t>Linha entre as estacas 2 e 3</t>
  </si>
  <si>
    <t>Dimensionamento e Verificação de Blocos sobre Estacas</t>
  </si>
  <si>
    <t>Bárbara Crysthine Sousa Lopes</t>
  </si>
  <si>
    <t>Rhuan Karlo Queiroz de Souza</t>
  </si>
  <si>
    <t>Tobias Ribeiro Ferreira</t>
  </si>
  <si>
    <t>Rodrigo Gustavo Delalibera</t>
  </si>
  <si>
    <t>bcs_90@hotmail.com</t>
  </si>
  <si>
    <t>rhuankarlo_@hotmail.com</t>
  </si>
  <si>
    <t>tobias.trf@hotmail.com</t>
  </si>
  <si>
    <t>Orientandos</t>
  </si>
  <si>
    <t>delalibera.r.g@engcivilufgcac.com.br</t>
  </si>
  <si>
    <t>d</t>
  </si>
  <si>
    <t>a</t>
  </si>
  <si>
    <t>b</t>
  </si>
  <si>
    <t>d&gt;=</t>
  </si>
  <si>
    <t>quantidade de estacas</t>
  </si>
  <si>
    <t>Carga Geo</t>
  </si>
  <si>
    <t>rstdx</t>
  </si>
  <si>
    <t>rstdy</t>
  </si>
  <si>
    <t>Diâmetro das Barras de Aço  (mm)</t>
  </si>
  <si>
    <t>Armadura Principal</t>
  </si>
  <si>
    <t>Número de Camadas</t>
  </si>
  <si>
    <t>Distância entre as camadas</t>
  </si>
  <si>
    <t>Armadura Secundária</t>
  </si>
  <si>
    <t>-</t>
  </si>
  <si>
    <t>area para cada barra</t>
  </si>
  <si>
    <t>principal</t>
  </si>
  <si>
    <t>secundaria</t>
  </si>
  <si>
    <t>d(mm)</t>
  </si>
  <si>
    <t>área de 1 barra</t>
  </si>
  <si>
    <t>n de barras necessarias</t>
  </si>
  <si>
    <t>n de camadas necessarias</t>
  </si>
  <si>
    <t>tramos</t>
  </si>
  <si>
    <t>Distância entre as camadas(cm)</t>
  </si>
  <si>
    <t>Número de Camadas(cm)</t>
  </si>
  <si>
    <t>n de camadas real</t>
  </si>
  <si>
    <t>Resumo de Armadura Principal(Aço CA-50)</t>
  </si>
  <si>
    <t>Resumo de Armadura Secundária (Aço CA-50)</t>
  </si>
  <si>
    <t>Dimensão b do pilar (cm):</t>
  </si>
  <si>
    <t>Dimensão a do pilar (cm):</t>
  </si>
  <si>
    <t>d' (cm)</t>
  </si>
  <si>
    <t>d adotado (cm)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</si>
  <si>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compressão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</si>
  <si>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comp limite</t>
    </r>
    <r>
      <rPr>
        <b/>
        <sz val="11"/>
        <color theme="1"/>
        <rFont val="Calibri"/>
        <family val="2"/>
        <scheme val="minor"/>
      </rPr>
      <t>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</si>
  <si>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compressão, limite</t>
    </r>
    <r>
      <rPr>
        <b/>
        <sz val="11"/>
        <color theme="1"/>
        <rFont val="Calibri"/>
        <family val="2"/>
        <scheme val="minor"/>
      </rPr>
      <t xml:space="preserve"> (KN/m²)</t>
    </r>
  </si>
  <si>
    <t>Fendilhamento x</t>
  </si>
  <si>
    <t>Fendilhamento y</t>
  </si>
  <si>
    <t>Máx Fend. X</t>
  </si>
  <si>
    <t>Máx Fend. Y</t>
  </si>
  <si>
    <t>Rtdx (KN)</t>
  </si>
  <si>
    <t>Rtdy (KN)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</si>
  <si>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>máx,fendilhamento,y</t>
    </r>
    <r>
      <rPr>
        <b/>
        <sz val="11"/>
        <color theme="1"/>
        <rFont val="Calibri"/>
        <family val="2"/>
        <scheme val="minor"/>
      </rPr>
      <t>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</si>
  <si>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>máx,fendilhamento,x</t>
    </r>
    <r>
      <rPr>
        <b/>
        <sz val="11"/>
        <color theme="1"/>
        <rFont val="Calibri"/>
        <family val="2"/>
        <scheme val="minor"/>
      </rPr>
      <t>(KN/m²)</t>
    </r>
  </si>
  <si>
    <t>Nd (KN)</t>
  </si>
  <si>
    <t>a (cm)</t>
  </si>
  <si>
    <t>b (cm)</t>
  </si>
  <si>
    <t>a0 (cm)</t>
  </si>
  <si>
    <t>b0 (cm)</t>
  </si>
  <si>
    <t>a (m)</t>
  </si>
  <si>
    <t>b (m)</t>
  </si>
  <si>
    <t>d adotado (m)</t>
  </si>
  <si>
    <t>Fcd (MPa)</t>
  </si>
  <si>
    <t>Aco (cm²)</t>
  </si>
  <si>
    <t>Aco (m²)</t>
  </si>
  <si>
    <t>Relação b/a</t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</si>
  <si>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máx,fendilhamento,x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</si>
  <si>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σ</t>
    </r>
    <r>
      <rPr>
        <b/>
        <vertAlign val="subscript"/>
        <sz val="11"/>
        <color theme="1"/>
        <rFont val="Calibri"/>
        <family val="2"/>
        <scheme val="minor"/>
      </rPr>
      <t xml:space="preserve"> máx,fendilhamento,y</t>
    </r>
    <r>
      <rPr>
        <b/>
        <sz val="11"/>
        <color theme="1"/>
        <rFont val="Calibri"/>
        <family val="2"/>
        <scheme val="minor"/>
      </rPr>
      <t xml:space="preserve"> (KN/m²)</t>
    </r>
  </si>
  <si>
    <r>
      <t>R</t>
    </r>
    <r>
      <rPr>
        <b/>
        <vertAlign val="subscript"/>
        <sz val="11"/>
        <rFont val="Calibri"/>
        <family val="2"/>
        <scheme val="minor"/>
      </rPr>
      <t>st,d,x</t>
    </r>
    <r>
      <rPr>
        <b/>
        <sz val="11"/>
        <rFont val="Calibri"/>
        <family val="2"/>
        <scheme val="minor"/>
      </rPr>
      <t xml:space="preserve"> (KN) </t>
    </r>
  </si>
  <si>
    <r>
      <t>R</t>
    </r>
    <r>
      <rPr>
        <b/>
        <vertAlign val="subscript"/>
        <sz val="11"/>
        <rFont val="Calibri"/>
        <family val="2"/>
        <scheme val="minor"/>
      </rPr>
      <t>st,d,y</t>
    </r>
    <r>
      <rPr>
        <b/>
        <sz val="11"/>
        <rFont val="Calibri"/>
        <family val="2"/>
        <scheme val="minor"/>
      </rPr>
      <t xml:space="preserve"> (KN) </t>
    </r>
  </si>
  <si>
    <t>aco</t>
  </si>
  <si>
    <t>pilar</t>
  </si>
  <si>
    <t>ac1</t>
  </si>
  <si>
    <t>fctk,inf</t>
  </si>
  <si>
    <t>fbd</t>
  </si>
  <si>
    <t>fctd</t>
  </si>
  <si>
    <t>fctk,inf9mpa)</t>
  </si>
  <si>
    <t>lb(cm)</t>
  </si>
  <si>
    <t>Orientador</t>
  </si>
  <si>
    <t>TR 25</t>
  </si>
  <si>
    <t>TR 32</t>
  </si>
  <si>
    <t>TR 37</t>
  </si>
  <si>
    <t>TR 45</t>
  </si>
  <si>
    <t>TR 50</t>
  </si>
  <si>
    <t>2 TR 32</t>
  </si>
  <si>
    <t>2 TR 37</t>
  </si>
  <si>
    <t>3 TR 32</t>
  </si>
  <si>
    <t>3 TR 37</t>
  </si>
  <si>
    <t>H 6”</t>
  </si>
  <si>
    <t>I 8”</t>
  </si>
  <si>
    <t>I 10”</t>
  </si>
  <si>
    <t>I 12”</t>
  </si>
  <si>
    <t>2 I 10”</t>
  </si>
  <si>
    <t>2 I 12”</t>
  </si>
  <si>
    <t>Vibrada Circular de Concreto (σ ̅= 9,0 a 11,0 MPa)</t>
  </si>
  <si>
    <t xml:space="preserve"> Strauss (σ ̅= 4,0 MPa)</t>
  </si>
  <si>
    <t xml:space="preserve">    Centrifugada de Concreto (σ ̅= 9,0 a 11,0 MPa)</t>
  </si>
  <si>
    <t xml:space="preserve">           Escavada (Trado Espiral)   (σ ̅= 4,0 MPa)</t>
  </si>
  <si>
    <t>Estacão (σ ̅= 4,0 MPa)</t>
  </si>
  <si>
    <t>Madeira (σ ̅= 4,0 MPa)</t>
  </si>
  <si>
    <t>Apiloada (σ ̅= 4,0 MPa)</t>
  </si>
  <si>
    <t>Franki  (σ ̅= 6,0 MPa)</t>
  </si>
  <si>
    <t>Raiz (σ ̅= 8,0 a 22,0 MPa)</t>
  </si>
  <si>
    <t xml:space="preserve">                Hélice Contínua           (σ ̅= 4,0 a 5,0 MPa)</t>
  </si>
  <si>
    <r>
      <rPr>
        <b/>
        <sz val="11"/>
        <color theme="1"/>
        <rFont val="Calibri"/>
        <family val="2"/>
        <scheme val="minor"/>
      </rPr>
      <t xml:space="preserve">Trilho usado </t>
    </r>
    <r>
      <rPr>
        <sz val="11"/>
        <color theme="1"/>
        <rFont val="Calibri"/>
        <family val="2"/>
        <scheme val="minor"/>
      </rPr>
      <t>(σ̅=80,00  MPa)</t>
    </r>
  </si>
  <si>
    <r>
      <rPr>
        <b/>
        <sz val="11"/>
        <color theme="1"/>
        <rFont val="Calibri"/>
        <family val="2"/>
        <scheme val="minor"/>
      </rPr>
      <t>Perfis I e H</t>
    </r>
    <r>
      <rPr>
        <sz val="11"/>
        <color theme="1"/>
        <rFont val="Calibri"/>
        <family val="2"/>
        <scheme val="minor"/>
      </rPr>
      <t xml:space="preserve"> (80,0 MPa a 120,0 MPa)  descontar 1,5 mm para corrosão e aplicar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</si>
</sst>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;;;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u/>
      <sz val="1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alibri"/>
      <family val="2"/>
    </font>
    <font>
      <b/>
      <sz val="15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sz val="11"/>
      <color theme="1"/>
      <name val="GreekC"/>
    </font>
    <font>
      <b/>
      <i/>
      <vertAlign val="sub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name val="Calibri"/>
      <family val="2"/>
    </font>
    <font>
      <b/>
      <vertAlign val="subscript"/>
      <sz val="11"/>
      <name val="Calibri"/>
      <family val="2"/>
    </font>
    <font>
      <b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u/>
      <sz val="28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rgb="FF000000"/>
      <name val="Calibri"/>
      <family val="2"/>
    </font>
    <font>
      <b/>
      <i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3" borderId="7" xfId="0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3" fontId="0" fillId="3" borderId="9" xfId="0" applyNumberFormat="1" applyFont="1" applyFill="1" applyBorder="1" applyAlignment="1">
      <alignment horizontal="center" vertical="center"/>
    </xf>
    <xf numFmtId="3" fontId="0" fillId="3" borderId="12" xfId="0" applyNumberFormat="1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5" borderId="5" xfId="0" applyFont="1" applyFill="1" applyBorder="1" applyAlignment="1">
      <alignment horizontal="left"/>
    </xf>
    <xf numFmtId="0" fontId="3" fillId="5" borderId="8" xfId="0" applyFont="1" applyFill="1" applyBorder="1" applyAlignment="1">
      <alignment horizontal="left"/>
    </xf>
    <xf numFmtId="0" fontId="3" fillId="5" borderId="10" xfId="0" applyFont="1" applyFill="1" applyBorder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0" fillId="0" borderId="0" xfId="0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25" xfId="0" applyBorder="1"/>
    <xf numFmtId="0" fontId="0" fillId="2" borderId="23" xfId="0" applyFill="1" applyBorder="1"/>
    <xf numFmtId="0" fontId="0" fillId="2" borderId="25" xfId="0" applyFill="1" applyBorder="1"/>
    <xf numFmtId="0" fontId="3" fillId="0" borderId="0" xfId="0" applyFont="1" applyBorder="1" applyAlignment="1">
      <alignment horizontal="center" vertical="center"/>
    </xf>
    <xf numFmtId="0" fontId="0" fillId="0" borderId="26" xfId="0" applyBorder="1"/>
    <xf numFmtId="0" fontId="0" fillId="0" borderId="24" xfId="0" applyBorder="1"/>
    <xf numFmtId="0" fontId="3" fillId="0" borderId="0" xfId="0" applyFont="1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164" fontId="0" fillId="0" borderId="12" xfId="0" applyNumberForma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8" xfId="0" applyBorder="1" applyAlignment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6" borderId="27" xfId="0" applyFill="1" applyBorder="1" applyAlignment="1">
      <alignment horizontal="center" vertical="center"/>
    </xf>
    <xf numFmtId="0" fontId="0" fillId="0" borderId="32" xfId="0" applyBorder="1" applyAlignment="1">
      <alignment horizontal="right" vertical="center"/>
    </xf>
    <xf numFmtId="0" fontId="0" fillId="0" borderId="33" xfId="0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6" borderId="35" xfId="0" applyFill="1" applyBorder="1" applyAlignment="1">
      <alignment horizontal="left" vertical="center"/>
    </xf>
    <xf numFmtId="0" fontId="0" fillId="6" borderId="36" xfId="0" applyFill="1" applyBorder="1" applyAlignment="1">
      <alignment horizontal="left" vertical="center"/>
    </xf>
    <xf numFmtId="0" fontId="0" fillId="6" borderId="37" xfId="0" applyFill="1" applyBorder="1" applyAlignment="1">
      <alignment horizontal="left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1" xfId="0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164" fontId="0" fillId="0" borderId="40" xfId="0" applyNumberFormat="1" applyBorder="1" applyAlignment="1">
      <alignment horizontal="right" vertical="center"/>
    </xf>
    <xf numFmtId="0" fontId="0" fillId="6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5" xfId="0" applyFill="1" applyBorder="1" applyAlignment="1">
      <alignment horizontal="left"/>
    </xf>
    <xf numFmtId="0" fontId="0" fillId="6" borderId="36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0" borderId="17" xfId="0" applyBorder="1"/>
    <xf numFmtId="0" fontId="0" fillId="0" borderId="20" xfId="0" applyBorder="1"/>
    <xf numFmtId="0" fontId="0" fillId="7" borderId="23" xfId="0" applyFill="1" applyBorder="1"/>
    <xf numFmtId="0" fontId="0" fillId="7" borderId="25" xfId="0" applyFill="1" applyBorder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0" fillId="8" borderId="0" xfId="0" applyFill="1"/>
    <xf numFmtId="0" fontId="3" fillId="5" borderId="42" xfId="0" applyFont="1" applyFill="1" applyBorder="1" applyAlignment="1">
      <alignment horizontal="left"/>
    </xf>
    <xf numFmtId="0" fontId="18" fillId="0" borderId="0" xfId="0" applyFont="1"/>
    <xf numFmtId="0" fontId="16" fillId="5" borderId="42" xfId="0" applyFont="1" applyFill="1" applyBorder="1" applyAlignment="1">
      <alignment horizontal="left"/>
    </xf>
    <xf numFmtId="0" fontId="2" fillId="0" borderId="0" xfId="0" applyFont="1"/>
    <xf numFmtId="0" fontId="0" fillId="10" borderId="10" xfId="0" applyFill="1" applyBorder="1"/>
    <xf numFmtId="0" fontId="0" fillId="9" borderId="43" xfId="0" applyFill="1" applyBorder="1"/>
    <xf numFmtId="0" fontId="1" fillId="0" borderId="5" xfId="0" applyFont="1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2" fontId="0" fillId="0" borderId="0" xfId="0" applyNumberFormat="1"/>
    <xf numFmtId="0" fontId="0" fillId="0" borderId="0" xfId="0" applyBorder="1" applyAlignment="1"/>
    <xf numFmtId="0" fontId="1" fillId="4" borderId="5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2" fillId="4" borderId="8" xfId="0" applyFont="1" applyFill="1" applyBorder="1" applyAlignment="1">
      <alignment horizontal="center"/>
    </xf>
    <xf numFmtId="0" fontId="24" fillId="4" borderId="8" xfId="0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2" fontId="0" fillId="3" borderId="9" xfId="0" applyNumberFormat="1" applyFill="1" applyBorder="1" applyAlignment="1">
      <alignment horizontal="center" vertical="center"/>
    </xf>
    <xf numFmtId="2" fontId="0" fillId="0" borderId="46" xfId="0" applyNumberFormat="1" applyBorder="1"/>
    <xf numFmtId="0" fontId="0" fillId="0" borderId="46" xfId="0" applyBorder="1" applyAlignment="1">
      <alignment horizontal="center" vertical="center"/>
    </xf>
    <xf numFmtId="0" fontId="1" fillId="0" borderId="0" xfId="0" applyFont="1"/>
    <xf numFmtId="0" fontId="1" fillId="4" borderId="15" xfId="0" applyFont="1" applyFill="1" applyBorder="1" applyAlignment="1">
      <alignment horizontal="center"/>
    </xf>
    <xf numFmtId="0" fontId="0" fillId="3" borderId="48" xfId="0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2" fontId="0" fillId="0" borderId="49" xfId="0" applyNumberFormat="1" applyBorder="1"/>
    <xf numFmtId="0" fontId="1" fillId="0" borderId="42" xfId="0" applyFont="1" applyBorder="1"/>
    <xf numFmtId="2" fontId="0" fillId="0" borderId="50" xfId="0" applyNumberFormat="1" applyBorder="1"/>
    <xf numFmtId="0" fontId="1" fillId="0" borderId="10" xfId="0" applyFont="1" applyBorder="1"/>
    <xf numFmtId="2" fontId="0" fillId="0" borderId="52" xfId="0" applyNumberFormat="1" applyBorder="1"/>
    <xf numFmtId="0" fontId="24" fillId="0" borderId="15" xfId="0" applyFont="1" applyBorder="1"/>
    <xf numFmtId="2" fontId="0" fillId="0" borderId="48" xfId="0" applyNumberFormat="1" applyBorder="1"/>
    <xf numFmtId="0" fontId="22" fillId="0" borderId="5" xfId="0" applyFont="1" applyBorder="1"/>
    <xf numFmtId="0" fontId="22" fillId="0" borderId="10" xfId="0" applyFont="1" applyBorder="1"/>
    <xf numFmtId="0" fontId="0" fillId="0" borderId="47" xfId="0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0" fontId="0" fillId="9" borderId="35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2" fontId="0" fillId="0" borderId="49" xfId="0" applyNumberFormat="1" applyBorder="1" applyAlignment="1">
      <alignment vertical="center"/>
    </xf>
    <xf numFmtId="0" fontId="1" fillId="0" borderId="42" xfId="0" applyFont="1" applyBorder="1" applyAlignment="1">
      <alignment vertical="center"/>
    </xf>
    <xf numFmtId="2" fontId="0" fillId="0" borderId="50" xfId="0" applyNumberFormat="1" applyBorder="1" applyAlignment="1">
      <alignment vertical="center"/>
    </xf>
    <xf numFmtId="0" fontId="1" fillId="0" borderId="10" xfId="0" applyFont="1" applyBorder="1" applyAlignment="1">
      <alignment vertical="center"/>
    </xf>
    <xf numFmtId="2" fontId="0" fillId="0" borderId="52" xfId="0" applyNumberForma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4" fillId="0" borderId="15" xfId="0" applyFont="1" applyBorder="1" applyAlignment="1">
      <alignment vertical="center"/>
    </xf>
    <xf numFmtId="2" fontId="0" fillId="0" borderId="48" xfId="0" applyNumberFormat="1" applyBorder="1" applyAlignment="1">
      <alignment vertical="center"/>
    </xf>
    <xf numFmtId="0" fontId="0" fillId="9" borderId="43" xfId="0" applyFill="1" applyBorder="1" applyAlignment="1">
      <alignment vertical="center"/>
    </xf>
    <xf numFmtId="0" fontId="0" fillId="10" borderId="10" xfId="0" applyFill="1" applyBorder="1" applyAlignment="1">
      <alignment vertical="center"/>
    </xf>
    <xf numFmtId="0" fontId="28" fillId="6" borderId="37" xfId="0" applyFont="1" applyFill="1" applyBorder="1" applyAlignment="1">
      <alignment horizontal="left" vertical="center"/>
    </xf>
    <xf numFmtId="164" fontId="28" fillId="0" borderId="40" xfId="0" applyNumberFormat="1" applyFont="1" applyBorder="1" applyAlignment="1">
      <alignment horizontal="right" vertical="center"/>
    </xf>
    <xf numFmtId="164" fontId="28" fillId="0" borderId="11" xfId="0" applyNumberFormat="1" applyFont="1" applyBorder="1" applyAlignment="1">
      <alignment horizontal="right" vertical="center"/>
    </xf>
    <xf numFmtId="164" fontId="28" fillId="0" borderId="12" xfId="0" applyNumberFormat="1" applyFont="1" applyBorder="1" applyAlignment="1">
      <alignment horizontal="right" vertical="center"/>
    </xf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8" fillId="6" borderId="37" xfId="0" applyFont="1" applyFill="1" applyBorder="1" applyAlignment="1">
      <alignment horizontal="left"/>
    </xf>
    <xf numFmtId="164" fontId="28" fillId="0" borderId="40" xfId="0" applyNumberFormat="1" applyFont="1" applyBorder="1" applyAlignment="1">
      <alignment horizontal="center"/>
    </xf>
    <xf numFmtId="164" fontId="28" fillId="0" borderId="11" xfId="0" applyNumberFormat="1" applyFont="1" applyBorder="1" applyAlignment="1">
      <alignment horizontal="center"/>
    </xf>
    <xf numFmtId="0" fontId="0" fillId="0" borderId="43" xfId="0" applyBorder="1"/>
    <xf numFmtId="0" fontId="0" fillId="0" borderId="28" xfId="0" applyBorder="1"/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6" borderId="14" xfId="0" applyFont="1" applyFill="1" applyBorder="1" applyAlignment="1">
      <alignment vertical="center"/>
    </xf>
    <xf numFmtId="0" fontId="1" fillId="6" borderId="30" xfId="0" applyFont="1" applyFill="1" applyBorder="1" applyAlignment="1">
      <alignment vertical="center"/>
    </xf>
    <xf numFmtId="164" fontId="28" fillId="0" borderId="40" xfId="0" applyNumberFormat="1" applyFont="1" applyBorder="1" applyAlignment="1">
      <alignment horizontal="center" vertical="center"/>
    </xf>
    <xf numFmtId="164" fontId="28" fillId="0" borderId="11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Fill="1"/>
    <xf numFmtId="0" fontId="3" fillId="0" borderId="0" xfId="0" applyFont="1" applyBorder="1" applyAlignment="1"/>
    <xf numFmtId="2" fontId="0" fillId="0" borderId="0" xfId="0" applyNumberFormat="1" applyFill="1"/>
    <xf numFmtId="0" fontId="28" fillId="0" borderId="0" xfId="0" applyFont="1" applyFill="1"/>
    <xf numFmtId="0" fontId="0" fillId="0" borderId="0" xfId="0" applyFill="1" applyBorder="1"/>
    <xf numFmtId="0" fontId="1" fillId="0" borderId="0" xfId="0" applyFont="1" applyBorder="1" applyAlignment="1">
      <alignment vertical="center" wrapText="1"/>
    </xf>
    <xf numFmtId="0" fontId="0" fillId="0" borderId="24" xfId="0" applyFill="1" applyBorder="1"/>
    <xf numFmtId="0" fontId="0" fillId="0" borderId="20" xfId="0" applyFill="1" applyBorder="1"/>
    <xf numFmtId="166" fontId="0" fillId="0" borderId="0" xfId="0" applyNumberFormat="1"/>
    <xf numFmtId="166" fontId="1" fillId="0" borderId="0" xfId="0" applyNumberFormat="1" applyFont="1"/>
    <xf numFmtId="0" fontId="1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2" fontId="0" fillId="3" borderId="7" xfId="0" applyNumberFormat="1" applyFill="1" applyBorder="1" applyAlignment="1">
      <alignment horizontal="center" vertical="center"/>
    </xf>
    <xf numFmtId="2" fontId="0" fillId="0" borderId="47" xfId="0" applyNumberFormat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9" fillId="0" borderId="0" xfId="0" applyFont="1" applyAlignment="1"/>
    <xf numFmtId="0" fontId="29" fillId="0" borderId="0" xfId="0" applyFont="1" applyBorder="1" applyAlignment="1"/>
    <xf numFmtId="0" fontId="29" fillId="0" borderId="24" xfId="0" applyFont="1" applyBorder="1" applyAlignment="1"/>
    <xf numFmtId="0" fontId="29" fillId="0" borderId="26" xfId="0" applyFont="1" applyBorder="1" applyAlignment="1"/>
    <xf numFmtId="0" fontId="28" fillId="11" borderId="16" xfId="0" applyFont="1" applyFill="1" applyBorder="1"/>
    <xf numFmtId="0" fontId="28" fillId="11" borderId="17" xfId="0" applyFont="1" applyFill="1" applyBorder="1"/>
    <xf numFmtId="0" fontId="28" fillId="11" borderId="18" xfId="0" applyFont="1" applyFill="1" applyBorder="1"/>
    <xf numFmtId="0" fontId="28" fillId="11" borderId="19" xfId="0" applyFont="1" applyFill="1" applyBorder="1"/>
    <xf numFmtId="0" fontId="28" fillId="11" borderId="20" xfId="0" applyFont="1" applyFill="1" applyBorder="1"/>
    <xf numFmtId="0" fontId="28" fillId="11" borderId="21" xfId="0" applyFont="1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1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65" fontId="0" fillId="3" borderId="9" xfId="0" applyNumberFormat="1" applyFill="1" applyBorder="1" applyAlignment="1">
      <alignment horizontal="center"/>
    </xf>
    <xf numFmtId="0" fontId="28" fillId="10" borderId="0" xfId="0" applyFont="1" applyFill="1"/>
    <xf numFmtId="0" fontId="0" fillId="12" borderId="0" xfId="0" applyFill="1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0" xfId="0" applyFont="1" applyAlignment="1"/>
    <xf numFmtId="0" fontId="1" fillId="0" borderId="0" xfId="0" applyFont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14" borderId="47" xfId="0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/>
    <xf numFmtId="0" fontId="0" fillId="0" borderId="0" xfId="0" applyAlignment="1"/>
    <xf numFmtId="0" fontId="1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12" borderId="0" xfId="0" applyFill="1"/>
    <xf numFmtId="2" fontId="0" fillId="12" borderId="7" xfId="0" applyNumberFormat="1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2" fontId="0" fillId="12" borderId="9" xfId="0" applyNumberFormat="1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2" fontId="0" fillId="12" borderId="46" xfId="0" applyNumberFormat="1" applyFill="1" applyBorder="1"/>
    <xf numFmtId="0" fontId="0" fillId="12" borderId="46" xfId="0" applyFill="1" applyBorder="1" applyAlignment="1">
      <alignment horizontal="center" vertical="center"/>
    </xf>
    <xf numFmtId="0" fontId="28" fillId="12" borderId="0" xfId="0" applyFont="1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1" fillId="0" borderId="0" xfId="0" applyFont="1" applyAlignment="1">
      <alignment horizontal="center" vertical="center"/>
    </xf>
    <xf numFmtId="0" fontId="0" fillId="12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1" fillId="12" borderId="0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12" borderId="24" xfId="0" applyFill="1" applyBorder="1" applyAlignment="1">
      <alignment horizontal="center"/>
    </xf>
    <xf numFmtId="2" fontId="0" fillId="12" borderId="24" xfId="0" applyNumberFormat="1" applyFill="1" applyBorder="1" applyAlignment="1">
      <alignment horizontal="center"/>
    </xf>
    <xf numFmtId="0" fontId="1" fillId="12" borderId="2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Border="1" applyAlignment="1">
      <alignment vertical="center" wrapText="1"/>
    </xf>
    <xf numFmtId="0" fontId="4" fillId="0" borderId="0" xfId="0" applyFont="1" applyAlignment="1">
      <alignment vertical="center"/>
    </xf>
    <xf numFmtId="0" fontId="16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6" fillId="0" borderId="0" xfId="0" applyFont="1" applyAlignment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17" xfId="0" applyBorder="1"/>
    <xf numFmtId="0" fontId="0" fillId="0" borderId="20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17" xfId="0" applyBorder="1"/>
    <xf numFmtId="0" fontId="0" fillId="0" borderId="20" xfId="0" applyBorder="1"/>
    <xf numFmtId="0" fontId="0" fillId="0" borderId="0" xfId="0" applyBorder="1"/>
    <xf numFmtId="2" fontId="0" fillId="0" borderId="21" xfId="0" applyNumberFormat="1" applyBorder="1"/>
    <xf numFmtId="2" fontId="0" fillId="0" borderId="12" xfId="0" applyNumberFormat="1" applyBorder="1"/>
    <xf numFmtId="0" fontId="1" fillId="6" borderId="2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14" xfId="0" applyFill="1" applyBorder="1" applyAlignment="1">
      <alignment horizontal="left" vertical="center"/>
    </xf>
    <xf numFmtId="0" fontId="0" fillId="6" borderId="30" xfId="0" applyFill="1" applyBorder="1" applyAlignment="1">
      <alignment horizontal="left" vertical="center"/>
    </xf>
    <xf numFmtId="0" fontId="0" fillId="0" borderId="0" xfId="0" applyBorder="1"/>
    <xf numFmtId="0" fontId="11" fillId="12" borderId="0" xfId="0" applyFont="1" applyFill="1"/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9" xfId="0" applyBorder="1"/>
    <xf numFmtId="0" fontId="0" fillId="0" borderId="2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3" fillId="15" borderId="7" xfId="0" applyFont="1" applyFill="1" applyBorder="1" applyAlignment="1" applyProtection="1">
      <alignment horizontal="center"/>
      <protection locked="0"/>
    </xf>
    <xf numFmtId="0" fontId="3" fillId="15" borderId="9" xfId="0" applyFont="1" applyFill="1" applyBorder="1" applyAlignment="1" applyProtection="1">
      <alignment horizontal="center"/>
      <protection locked="0"/>
    </xf>
    <xf numFmtId="166" fontId="0" fillId="0" borderId="0" xfId="0" applyNumberFormat="1" applyBorder="1"/>
    <xf numFmtId="166" fontId="0" fillId="12" borderId="0" xfId="0" applyNumberFormat="1" applyFill="1" applyBorder="1"/>
    <xf numFmtId="166" fontId="0" fillId="0" borderId="0" xfId="0" applyNumberFormat="1" applyFill="1"/>
    <xf numFmtId="166" fontId="13" fillId="0" borderId="0" xfId="0" applyNumberFormat="1" applyFont="1" applyFill="1"/>
    <xf numFmtId="166" fontId="14" fillId="0" borderId="0" xfId="0" applyNumberFormat="1" applyFont="1" applyFill="1"/>
    <xf numFmtId="166" fontId="11" fillId="0" borderId="0" xfId="0" applyNumberFormat="1" applyFont="1" applyFill="1"/>
    <xf numFmtId="166" fontId="2" fillId="0" borderId="0" xfId="0" applyNumberFormat="1" applyFont="1"/>
    <xf numFmtId="166" fontId="0" fillId="12" borderId="0" xfId="0" applyNumberFormat="1" applyFill="1"/>
    <xf numFmtId="166" fontId="0" fillId="0" borderId="0" xfId="0" applyNumberFormat="1" applyProtection="1">
      <protection locked="0"/>
    </xf>
    <xf numFmtId="0" fontId="1" fillId="6" borderId="2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0" xfId="0" applyBorder="1"/>
    <xf numFmtId="0" fontId="0" fillId="0" borderId="0" xfId="0" applyNumberFormat="1"/>
    <xf numFmtId="0" fontId="0" fillId="0" borderId="0" xfId="0" applyNumberFormat="1" applyFill="1"/>
    <xf numFmtId="2" fontId="0" fillId="0" borderId="7" xfId="0" applyNumberFormat="1" applyBorder="1"/>
    <xf numFmtId="2" fontId="0" fillId="0" borderId="59" xfId="0" applyNumberFormat="1" applyBorder="1"/>
    <xf numFmtId="0" fontId="0" fillId="0" borderId="0" xfId="0" applyNumberFormat="1" applyProtection="1">
      <protection locked="0"/>
    </xf>
    <xf numFmtId="0" fontId="1" fillId="0" borderId="0" xfId="0" applyNumberFormat="1" applyFont="1"/>
    <xf numFmtId="166" fontId="31" fillId="0" borderId="0" xfId="0" applyNumberFormat="1" applyFont="1"/>
    <xf numFmtId="166" fontId="1" fillId="0" borderId="5" xfId="0" applyNumberFormat="1" applyFont="1" applyBorder="1"/>
    <xf numFmtId="0" fontId="0" fillId="0" borderId="60" xfId="0" applyBorder="1"/>
    <xf numFmtId="165" fontId="0" fillId="3" borderId="48" xfId="0" applyNumberFormat="1" applyFill="1" applyBorder="1" applyAlignment="1">
      <alignment horizontal="center"/>
    </xf>
    <xf numFmtId="166" fontId="2" fillId="0" borderId="0" xfId="0" applyNumberFormat="1" applyFont="1" applyFill="1"/>
    <xf numFmtId="166" fontId="0" fillId="0" borderId="0" xfId="0" quotePrefix="1" applyNumberFormat="1"/>
    <xf numFmtId="166" fontId="0" fillId="0" borderId="0" xfId="0" quotePrefix="1" applyNumberFormat="1" applyFill="1"/>
    <xf numFmtId="166" fontId="13" fillId="0" borderId="0" xfId="0" applyNumberFormat="1" applyFont="1"/>
    <xf numFmtId="166" fontId="14" fillId="0" borderId="0" xfId="0" applyNumberFormat="1" applyFont="1"/>
    <xf numFmtId="166" fontId="11" fillId="0" borderId="0" xfId="0" applyNumberFormat="1" applyFont="1"/>
    <xf numFmtId="0" fontId="0" fillId="0" borderId="0" xfId="0" applyBorder="1" applyProtection="1">
      <protection locked="0"/>
    </xf>
    <xf numFmtId="0" fontId="0" fillId="0" borderId="0" xfId="0" applyBorder="1" applyAlignment="1">
      <alignment vertical="center"/>
    </xf>
    <xf numFmtId="0" fontId="34" fillId="0" borderId="0" xfId="0" applyFont="1"/>
    <xf numFmtId="0" fontId="34" fillId="0" borderId="0" xfId="0" applyNumberFormat="1" applyFont="1"/>
    <xf numFmtId="166" fontId="34" fillId="0" borderId="0" xfId="0" applyNumberFormat="1" applyFont="1"/>
    <xf numFmtId="0" fontId="34" fillId="0" borderId="0" xfId="0" applyNumberFormat="1" applyFont="1" applyProtection="1">
      <protection locked="0"/>
    </xf>
    <xf numFmtId="166" fontId="34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33" fillId="0" borderId="0" xfId="0" applyNumberFormat="1" applyFont="1"/>
    <xf numFmtId="0" fontId="34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3" fillId="0" borderId="0" xfId="0" applyFont="1"/>
    <xf numFmtId="0" fontId="0" fillId="3" borderId="6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59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3" fontId="0" fillId="3" borderId="12" xfId="0" applyNumberForma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" fillId="15" borderId="16" xfId="0" applyFont="1" applyFill="1" applyBorder="1" applyAlignment="1">
      <alignment horizontal="center" vertical="center"/>
    </xf>
    <xf numFmtId="0" fontId="4" fillId="15" borderId="17" xfId="0" applyFont="1" applyFill="1" applyBorder="1" applyAlignment="1">
      <alignment horizontal="center" vertical="center"/>
    </xf>
    <xf numFmtId="0" fontId="4" fillId="15" borderId="18" xfId="0" applyFont="1" applyFill="1" applyBorder="1" applyAlignment="1">
      <alignment horizontal="center" vertical="center"/>
    </xf>
    <xf numFmtId="0" fontId="4" fillId="15" borderId="19" xfId="0" applyFont="1" applyFill="1" applyBorder="1" applyAlignment="1">
      <alignment horizontal="center" vertical="center"/>
    </xf>
    <xf numFmtId="0" fontId="4" fillId="15" borderId="20" xfId="0" applyFont="1" applyFill="1" applyBorder="1" applyAlignment="1">
      <alignment horizontal="center" vertical="center"/>
    </xf>
    <xf numFmtId="0" fontId="4" fillId="15" borderId="21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 applyProtection="1">
      <alignment horizontal="center" vertical="center"/>
      <protection locked="0"/>
    </xf>
    <xf numFmtId="0" fontId="6" fillId="15" borderId="23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10" fillId="4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0" fillId="15" borderId="17" xfId="0" applyFill="1" applyBorder="1" applyAlignment="1">
      <alignment horizontal="center" vertical="center" wrapText="1"/>
    </xf>
    <xf numFmtId="0" fontId="0" fillId="15" borderId="18" xfId="0" applyFill="1" applyBorder="1" applyAlignment="1">
      <alignment horizontal="center" vertical="center" wrapText="1"/>
    </xf>
    <xf numFmtId="0" fontId="0" fillId="15" borderId="19" xfId="0" applyFill="1" applyBorder="1" applyAlignment="1">
      <alignment horizontal="center" vertical="center" wrapText="1"/>
    </xf>
    <xf numFmtId="0" fontId="0" fillId="15" borderId="20" xfId="0" applyFill="1" applyBorder="1" applyAlignment="1">
      <alignment horizontal="center" vertical="center" wrapText="1"/>
    </xf>
    <xf numFmtId="0" fontId="0" fillId="15" borderId="21" xfId="0" applyFill="1" applyBorder="1" applyAlignment="1">
      <alignment horizontal="center" vertical="center" wrapText="1"/>
    </xf>
    <xf numFmtId="0" fontId="7" fillId="5" borderId="16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5" fillId="6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 vertical="center"/>
    </xf>
    <xf numFmtId="0" fontId="10" fillId="15" borderId="16" xfId="0" applyFont="1" applyFill="1" applyBorder="1" applyAlignment="1">
      <alignment horizontal="center" vertical="center"/>
    </xf>
    <xf numFmtId="0" fontId="10" fillId="15" borderId="17" xfId="0" applyFont="1" applyFill="1" applyBorder="1" applyAlignment="1">
      <alignment horizontal="center" vertical="center"/>
    </xf>
    <xf numFmtId="0" fontId="10" fillId="15" borderId="18" xfId="0" applyFont="1" applyFill="1" applyBorder="1" applyAlignment="1">
      <alignment horizontal="center" vertical="center"/>
    </xf>
    <xf numFmtId="0" fontId="10" fillId="15" borderId="19" xfId="0" applyFont="1" applyFill="1" applyBorder="1" applyAlignment="1">
      <alignment horizontal="center" vertical="center"/>
    </xf>
    <xf numFmtId="0" fontId="10" fillId="15" borderId="20" xfId="0" applyFont="1" applyFill="1" applyBorder="1" applyAlignment="1">
      <alignment horizontal="center" vertical="center"/>
    </xf>
    <xf numFmtId="0" fontId="10" fillId="15" borderId="21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58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24" fillId="0" borderId="2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4" fillId="0" borderId="4" xfId="0" applyFont="1" applyFill="1" applyBorder="1" applyAlignment="1">
      <alignment horizont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wrapText="1"/>
    </xf>
    <xf numFmtId="0" fontId="3" fillId="0" borderId="17" xfId="0" applyFont="1" applyBorder="1" applyAlignment="1">
      <alignment horizontal="center" wrapText="1"/>
    </xf>
    <xf numFmtId="0" fontId="3" fillId="0" borderId="18" xfId="0" applyFont="1" applyBorder="1" applyAlignment="1">
      <alignment horizontal="center" wrapText="1"/>
    </xf>
    <xf numFmtId="0" fontId="3" fillId="0" borderId="19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21" xfId="0" applyFont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0" fontId="3" fillId="6" borderId="4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/>
    </xf>
    <xf numFmtId="0" fontId="15" fillId="6" borderId="16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5" fillId="6" borderId="18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/>
    </xf>
    <xf numFmtId="0" fontId="10" fillId="6" borderId="46" xfId="0" applyFont="1" applyFill="1" applyBorder="1" applyAlignment="1">
      <alignment horizontal="center"/>
    </xf>
    <xf numFmtId="0" fontId="3" fillId="6" borderId="44" xfId="0" applyFont="1" applyFill="1" applyBorder="1" applyAlignment="1">
      <alignment horizontal="center"/>
    </xf>
    <xf numFmtId="0" fontId="3" fillId="6" borderId="4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 wrapText="1"/>
    </xf>
    <xf numFmtId="0" fontId="3" fillId="6" borderId="17" xfId="0" applyFont="1" applyFill="1" applyBorder="1" applyAlignment="1">
      <alignment horizontal="center" wrapText="1"/>
    </xf>
    <xf numFmtId="0" fontId="3" fillId="6" borderId="18" xfId="0" applyFont="1" applyFill="1" applyBorder="1" applyAlignment="1">
      <alignment horizontal="center" wrapText="1"/>
    </xf>
    <xf numFmtId="0" fontId="3" fillId="6" borderId="26" xfId="0" applyFont="1" applyFill="1" applyBorder="1" applyAlignment="1">
      <alignment horizontal="center" wrapText="1"/>
    </xf>
    <xf numFmtId="0" fontId="3" fillId="6" borderId="0" xfId="0" applyFont="1" applyFill="1" applyBorder="1" applyAlignment="1">
      <alignment horizontal="center" wrapText="1"/>
    </xf>
    <xf numFmtId="0" fontId="3" fillId="6" borderId="24" xfId="0" applyFont="1" applyFill="1" applyBorder="1" applyAlignment="1">
      <alignment horizontal="center" wrapText="1"/>
    </xf>
    <xf numFmtId="0" fontId="3" fillId="6" borderId="5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3" fillId="6" borderId="19" xfId="0" applyFont="1" applyFill="1" applyBorder="1" applyAlignment="1">
      <alignment horizontal="center" wrapText="1"/>
    </xf>
    <xf numFmtId="0" fontId="3" fillId="6" borderId="21" xfId="0" applyFont="1" applyFill="1" applyBorder="1" applyAlignment="1">
      <alignment horizont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 wrapText="1"/>
    </xf>
    <xf numFmtId="0" fontId="3" fillId="6" borderId="24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21" xfId="0" applyFont="1" applyFill="1" applyBorder="1" applyAlignment="1">
      <alignment horizontal="center" vertical="center" wrapText="1"/>
    </xf>
    <xf numFmtId="165" fontId="0" fillId="0" borderId="24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44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3" fillId="6" borderId="35" xfId="0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165" fontId="0" fillId="12" borderId="24" xfId="0" applyNumberFormat="1" applyFill="1" applyBorder="1" applyAlignment="1">
      <alignment horizontal="center" vertical="center"/>
    </xf>
    <xf numFmtId="165" fontId="0" fillId="12" borderId="21" xfId="0" applyNumberFormat="1" applyFill="1" applyBorder="1" applyAlignment="1">
      <alignment horizontal="center" vertical="center"/>
    </xf>
    <xf numFmtId="2" fontId="0" fillId="12" borderId="24" xfId="0" applyNumberFormat="1" applyFill="1" applyBorder="1" applyAlignment="1">
      <alignment horizontal="center" vertical="center"/>
    </xf>
    <xf numFmtId="2" fontId="0" fillId="12" borderId="21" xfId="0" applyNumberFormat="1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0" fontId="1" fillId="4" borderId="55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2" fontId="1" fillId="0" borderId="0" xfId="0" applyNumberFormat="1" applyFont="1" applyBorder="1" applyAlignment="1" applyProtection="1">
      <alignment horizontal="center"/>
    </xf>
    <xf numFmtId="0" fontId="1" fillId="0" borderId="49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2" xfId="0" applyBorder="1" applyAlignment="1">
      <alignment horizontal="center"/>
    </xf>
    <xf numFmtId="2" fontId="0" fillId="0" borderId="52" xfId="0" applyNumberForma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0" xfId="0" applyFont="1" applyBorder="1" applyAlignment="1">
      <alignment horizontal="left" vertical="center" wrapText="1"/>
    </xf>
    <xf numFmtId="2" fontId="0" fillId="0" borderId="10" xfId="0" applyNumberFormat="1" applyBorder="1" applyAlignment="1">
      <alignment horizontal="center"/>
    </xf>
    <xf numFmtId="0" fontId="0" fillId="0" borderId="38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right" vertical="center" wrapText="1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24" fillId="0" borderId="44" xfId="0" applyFont="1" applyFill="1" applyBorder="1" applyAlignment="1">
      <alignment horizontal="center" vertical="center"/>
    </xf>
    <xf numFmtId="0" fontId="24" fillId="0" borderId="45" xfId="0" applyFont="1" applyFill="1" applyBorder="1" applyAlignment="1">
      <alignment horizontal="center" vertical="center"/>
    </xf>
    <xf numFmtId="0" fontId="24" fillId="0" borderId="46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13" borderId="53" xfId="0" applyFill="1" applyBorder="1" applyAlignment="1">
      <alignment horizontal="center" vertical="center" wrapText="1"/>
    </xf>
    <xf numFmtId="0" fontId="0" fillId="13" borderId="32" xfId="0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2" borderId="22" xfId="0" applyFill="1" applyBorder="1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2" fontId="0" fillId="12" borderId="22" xfId="0" applyNumberFormat="1" applyFill="1" applyBorder="1" applyAlignment="1">
      <alignment horizontal="center" vertical="center"/>
    </xf>
    <xf numFmtId="2" fontId="0" fillId="12" borderId="23" xfId="0" applyNumberFormat="1" applyFill="1" applyBorder="1" applyAlignment="1">
      <alignment horizontal="center" vertical="center"/>
    </xf>
    <xf numFmtId="165" fontId="0" fillId="12" borderId="22" xfId="0" applyNumberFormat="1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3" fillId="0" borderId="27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44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6" borderId="14" xfId="0" applyFont="1" applyFill="1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166" fontId="0" fillId="0" borderId="0" xfId="0" applyNumberFormat="1" applyFill="1" applyAlignment="1">
      <alignment horizontal="center"/>
    </xf>
    <xf numFmtId="0" fontId="1" fillId="12" borderId="17" xfId="0" applyFont="1" applyFill="1" applyBorder="1" applyAlignment="1">
      <alignment horizontal="center"/>
    </xf>
    <xf numFmtId="0" fontId="1" fillId="12" borderId="18" xfId="0" applyFont="1" applyFill="1" applyBorder="1" applyAlignment="1">
      <alignment horizontal="center"/>
    </xf>
    <xf numFmtId="0" fontId="0" fillId="0" borderId="0" xfId="0" applyBorder="1"/>
    <xf numFmtId="0" fontId="1" fillId="12" borderId="0" xfId="0" applyFont="1" applyFill="1" applyBorder="1" applyAlignment="1">
      <alignment horizontal="center"/>
    </xf>
    <xf numFmtId="0" fontId="1" fillId="12" borderId="24" xfId="0" applyFont="1" applyFill="1" applyBorder="1" applyAlignment="1">
      <alignment horizontal="center"/>
    </xf>
  </cellXfs>
  <cellStyles count="1">
    <cellStyle name="Normal" xfId="0" builtinId="0"/>
  </cellStyles>
  <dxfs count="138"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</dxfs>
  <tableStyles count="0" defaultTableStyle="TableStyleMedium9" defaultPivotStyle="PivotStyleLight16"/>
  <colors>
    <mruColors>
      <color rgb="FF0080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$200" fmlaRange="$A$201:$A$202" noThreeD="1" val="0"/>
</file>

<file path=xl/ctrlProps/ctrlProp3.xml><?xml version="1.0" encoding="utf-8"?>
<formControlPr xmlns="http://schemas.microsoft.com/office/spreadsheetml/2009/9/main" objectType="Drop" dropStyle="combo" dx="16" fmlaLink="$A$204" fmlaRange="$A$205:$A$211" noThreeD="1" sel="2" val="0"/>
</file>

<file path=xl/ctrlProps/ctrlProp4.xml><?xml version="1.0" encoding="utf-8"?>
<formControlPr xmlns="http://schemas.microsoft.com/office/spreadsheetml/2009/9/main" objectType="Drop" dropStyle="combo" dx="16" fmlaLink="$A$215" fmlaRange="$A$216:$A$224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Drop" dropStyle="combo" dx="16" fmlaLink="$B$100" fmlaRange="$B$101:$B$107" noThreeD="1" sel="7" val="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Style="combo" dx="16" fmlaLink="$B$45" fmlaRange="$B$46:$B$51" noThreeD="1" sel="3" val="0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Drop" dropStyle="combo" dx="16" fmlaLink="$B$50" fmlaRange="$B$51:$B$56" noThreeD="1" sel="3" val="0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checked="Checked" firstButton="1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16" fmlaLink="$B$60" fmlaRange="$B$61:$B$66" noThreeD="1" sel="2" val="0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Drop" dropLines="2" dropStyle="combo" dx="16" fmlaLink="$B$45" fmlaRange="$B$46:$B$47" noThreeD="1" sel="2" val="0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Style="combo" dx="16" fmlaLink="$B$60" fmlaRange="$B$61:$B$66" noThreeD="1" sel="4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Drop" dropLines="2" dropStyle="combo" dx="16" fmlaLink="$C$102" fmlaRange="$C$103:$C$104" noThreeD="1" val="0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Drop" dropStyle="combo" dx="16" fmlaLink="$B$100" fmlaRange="$B$101:$B$106" noThreeD="1" sel="4" val="0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Radio" checked="Checked" firstButton="1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Drop" dropStyle="combo" dx="16" fmlaLink="$B$53" fmlaRange="$B$54:$B$59" noThreeD="1" sel="4" val="0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Drop" dropLines="2" dropStyle="combo" dx="16" fmlaLink="$B$50" fmlaRange="$B$51:$B$52" noThreeD="1" sel="2" val="0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Drop" dropStyle="combo" dx="16" fmlaLink="$B$54" fmlaRange="$B$55:$B$60" noThreeD="1" sel="3" val="0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Drop" dropLines="2" dropStyle="combo" dx="16" fmlaLink="$B$49" fmlaRange="$B$50:$B$51" noThreeD="1" val="0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Drop" dropStyle="combo" dx="16" fmlaLink="$C$101" fmlaRange="$C$102:$C$107" noThreeD="1" sel="5" val="0"/>
</file>

<file path=xl/ctrlProps/ctrlProp84.xml><?xml version="1.0" encoding="utf-8"?>
<formControlPr xmlns="http://schemas.microsoft.com/office/spreadsheetml/2009/9/main" objectType="Drop" dropStyle="combo" dx="16" fmlaLink="$C$111" fmlaRange="$C$112:$C$117" noThreeD="1" sel="4" val="0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Drop" dropLines="2" dropStyle="combo" dx="16" fmlaLink="$B$22" fmlaRange="$B$23:$B$24" noThreeD="1" sel="2" val="0"/>
</file>

<file path=xl/ctrlProps/ctrlProp88.xml><?xml version="1.0" encoding="utf-8"?>
<formControlPr xmlns="http://schemas.microsoft.com/office/spreadsheetml/2009/9/main" objectType="Drop" dropLines="2" dropStyle="combo" dx="16" fmlaLink="$B$104" fmlaRange="$B$105:$B$106" noThreeD="1" sel="2" val="0"/>
</file>

<file path=xl/ctrlProps/ctrlProp89.xml><?xml version="1.0" encoding="utf-8"?>
<formControlPr xmlns="http://schemas.microsoft.com/office/spreadsheetml/2009/9/main" objectType="Drop" dropLines="2" dropStyle="combo" dx="16" fmlaLink="$B$111" fmlaRange="$B$112:$B$113" noThreeD="1" sel="2" val="0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Radio" firstButton="1" lockText="1" noThreeD="1"/>
</file>

<file path=xl/ctrlProps/ctrlProp96.xml><?xml version="1.0" encoding="utf-8"?>
<formControlPr xmlns="http://schemas.microsoft.com/office/spreadsheetml/2009/9/main" objectType="Radio" checked="Checked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Drop" dropStyle="combo" dx="16" fmlaLink="$B$100" fmlaRange="$B$101:$B$106" noThreeD="1" sel="6" val="0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Drop" dropLines="2" dropStyle="combo" dx="16" fmlaLink="$B$22" fmlaRange="$B$23:$B$24" noThreeD="1" sel="2" val="0"/>
</file>

<file path=xl/ctrlProps/ctrlProp102.xml><?xml version="1.0" encoding="utf-8"?>
<formControlPr xmlns="http://schemas.microsoft.com/office/spreadsheetml/2009/9/main" objectType="Drop" dropLines="2" dropStyle="combo" dx="16" fmlaLink="$B$112" fmlaRange="$B$113:$B$114" noThreeD="1" sel="2" val="0"/>
</file>

<file path=xl/ctrlProps/ctrlProp103.xml><?xml version="1.0" encoding="utf-8"?>
<formControlPr xmlns="http://schemas.microsoft.com/office/spreadsheetml/2009/9/main" objectType="Drop" dropLines="2" dropStyle="combo" dx="16" fmlaLink="$B$104" fmlaRange="$B$105:$B$106" noThreeD="1" sel="2" val="0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Drop" dropStyle="combo" dx="16" fmlaLink="$B$101" fmlaRange="$B$102:$B$107" noThreeD="1" sel="6" val="0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Drop" dropLines="2" dropStyle="combo" dx="16" fmlaLink="$B$22" fmlaRange="$B$23:$B$24" noThreeD="1" sel="2" val="0"/>
</file>

<file path=xl/ctrlProps/ctrlProp111.xml><?xml version="1.0" encoding="utf-8"?>
<formControlPr xmlns="http://schemas.microsoft.com/office/spreadsheetml/2009/9/main" objectType="Drop" dropLines="2" dropStyle="combo" dx="16" fmlaLink="$B$106" fmlaRange="$B$107:$B$108" noThreeD="1" sel="2" val="0"/>
</file>

<file path=xl/ctrlProps/ctrlProp112.xml><?xml version="1.0" encoding="utf-8"?>
<formControlPr xmlns="http://schemas.microsoft.com/office/spreadsheetml/2009/9/main" objectType="Drop" dropLines="2" dropStyle="combo" dx="16" fmlaLink="$B$113" fmlaRange="$B$114:$B$115" noThreeD="1" sel="2" val="0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Drop" dropLines="2" dropStyle="combo" dx="16" fmlaLink="$B$22" fmlaRange="$B$23:$B$24" noThreeD="1" sel="2" val="0"/>
</file>

<file path=xl/ctrlProps/ctrlProp115.xml><?xml version="1.0" encoding="utf-8"?>
<formControlPr xmlns="http://schemas.microsoft.com/office/spreadsheetml/2009/9/main" objectType="Drop" dropLines="2" dropStyle="combo" dx="16" fmlaLink="$B$106" fmlaRange="$B$107:$B$108" noThreeD="1" sel="2" val="0"/>
</file>

<file path=xl/ctrlProps/ctrlProp116.xml><?xml version="1.0" encoding="utf-8"?>
<formControlPr xmlns="http://schemas.microsoft.com/office/spreadsheetml/2009/9/main" objectType="Drop" dropLines="2" dropStyle="combo" dx="16" fmlaLink="$B$113" fmlaRange="$B$114:$B$115" noThreeD="1" sel="2" val="0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Drop" dropStyle="combo" dx="16" fmlaLink="$R$147" fmlaRange="$R$148:$R$153" noThreeD="1" sel="3" val="0"/>
</file>

<file path=xl/ctrlProps/ctrlProp122.xml><?xml version="1.0" encoding="utf-8"?>
<formControlPr xmlns="http://schemas.microsoft.com/office/spreadsheetml/2009/9/main" objectType="Drop" dropStyle="combo" dx="16" fmlaLink="$B$106" fmlaRange="$B$107:$B$112" noThreeD="1" sel="4" val="0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Drop" dropLines="2" dropStyle="combo" dx="16" fmlaLink="$B$22" fmlaRange="$B$23:$B$24" noThreeD="1" sel="2" val="0"/>
</file>

<file path=xl/ctrlProps/ctrlProp126.xml><?xml version="1.0" encoding="utf-8"?>
<formControlPr xmlns="http://schemas.microsoft.com/office/spreadsheetml/2009/9/main" objectType="Drop" dropLines="2" dropStyle="combo" dx="16" fmlaLink="$B$122" fmlaRange="$B$123:$B$124" noThreeD="1" sel="2" val="0"/>
</file>

<file path=xl/ctrlProps/ctrlProp127.xml><?xml version="1.0" encoding="utf-8"?>
<formControlPr xmlns="http://schemas.microsoft.com/office/spreadsheetml/2009/9/main" objectType="Drop" dropLines="2" dropStyle="combo" dx="16" fmlaLink="$B$128" fmlaRange="$B$129:$B$130" noThreeD="1" sel="2" val="0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2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22.emf"/><Relationship Id="rId4" Type="http://schemas.openxmlformats.org/officeDocument/2006/relationships/image" Target="../media/image43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2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4" Type="http://schemas.openxmlformats.org/officeDocument/2006/relationships/image" Target="../media/image34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40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34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9621</xdr:rowOff>
    </xdr:from>
    <xdr:to>
      <xdr:col>5</xdr:col>
      <xdr:colOff>323850</xdr:colOff>
      <xdr:row>8</xdr:row>
      <xdr:rowOff>50825</xdr:rowOff>
    </xdr:to>
    <xdr:pic>
      <xdr:nvPicPr>
        <xdr:cNvPr id="7" name="Imagem 6" descr="vestibular-ufg-2012-provas-e-resultado-do-vestibular-uf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5" y="9621"/>
          <a:ext cx="3325957" cy="1580598"/>
        </a:xfrm>
        <a:prstGeom prst="rect">
          <a:avLst/>
        </a:prstGeom>
      </xdr:spPr>
    </xdr:pic>
    <xdr:clientData/>
  </xdr:twoCellAnchor>
  <xdr:twoCellAnchor editAs="oneCell">
    <xdr:from>
      <xdr:col>0</xdr:col>
      <xdr:colOff>336743</xdr:colOff>
      <xdr:row>9</xdr:row>
      <xdr:rowOff>48107</xdr:rowOff>
    </xdr:from>
    <xdr:to>
      <xdr:col>4</xdr:col>
      <xdr:colOff>558030</xdr:colOff>
      <xdr:row>22</xdr:row>
      <xdr:rowOff>64954</xdr:rowOff>
    </xdr:to>
    <xdr:pic>
      <xdr:nvPicPr>
        <xdr:cNvPr id="4" name="Imagem 3" descr="simboloEngCiv sem fund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36743" y="1779925"/>
          <a:ext cx="2645832" cy="26145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28</xdr:row>
          <xdr:rowOff>47625</xdr:rowOff>
        </xdr:from>
        <xdr:to>
          <xdr:col>13</xdr:col>
          <xdr:colOff>228600</xdr:colOff>
          <xdr:row>31</xdr:row>
          <xdr:rowOff>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28575</xdr:rowOff>
        </xdr:from>
        <xdr:to>
          <xdr:col>4</xdr:col>
          <xdr:colOff>0</xdr:colOff>
          <xdr:row>4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28575</xdr:rowOff>
        </xdr:from>
        <xdr:to>
          <xdr:col>4</xdr:col>
          <xdr:colOff>0</xdr:colOff>
          <xdr:row>8</xdr:row>
          <xdr:rowOff>28575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28575</xdr:rowOff>
        </xdr:from>
        <xdr:to>
          <xdr:col>4</xdr:col>
          <xdr:colOff>0</xdr:colOff>
          <xdr:row>12</xdr:row>
          <xdr:rowOff>28575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20</xdr:row>
          <xdr:rowOff>28575</xdr:rowOff>
        </xdr:from>
        <xdr:to>
          <xdr:col>7</xdr:col>
          <xdr:colOff>295275</xdr:colOff>
          <xdr:row>21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PRÓXIMA ETAPA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23</xdr:row>
          <xdr:rowOff>19050</xdr:rowOff>
        </xdr:from>
        <xdr:to>
          <xdr:col>7</xdr:col>
          <xdr:colOff>295275</xdr:colOff>
          <xdr:row>24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18</xdr:row>
          <xdr:rowOff>28575</xdr:rowOff>
        </xdr:from>
        <xdr:to>
          <xdr:col>5</xdr:col>
          <xdr:colOff>762000</xdr:colOff>
          <xdr:row>19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PRÓXIMA ETAPA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15</xdr:row>
          <xdr:rowOff>28575</xdr:rowOff>
        </xdr:from>
        <xdr:to>
          <xdr:col>5</xdr:col>
          <xdr:colOff>762000</xdr:colOff>
          <xdr:row>16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ETAPA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180975</xdr:rowOff>
        </xdr:from>
        <xdr:to>
          <xdr:col>15</xdr:col>
          <xdr:colOff>0</xdr:colOff>
          <xdr:row>20</xdr:row>
          <xdr:rowOff>142875</xdr:rowOff>
        </xdr:to>
        <xdr:sp macro="" textlink="">
          <xdr:nvSpPr>
            <xdr:cNvPr id="2065" name="Object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171450</xdr:rowOff>
        </xdr:from>
        <xdr:to>
          <xdr:col>3</xdr:col>
          <xdr:colOff>38100</xdr:colOff>
          <xdr:row>10</xdr:row>
          <xdr:rowOff>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Estaca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180975</xdr:rowOff>
        </xdr:from>
        <xdr:to>
          <xdr:col>5</xdr:col>
          <xdr:colOff>57150</xdr:colOff>
          <xdr:row>10</xdr:row>
          <xdr:rowOff>9525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 Estacas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8</xdr:row>
          <xdr:rowOff>171450</xdr:rowOff>
        </xdr:from>
        <xdr:to>
          <xdr:col>5</xdr:col>
          <xdr:colOff>1971675</xdr:colOff>
          <xdr:row>10</xdr:row>
          <xdr:rowOff>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 Estacas em Linha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20</xdr:row>
          <xdr:rowOff>0</xdr:rowOff>
        </xdr:from>
        <xdr:to>
          <xdr:col>5</xdr:col>
          <xdr:colOff>1933575</xdr:colOff>
          <xdr:row>21</xdr:row>
          <xdr:rowOff>19050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 Estacas em Triângulo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8</xdr:row>
          <xdr:rowOff>171450</xdr:rowOff>
        </xdr:from>
        <xdr:to>
          <xdr:col>7</xdr:col>
          <xdr:colOff>2219325</xdr:colOff>
          <xdr:row>10</xdr:row>
          <xdr:rowOff>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Estacas em Linha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23</xdr:row>
          <xdr:rowOff>0</xdr:rowOff>
        </xdr:from>
        <xdr:to>
          <xdr:col>7</xdr:col>
          <xdr:colOff>2200275</xdr:colOff>
          <xdr:row>24</xdr:row>
          <xdr:rowOff>19050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Estacas Retângulo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10</xdr:row>
          <xdr:rowOff>276225</xdr:rowOff>
        </xdr:from>
        <xdr:to>
          <xdr:col>9</xdr:col>
          <xdr:colOff>1876425</xdr:colOff>
          <xdr:row>12</xdr:row>
          <xdr:rowOff>9525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 Estacas Trapézio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22</xdr:row>
          <xdr:rowOff>161925</xdr:rowOff>
        </xdr:from>
        <xdr:to>
          <xdr:col>9</xdr:col>
          <xdr:colOff>1828800</xdr:colOff>
          <xdr:row>24</xdr:row>
          <xdr:rowOff>19050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 Estacas Pentágono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10</xdr:row>
          <xdr:rowOff>266700</xdr:rowOff>
        </xdr:from>
        <xdr:to>
          <xdr:col>12</xdr:col>
          <xdr:colOff>200025</xdr:colOff>
          <xdr:row>12</xdr:row>
          <xdr:rowOff>9525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6 Estacas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771525</xdr:colOff>
          <xdr:row>9</xdr:row>
          <xdr:rowOff>9525</xdr:rowOff>
        </xdr:to>
        <xdr:sp macro="" textlink="">
          <xdr:nvSpPr>
            <xdr:cNvPr id="3086" name="Object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3</xdr:col>
          <xdr:colOff>1495425</xdr:colOff>
          <xdr:row>9</xdr:row>
          <xdr:rowOff>9525</xdr:rowOff>
        </xdr:to>
        <xdr:sp macro="" textlink="">
          <xdr:nvSpPr>
            <xdr:cNvPr id="3087" name="Object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88" name="Object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5</xdr:col>
          <xdr:colOff>2057400</xdr:colOff>
          <xdr:row>19</xdr:row>
          <xdr:rowOff>133350</xdr:rowOff>
        </xdr:to>
        <xdr:sp macro="" textlink="">
          <xdr:nvSpPr>
            <xdr:cNvPr id="3089" name="Object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090" name="Object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19050</xdr:rowOff>
        </xdr:from>
        <xdr:to>
          <xdr:col>7</xdr:col>
          <xdr:colOff>2600325</xdr:colOff>
          <xdr:row>23</xdr:row>
          <xdr:rowOff>0</xdr:rowOff>
        </xdr:to>
        <xdr:sp macro="" textlink="">
          <xdr:nvSpPr>
            <xdr:cNvPr id="3091" name="Object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19050</xdr:rowOff>
        </xdr:from>
        <xdr:to>
          <xdr:col>9</xdr:col>
          <xdr:colOff>1933575</xdr:colOff>
          <xdr:row>10</xdr:row>
          <xdr:rowOff>276225</xdr:rowOff>
        </xdr:to>
        <xdr:sp macro="" textlink="">
          <xdr:nvSpPr>
            <xdr:cNvPr id="3092" name="Object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1924050</xdr:colOff>
          <xdr:row>23</xdr:row>
          <xdr:rowOff>0</xdr:rowOff>
        </xdr:to>
        <xdr:sp macro="" textlink="">
          <xdr:nvSpPr>
            <xdr:cNvPr id="3093" name="Object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9525</xdr:rowOff>
        </xdr:from>
        <xdr:to>
          <xdr:col>11</xdr:col>
          <xdr:colOff>1733550</xdr:colOff>
          <xdr:row>11</xdr:row>
          <xdr:rowOff>0</xdr:rowOff>
        </xdr:to>
        <xdr:sp macro="" textlink="">
          <xdr:nvSpPr>
            <xdr:cNvPr id="3094" name="Object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19050</xdr:rowOff>
        </xdr:from>
        <xdr:to>
          <xdr:col>11</xdr:col>
          <xdr:colOff>1733550</xdr:colOff>
          <xdr:row>23</xdr:row>
          <xdr:rowOff>180975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ETAPA 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20</xdr:row>
          <xdr:rowOff>190500</xdr:rowOff>
        </xdr:from>
        <xdr:to>
          <xdr:col>11</xdr:col>
          <xdr:colOff>57150</xdr:colOff>
          <xdr:row>22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6</xdr:col>
          <xdr:colOff>419100</xdr:colOff>
          <xdr:row>18</xdr:row>
          <xdr:rowOff>142875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20</xdr:row>
          <xdr:rowOff>180975</xdr:rowOff>
        </xdr:from>
        <xdr:to>
          <xdr:col>12</xdr:col>
          <xdr:colOff>647700</xdr:colOff>
          <xdr:row>22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47</xdr:row>
          <xdr:rowOff>85725</xdr:rowOff>
        </xdr:from>
        <xdr:to>
          <xdr:col>9</xdr:col>
          <xdr:colOff>581025</xdr:colOff>
          <xdr:row>49</xdr:row>
          <xdr:rowOff>114300</xdr:rowOff>
        </xdr:to>
        <xdr:sp macro="" textlink="">
          <xdr:nvSpPr>
            <xdr:cNvPr id="326658" name="Button 2" hidden="1">
              <a:extLst>
                <a:ext uri="{63B3BB69-23CF-44E3-9099-C40C66FF867C}">
                  <a14:compatExt spid="_x0000_s326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44</xdr:row>
          <xdr:rowOff>123825</xdr:rowOff>
        </xdr:from>
        <xdr:to>
          <xdr:col>9</xdr:col>
          <xdr:colOff>581025</xdr:colOff>
          <xdr:row>46</xdr:row>
          <xdr:rowOff>76200</xdr:rowOff>
        </xdr:to>
        <xdr:sp macro="" textlink="">
          <xdr:nvSpPr>
            <xdr:cNvPr id="326659" name="Button 3" hidden="1">
              <a:extLst>
                <a:ext uri="{63B3BB69-23CF-44E3-9099-C40C66FF867C}">
                  <a14:compatExt spid="_x0000_s326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723900</xdr:colOff>
          <xdr:row>8</xdr:row>
          <xdr:rowOff>0</xdr:rowOff>
        </xdr:to>
        <xdr:sp macro="" textlink="">
          <xdr:nvSpPr>
            <xdr:cNvPr id="326660" name="Drop Down 4" hidden="1">
              <a:extLst>
                <a:ext uri="{63B3BB69-23CF-44E3-9099-C40C66FF867C}">
                  <a14:compatExt spid="_x0000_s326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47</xdr:row>
          <xdr:rowOff>57150</xdr:rowOff>
        </xdr:from>
        <xdr:to>
          <xdr:col>20</xdr:col>
          <xdr:colOff>9525</xdr:colOff>
          <xdr:row>49</xdr:row>
          <xdr:rowOff>9525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66675</xdr:rowOff>
        </xdr:from>
        <xdr:to>
          <xdr:col>9</xdr:col>
          <xdr:colOff>466725</xdr:colOff>
          <xdr:row>18</xdr:row>
          <xdr:rowOff>171450</xdr:rowOff>
        </xdr:to>
        <xdr:sp macro="" textlink="">
          <xdr:nvSpPr>
            <xdr:cNvPr id="371719" name="Object 7" hidden="1">
              <a:extLst>
                <a:ext uri="{63B3BB69-23CF-44E3-9099-C40C66FF867C}">
                  <a14:compatExt spid="_x0000_s3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3</xdr:row>
          <xdr:rowOff>76200</xdr:rowOff>
        </xdr:from>
        <xdr:to>
          <xdr:col>13</xdr:col>
          <xdr:colOff>371475</xdr:colOff>
          <xdr:row>18</xdr:row>
          <xdr:rowOff>171450</xdr:rowOff>
        </xdr:to>
        <xdr:sp macro="" textlink="">
          <xdr:nvSpPr>
            <xdr:cNvPr id="371720" name="Object 8" hidden="1">
              <a:extLst>
                <a:ext uri="{63B3BB69-23CF-44E3-9099-C40C66FF867C}">
                  <a14:compatExt spid="_x0000_s3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161925</xdr:rowOff>
        </xdr:from>
        <xdr:to>
          <xdr:col>17</xdr:col>
          <xdr:colOff>38100</xdr:colOff>
          <xdr:row>42</xdr:row>
          <xdr:rowOff>123825</xdr:rowOff>
        </xdr:to>
        <xdr:sp macro="" textlink="">
          <xdr:nvSpPr>
            <xdr:cNvPr id="371722" name="Object 10" hidden="1">
              <a:extLst>
                <a:ext uri="{63B3BB69-23CF-44E3-9099-C40C66FF867C}">
                  <a14:compatExt spid="_x0000_s3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0</xdr:colOff>
          <xdr:row>30</xdr:row>
          <xdr:rowOff>123825</xdr:rowOff>
        </xdr:to>
        <xdr:sp macro="" textlink="">
          <xdr:nvSpPr>
            <xdr:cNvPr id="371723" name="Object 11" hidden="1">
              <a:extLst>
                <a:ext uri="{63B3BB69-23CF-44E3-9099-C40C66FF867C}">
                  <a14:compatExt spid="_x0000_s3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38100</xdr:rowOff>
        </xdr:from>
        <xdr:to>
          <xdr:col>9</xdr:col>
          <xdr:colOff>581025</xdr:colOff>
          <xdr:row>33</xdr:row>
          <xdr:rowOff>133350</xdr:rowOff>
        </xdr:to>
        <xdr:sp macro="" textlink="">
          <xdr:nvSpPr>
            <xdr:cNvPr id="371724" name="Object 12" hidden="1">
              <a:extLst>
                <a:ext uri="{63B3BB69-23CF-44E3-9099-C40C66FF867C}">
                  <a14:compatExt spid="_x0000_s3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23</xdr:row>
          <xdr:rowOff>19050</xdr:rowOff>
        </xdr:from>
        <xdr:to>
          <xdr:col>5</xdr:col>
          <xdr:colOff>762000</xdr:colOff>
          <xdr:row>29</xdr:row>
          <xdr:rowOff>85725</xdr:rowOff>
        </xdr:to>
        <xdr:sp macro="" textlink="">
          <xdr:nvSpPr>
            <xdr:cNvPr id="371726" name="Object 14" hidden="1">
              <a:extLst>
                <a:ext uri="{63B3BB69-23CF-44E3-9099-C40C66FF867C}">
                  <a14:compatExt spid="_x0000_s3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35</xdr:row>
          <xdr:rowOff>19050</xdr:rowOff>
        </xdr:from>
        <xdr:to>
          <xdr:col>5</xdr:col>
          <xdr:colOff>762000</xdr:colOff>
          <xdr:row>41</xdr:row>
          <xdr:rowOff>104775</xdr:rowOff>
        </xdr:to>
        <xdr:sp macro="" textlink="">
          <xdr:nvSpPr>
            <xdr:cNvPr id="371727" name="Object 15" hidden="1">
              <a:extLst>
                <a:ext uri="{63B3BB69-23CF-44E3-9099-C40C66FF867C}">
                  <a14:compatExt spid="_x0000_s3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57150</xdr:rowOff>
        </xdr:from>
        <xdr:to>
          <xdr:col>5</xdr:col>
          <xdr:colOff>771525</xdr:colOff>
          <xdr:row>18</xdr:row>
          <xdr:rowOff>161925</xdr:rowOff>
        </xdr:to>
        <xdr:sp macro="" textlink="">
          <xdr:nvSpPr>
            <xdr:cNvPr id="371729" name="Object 17" hidden="1">
              <a:extLst>
                <a:ext uri="{63B3BB69-23CF-44E3-9099-C40C66FF867C}">
                  <a14:compatExt spid="_x0000_s3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21</xdr:row>
          <xdr:rowOff>28575</xdr:rowOff>
        </xdr:from>
        <xdr:to>
          <xdr:col>13</xdr:col>
          <xdr:colOff>762000</xdr:colOff>
          <xdr:row>23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19050</xdr:rowOff>
        </xdr:from>
        <xdr:to>
          <xdr:col>7</xdr:col>
          <xdr:colOff>771525</xdr:colOff>
          <xdr:row>12</xdr:row>
          <xdr:rowOff>114300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990600</xdr:colOff>
          <xdr:row>21</xdr:row>
          <xdr:rowOff>9525</xdr:rowOff>
        </xdr:from>
        <xdr:to>
          <xdr:col>15</xdr:col>
          <xdr:colOff>828675</xdr:colOff>
          <xdr:row>22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7</xdr:row>
          <xdr:rowOff>209550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21</xdr:row>
          <xdr:rowOff>142875</xdr:rowOff>
        </xdr:from>
        <xdr:to>
          <xdr:col>9</xdr:col>
          <xdr:colOff>581025</xdr:colOff>
          <xdr:row>23</xdr:row>
          <xdr:rowOff>190500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19</xdr:row>
          <xdr:rowOff>38100</xdr:rowOff>
        </xdr:from>
        <xdr:to>
          <xdr:col>9</xdr:col>
          <xdr:colOff>571500</xdr:colOff>
          <xdr:row>21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19050</xdr:rowOff>
        </xdr:from>
        <xdr:to>
          <xdr:col>7</xdr:col>
          <xdr:colOff>190500</xdr:colOff>
          <xdr:row>15</xdr:row>
          <xdr:rowOff>57150</xdr:rowOff>
        </xdr:to>
        <xdr:sp macro="" textlink="">
          <xdr:nvSpPr>
            <xdr:cNvPr id="103425" name="Object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</xdr:row>
          <xdr:rowOff>19050</xdr:rowOff>
        </xdr:from>
        <xdr:to>
          <xdr:col>16</xdr:col>
          <xdr:colOff>247650</xdr:colOff>
          <xdr:row>15</xdr:row>
          <xdr:rowOff>47625</xdr:rowOff>
        </xdr:to>
        <xdr:sp macro="" textlink="">
          <xdr:nvSpPr>
            <xdr:cNvPr id="103426" name="Object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123825</xdr:rowOff>
        </xdr:from>
        <xdr:to>
          <xdr:col>16</xdr:col>
          <xdr:colOff>266700</xdr:colOff>
          <xdr:row>22</xdr:row>
          <xdr:rowOff>209550</xdr:rowOff>
        </xdr:to>
        <xdr:sp macro="" textlink="">
          <xdr:nvSpPr>
            <xdr:cNvPr id="103427" name="Object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27</xdr:row>
          <xdr:rowOff>9525</xdr:rowOff>
        </xdr:from>
        <xdr:to>
          <xdr:col>19</xdr:col>
          <xdr:colOff>266700</xdr:colOff>
          <xdr:row>28</xdr:row>
          <xdr:rowOff>171450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18</xdr:row>
          <xdr:rowOff>19050</xdr:rowOff>
        </xdr:from>
        <xdr:to>
          <xdr:col>18</xdr:col>
          <xdr:colOff>0</xdr:colOff>
          <xdr:row>19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10</xdr:col>
          <xdr:colOff>742950</xdr:colOff>
          <xdr:row>11</xdr:row>
          <xdr:rowOff>219075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18</xdr:row>
          <xdr:rowOff>19050</xdr:rowOff>
        </xdr:from>
        <xdr:to>
          <xdr:col>20</xdr:col>
          <xdr:colOff>0</xdr:colOff>
          <xdr:row>19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4339" name="Drop Dow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21</xdr:row>
          <xdr:rowOff>133350</xdr:rowOff>
        </xdr:from>
        <xdr:to>
          <xdr:col>9</xdr:col>
          <xdr:colOff>571500</xdr:colOff>
          <xdr:row>23</xdr:row>
          <xdr:rowOff>171450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18</xdr:row>
          <xdr:rowOff>133350</xdr:rowOff>
        </xdr:from>
        <xdr:to>
          <xdr:col>9</xdr:col>
          <xdr:colOff>581025</xdr:colOff>
          <xdr:row>20</xdr:row>
          <xdr:rowOff>85725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9525</xdr:rowOff>
        </xdr:from>
        <xdr:to>
          <xdr:col>16</xdr:col>
          <xdr:colOff>9525</xdr:colOff>
          <xdr:row>24</xdr:row>
          <xdr:rowOff>104775</xdr:rowOff>
        </xdr:to>
        <xdr:sp macro="" textlink="">
          <xdr:nvSpPr>
            <xdr:cNvPr id="38915" name="Object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27</xdr:row>
          <xdr:rowOff>9525</xdr:rowOff>
        </xdr:from>
        <xdr:to>
          <xdr:col>19</xdr:col>
          <xdr:colOff>266700</xdr:colOff>
          <xdr:row>28</xdr:row>
          <xdr:rowOff>171450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19050</xdr:rowOff>
        </xdr:from>
        <xdr:to>
          <xdr:col>7</xdr:col>
          <xdr:colOff>504825</xdr:colOff>
          <xdr:row>15</xdr:row>
          <xdr:rowOff>66675</xdr:rowOff>
        </xdr:to>
        <xdr:sp macro="" textlink="">
          <xdr:nvSpPr>
            <xdr:cNvPr id="38917" name="Object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9525</xdr:rowOff>
        </xdr:from>
        <xdr:to>
          <xdr:col>16</xdr:col>
          <xdr:colOff>9525</xdr:colOff>
          <xdr:row>15</xdr:row>
          <xdr:rowOff>66675</xdr:rowOff>
        </xdr:to>
        <xdr:sp macro="" textlink="">
          <xdr:nvSpPr>
            <xdr:cNvPr id="38918" name="Object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9525</xdr:rowOff>
        </xdr:from>
        <xdr:to>
          <xdr:col>6</xdr:col>
          <xdr:colOff>0</xdr:colOff>
          <xdr:row>28</xdr:row>
          <xdr:rowOff>180975</xdr:rowOff>
        </xdr:to>
        <xdr:sp macro="" textlink="">
          <xdr:nvSpPr>
            <xdr:cNvPr id="38919" name="Object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21</xdr:row>
          <xdr:rowOff>28575</xdr:rowOff>
        </xdr:from>
        <xdr:to>
          <xdr:col>14</xdr:col>
          <xdr:colOff>295275</xdr:colOff>
          <xdr:row>22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6</xdr:col>
          <xdr:colOff>590550</xdr:colOff>
          <xdr:row>17</xdr:row>
          <xdr:rowOff>28575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21</xdr:row>
          <xdr:rowOff>28575</xdr:rowOff>
        </xdr:from>
        <xdr:to>
          <xdr:col>16</xdr:col>
          <xdr:colOff>409575</xdr:colOff>
          <xdr:row>22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38100</xdr:rowOff>
        </xdr:from>
        <xdr:to>
          <xdr:col>6</xdr:col>
          <xdr:colOff>552450</xdr:colOff>
          <xdr:row>22</xdr:row>
          <xdr:rowOff>142875</xdr:rowOff>
        </xdr:to>
        <xdr:sp macro="" textlink="">
          <xdr:nvSpPr>
            <xdr:cNvPr id="82945" name="Object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5</xdr:row>
          <xdr:rowOff>57150</xdr:rowOff>
        </xdr:from>
        <xdr:to>
          <xdr:col>13</xdr:col>
          <xdr:colOff>552450</xdr:colOff>
          <xdr:row>22</xdr:row>
          <xdr:rowOff>123825</xdr:rowOff>
        </xdr:to>
        <xdr:sp macro="" textlink="">
          <xdr:nvSpPr>
            <xdr:cNvPr id="82947" name="Object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19050</xdr:rowOff>
        </xdr:from>
        <xdr:to>
          <xdr:col>6</xdr:col>
          <xdr:colOff>571500</xdr:colOff>
          <xdr:row>24</xdr:row>
          <xdr:rowOff>104775</xdr:rowOff>
        </xdr:to>
        <xdr:sp macro="" textlink="">
          <xdr:nvSpPr>
            <xdr:cNvPr id="82948" name="Option Button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os Lados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23</xdr:row>
          <xdr:rowOff>28575</xdr:rowOff>
        </xdr:from>
        <xdr:to>
          <xdr:col>13</xdr:col>
          <xdr:colOff>542925</xdr:colOff>
          <xdr:row>24</xdr:row>
          <xdr:rowOff>152400</xdr:rowOff>
        </xdr:to>
        <xdr:sp macro="" textlink="">
          <xdr:nvSpPr>
            <xdr:cNvPr id="82949" name="Option 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as Medianas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25</xdr:row>
          <xdr:rowOff>180975</xdr:rowOff>
        </xdr:from>
        <xdr:to>
          <xdr:col>8</xdr:col>
          <xdr:colOff>342900</xdr:colOff>
          <xdr:row>29</xdr:row>
          <xdr:rowOff>19050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63489" name="Drop Dow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21</xdr:row>
          <xdr:rowOff>133350</xdr:rowOff>
        </xdr:from>
        <xdr:to>
          <xdr:col>9</xdr:col>
          <xdr:colOff>571500</xdr:colOff>
          <xdr:row>23</xdr:row>
          <xdr:rowOff>180975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19</xdr:row>
          <xdr:rowOff>0</xdr:rowOff>
        </xdr:from>
        <xdr:to>
          <xdr:col>9</xdr:col>
          <xdr:colOff>590550</xdr:colOff>
          <xdr:row>20</xdr:row>
          <xdr:rowOff>152400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64513" name="Drop Dow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21</xdr:row>
          <xdr:rowOff>152400</xdr:rowOff>
        </xdr:from>
        <xdr:to>
          <xdr:col>9</xdr:col>
          <xdr:colOff>571500</xdr:colOff>
          <xdr:row>23</xdr:row>
          <xdr:rowOff>190500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18</xdr:row>
          <xdr:rowOff>133350</xdr:rowOff>
        </xdr:from>
        <xdr:to>
          <xdr:col>9</xdr:col>
          <xdr:colOff>561975</xdr:colOff>
          <xdr:row>20</xdr:row>
          <xdr:rowOff>85725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238125</xdr:colOff>
      <xdr:row>25</xdr:row>
      <xdr:rowOff>47625</xdr:rowOff>
    </xdr:from>
    <xdr:to>
      <xdr:col>9</xdr:col>
      <xdr:colOff>304800</xdr:colOff>
      <xdr:row>34</xdr:row>
      <xdr:rowOff>114300</xdr:rowOff>
    </xdr:to>
    <xdr:pic>
      <xdr:nvPicPr>
        <xdr:cNvPr id="1044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5219700"/>
          <a:ext cx="4486275" cy="1847850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44</xdr:row>
          <xdr:rowOff>9525</xdr:rowOff>
        </xdr:from>
        <xdr:to>
          <xdr:col>18</xdr:col>
          <xdr:colOff>1952625</xdr:colOff>
          <xdr:row>47</xdr:row>
          <xdr:rowOff>133350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3</xdr:row>
          <xdr:rowOff>19050</xdr:rowOff>
        </xdr:from>
        <xdr:to>
          <xdr:col>11</xdr:col>
          <xdr:colOff>485775</xdr:colOff>
          <xdr:row>13</xdr:row>
          <xdr:rowOff>171450</xdr:rowOff>
        </xdr:to>
        <xdr:sp macro="" textlink="">
          <xdr:nvSpPr>
            <xdr:cNvPr id="104453" name="Object 5" hidden="1">
              <a:extLst>
                <a:ext uri="{63B3BB69-23CF-44E3-9099-C40C66FF867C}">
                  <a14:compatExt spid="_x0000_s104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27</xdr:row>
          <xdr:rowOff>161925</xdr:rowOff>
        </xdr:from>
        <xdr:to>
          <xdr:col>15</xdr:col>
          <xdr:colOff>342900</xdr:colOff>
          <xdr:row>34</xdr:row>
          <xdr:rowOff>152400</xdr:rowOff>
        </xdr:to>
        <xdr:sp macro="" textlink="">
          <xdr:nvSpPr>
            <xdr:cNvPr id="104455" name="Object 7" hidden="1">
              <a:extLst>
                <a:ext uri="{63B3BB69-23CF-44E3-9099-C40C66FF867C}">
                  <a14:compatExt spid="_x0000_s104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14</xdr:row>
          <xdr:rowOff>47625</xdr:rowOff>
        </xdr:from>
        <xdr:to>
          <xdr:col>13</xdr:col>
          <xdr:colOff>381000</xdr:colOff>
          <xdr:row>24</xdr:row>
          <xdr:rowOff>0</xdr:rowOff>
        </xdr:to>
        <xdr:sp macro="" textlink="">
          <xdr:nvSpPr>
            <xdr:cNvPr id="104457" name="Object 9" hidden="1">
              <a:extLst>
                <a:ext uri="{63B3BB69-23CF-44E3-9099-C40C66FF867C}">
                  <a14:compatExt spid="_x0000_s104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65537" name="Drop Dow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21</xdr:row>
          <xdr:rowOff>142875</xdr:rowOff>
        </xdr:from>
        <xdr:to>
          <xdr:col>9</xdr:col>
          <xdr:colOff>581025</xdr:colOff>
          <xdr:row>23</xdr:row>
          <xdr:rowOff>190500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18</xdr:row>
          <xdr:rowOff>104775</xdr:rowOff>
        </xdr:from>
        <xdr:to>
          <xdr:col>9</xdr:col>
          <xdr:colOff>581025</xdr:colOff>
          <xdr:row>20</xdr:row>
          <xdr:rowOff>57150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66561" name="Drop Dow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21</xdr:row>
          <xdr:rowOff>152400</xdr:rowOff>
        </xdr:from>
        <xdr:to>
          <xdr:col>9</xdr:col>
          <xdr:colOff>571500</xdr:colOff>
          <xdr:row>23</xdr:row>
          <xdr:rowOff>190500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18</xdr:row>
          <xdr:rowOff>114300</xdr:rowOff>
        </xdr:from>
        <xdr:to>
          <xdr:col>9</xdr:col>
          <xdr:colOff>571500</xdr:colOff>
          <xdr:row>20</xdr:row>
          <xdr:rowOff>66675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219075</xdr:colOff>
      <xdr:row>26</xdr:row>
      <xdr:rowOff>1</xdr:rowOff>
    </xdr:from>
    <xdr:to>
      <xdr:col>9</xdr:col>
      <xdr:colOff>285750</xdr:colOff>
      <xdr:row>35</xdr:row>
      <xdr:rowOff>28575</xdr:rowOff>
    </xdr:to>
    <xdr:pic>
      <xdr:nvPicPr>
        <xdr:cNvPr id="10547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8675" y="5362576"/>
          <a:ext cx="4486275" cy="1790699"/>
        </a:xfrm>
        <a:prstGeom prst="rect">
          <a:avLst/>
        </a:prstGeom>
        <a:solidFill>
          <a:srgbClr val="FFFFFF">
            <a:alpha val="0"/>
          </a:srgbClr>
        </a:solidFill>
        <a:ln w="9525" cap="flat" cmpd="sng">
          <a:solidFill>
            <a:srgbClr val="FFFFFF"/>
          </a:solidFill>
          <a:prstDash val="solid"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44</xdr:row>
          <xdr:rowOff>9525</xdr:rowOff>
        </xdr:from>
        <xdr:to>
          <xdr:col>18</xdr:col>
          <xdr:colOff>1952625</xdr:colOff>
          <xdr:row>47</xdr:row>
          <xdr:rowOff>133350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28575</xdr:rowOff>
        </xdr:from>
        <xdr:to>
          <xdr:col>11</xdr:col>
          <xdr:colOff>533400</xdr:colOff>
          <xdr:row>15</xdr:row>
          <xdr:rowOff>114300</xdr:rowOff>
        </xdr:to>
        <xdr:sp macro="" textlink="">
          <xdr:nvSpPr>
            <xdr:cNvPr id="105477" name="Object 5" hidden="1">
              <a:extLst>
                <a:ext uri="{63B3BB69-23CF-44E3-9099-C40C66FF867C}">
                  <a14:compatExt spid="_x0000_s105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25</xdr:row>
          <xdr:rowOff>76200</xdr:rowOff>
        </xdr:from>
        <xdr:to>
          <xdr:col>15</xdr:col>
          <xdr:colOff>361950</xdr:colOff>
          <xdr:row>35</xdr:row>
          <xdr:rowOff>95250</xdr:rowOff>
        </xdr:to>
        <xdr:sp macro="" textlink="">
          <xdr:nvSpPr>
            <xdr:cNvPr id="105479" name="Object 7" hidden="1">
              <a:extLst>
                <a:ext uri="{63B3BB69-23CF-44E3-9099-C40C66FF867C}">
                  <a14:compatExt spid="_x0000_s105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15</xdr:row>
          <xdr:rowOff>152400</xdr:rowOff>
        </xdr:from>
        <xdr:to>
          <xdr:col>13</xdr:col>
          <xdr:colOff>314325</xdr:colOff>
          <xdr:row>26</xdr:row>
          <xdr:rowOff>152400</xdr:rowOff>
        </xdr:to>
        <xdr:sp macro="" textlink="">
          <xdr:nvSpPr>
            <xdr:cNvPr id="105480" name="Object 8" hidden="1">
              <a:extLst>
                <a:ext uri="{63B3BB69-23CF-44E3-9099-C40C66FF867C}">
                  <a14:compatExt spid="_x0000_s105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18</xdr:row>
          <xdr:rowOff>0</xdr:rowOff>
        </xdr:from>
        <xdr:to>
          <xdr:col>20</xdr:col>
          <xdr:colOff>0</xdr:colOff>
          <xdr:row>19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11</xdr:col>
          <xdr:colOff>590550</xdr:colOff>
          <xdr:row>10</xdr:row>
          <xdr:rowOff>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285750</xdr:colOff>
          <xdr:row>18</xdr:row>
          <xdr:rowOff>0</xdr:rowOff>
        </xdr:from>
        <xdr:to>
          <xdr:col>22</xdr:col>
          <xdr:colOff>0</xdr:colOff>
          <xdr:row>19</xdr:row>
          <xdr:rowOff>161925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21</xdr:row>
          <xdr:rowOff>123825</xdr:rowOff>
        </xdr:from>
        <xdr:to>
          <xdr:col>9</xdr:col>
          <xdr:colOff>552450</xdr:colOff>
          <xdr:row>23</xdr:row>
          <xdr:rowOff>161925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18</xdr:row>
          <xdr:rowOff>114300</xdr:rowOff>
        </xdr:from>
        <xdr:to>
          <xdr:col>9</xdr:col>
          <xdr:colOff>552450</xdr:colOff>
          <xdr:row>20</xdr:row>
          <xdr:rowOff>66675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495300</xdr:colOff>
          <xdr:row>43</xdr:row>
          <xdr:rowOff>9525</xdr:rowOff>
        </xdr:from>
        <xdr:to>
          <xdr:col>16</xdr:col>
          <xdr:colOff>581025</xdr:colOff>
          <xdr:row>45</xdr:row>
          <xdr:rowOff>9525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9</xdr:col>
          <xdr:colOff>352425</xdr:colOff>
          <xdr:row>15</xdr:row>
          <xdr:rowOff>0</xdr:rowOff>
        </xdr:to>
        <xdr:sp macro="" textlink="">
          <xdr:nvSpPr>
            <xdr:cNvPr id="39942" name="Object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9</xdr:col>
          <xdr:colOff>104775</xdr:colOff>
          <xdr:row>30</xdr:row>
          <xdr:rowOff>0</xdr:rowOff>
        </xdr:to>
        <xdr:sp macro="" textlink="">
          <xdr:nvSpPr>
            <xdr:cNvPr id="39943" name="Object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180975</xdr:rowOff>
        </xdr:from>
        <xdr:to>
          <xdr:col>15</xdr:col>
          <xdr:colOff>47625</xdr:colOff>
          <xdr:row>39</xdr:row>
          <xdr:rowOff>152400</xdr:rowOff>
        </xdr:to>
        <xdr:sp macro="" textlink="">
          <xdr:nvSpPr>
            <xdr:cNvPr id="39945" name="Object 9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17</xdr:row>
          <xdr:rowOff>9525</xdr:rowOff>
        </xdr:from>
        <xdr:to>
          <xdr:col>11</xdr:col>
          <xdr:colOff>676275</xdr:colOff>
          <xdr:row>30</xdr:row>
          <xdr:rowOff>0</xdr:rowOff>
        </xdr:to>
        <xdr:sp macro="" textlink="">
          <xdr:nvSpPr>
            <xdr:cNvPr id="39946" name="Object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18</xdr:row>
          <xdr:rowOff>9525</xdr:rowOff>
        </xdr:from>
        <xdr:to>
          <xdr:col>14</xdr:col>
          <xdr:colOff>1247775</xdr:colOff>
          <xdr:row>19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6</xdr:col>
          <xdr:colOff>685800</xdr:colOff>
          <xdr:row>17</xdr:row>
          <xdr:rowOff>180975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18</xdr:row>
          <xdr:rowOff>9525</xdr:rowOff>
        </xdr:from>
        <xdr:to>
          <xdr:col>17</xdr:col>
          <xdr:colOff>9525</xdr:colOff>
          <xdr:row>19</xdr:row>
          <xdr:rowOff>142875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57150</xdr:rowOff>
        </xdr:from>
        <xdr:to>
          <xdr:col>6</xdr:col>
          <xdr:colOff>533400</xdr:colOff>
          <xdr:row>23</xdr:row>
          <xdr:rowOff>152400</xdr:rowOff>
        </xdr:to>
        <xdr:sp macro="" textlink="">
          <xdr:nvSpPr>
            <xdr:cNvPr id="23555" name="Object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6</xdr:row>
          <xdr:rowOff>66675</xdr:rowOff>
        </xdr:from>
        <xdr:to>
          <xdr:col>13</xdr:col>
          <xdr:colOff>542925</xdr:colOff>
          <xdr:row>23</xdr:row>
          <xdr:rowOff>171450</xdr:rowOff>
        </xdr:to>
        <xdr:sp macro="" textlink="">
          <xdr:nvSpPr>
            <xdr:cNvPr id="23556" name="Object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6</xdr:col>
          <xdr:colOff>571500</xdr:colOff>
          <xdr:row>25</xdr:row>
          <xdr:rowOff>104775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os Lados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24</xdr:row>
          <xdr:rowOff>28575</xdr:rowOff>
        </xdr:from>
        <xdr:to>
          <xdr:col>13</xdr:col>
          <xdr:colOff>542925</xdr:colOff>
          <xdr:row>25</xdr:row>
          <xdr:rowOff>152400</xdr:rowOff>
        </xdr:to>
        <xdr:sp macro="" textlink="">
          <xdr:nvSpPr>
            <xdr:cNvPr id="23560" name="Option Button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as Diagonais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27</xdr:row>
          <xdr:rowOff>28575</xdr:rowOff>
        </xdr:from>
        <xdr:to>
          <xdr:col>8</xdr:col>
          <xdr:colOff>285750</xdr:colOff>
          <xdr:row>30</xdr:row>
          <xdr:rowOff>57150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53252" name="Drop Down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21</xdr:row>
          <xdr:rowOff>123825</xdr:rowOff>
        </xdr:from>
        <xdr:to>
          <xdr:col>9</xdr:col>
          <xdr:colOff>571500</xdr:colOff>
          <xdr:row>23</xdr:row>
          <xdr:rowOff>171450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18</xdr:row>
          <xdr:rowOff>133350</xdr:rowOff>
        </xdr:from>
        <xdr:to>
          <xdr:col>9</xdr:col>
          <xdr:colOff>561975</xdr:colOff>
          <xdr:row>20</xdr:row>
          <xdr:rowOff>85725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54278" name="Drop Down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21</xdr:row>
          <xdr:rowOff>152400</xdr:rowOff>
        </xdr:from>
        <xdr:to>
          <xdr:col>9</xdr:col>
          <xdr:colOff>581025</xdr:colOff>
          <xdr:row>23</xdr:row>
          <xdr:rowOff>190500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18</xdr:row>
          <xdr:rowOff>133350</xdr:rowOff>
        </xdr:from>
        <xdr:to>
          <xdr:col>9</xdr:col>
          <xdr:colOff>581025</xdr:colOff>
          <xdr:row>20</xdr:row>
          <xdr:rowOff>85725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123825</xdr:rowOff>
        </xdr:from>
        <xdr:to>
          <xdr:col>9</xdr:col>
          <xdr:colOff>66675</xdr:colOff>
          <xdr:row>23</xdr:row>
          <xdr:rowOff>57150</xdr:rowOff>
        </xdr:to>
        <xdr:sp macro="" textlink="">
          <xdr:nvSpPr>
            <xdr:cNvPr id="131078" name="Object 6" hidden="1">
              <a:extLst>
                <a:ext uri="{63B3BB69-23CF-44E3-9099-C40C66FF867C}">
                  <a14:compatExt spid="_x0000_s13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28</xdr:row>
          <xdr:rowOff>209550</xdr:rowOff>
        </xdr:from>
        <xdr:to>
          <xdr:col>19</xdr:col>
          <xdr:colOff>180975</xdr:colOff>
          <xdr:row>32</xdr:row>
          <xdr:rowOff>9525</xdr:rowOff>
        </xdr:to>
        <xdr:sp macro="" textlink="">
          <xdr:nvSpPr>
            <xdr:cNvPr id="131079" name="Button 7" hidden="1">
              <a:extLst>
                <a:ext uri="{63B3BB69-23CF-44E3-9099-C40C66FF867C}">
                  <a14:compatExt spid="_x0000_s13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390525</xdr:colOff>
          <xdr:row>3</xdr:row>
          <xdr:rowOff>47625</xdr:rowOff>
        </xdr:from>
        <xdr:to>
          <xdr:col>14</xdr:col>
          <xdr:colOff>428625</xdr:colOff>
          <xdr:row>15</xdr:row>
          <xdr:rowOff>9525</xdr:rowOff>
        </xdr:to>
        <xdr:sp macro="" textlink="">
          <xdr:nvSpPr>
            <xdr:cNvPr id="131082" name="Object 10" hidden="1">
              <a:extLst>
                <a:ext uri="{63B3BB69-23CF-44E3-9099-C40C66FF867C}">
                  <a14:compatExt spid="_x0000_s13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266700</xdr:colOff>
          <xdr:row>19</xdr:row>
          <xdr:rowOff>0</xdr:rowOff>
        </xdr:from>
        <xdr:to>
          <xdr:col>15</xdr:col>
          <xdr:colOff>342900</xdr:colOff>
          <xdr:row>23</xdr:row>
          <xdr:rowOff>76200</xdr:rowOff>
        </xdr:to>
        <xdr:sp macro="" textlink="">
          <xdr:nvSpPr>
            <xdr:cNvPr id="131083" name="Object 11" hidden="1">
              <a:extLst>
                <a:ext uri="{63B3BB69-23CF-44E3-9099-C40C66FF867C}">
                  <a14:compatExt spid="_x0000_s13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47625</xdr:rowOff>
        </xdr:from>
        <xdr:to>
          <xdr:col>6</xdr:col>
          <xdr:colOff>152400</xdr:colOff>
          <xdr:row>14</xdr:row>
          <xdr:rowOff>171450</xdr:rowOff>
        </xdr:to>
        <xdr:sp macro="" textlink="">
          <xdr:nvSpPr>
            <xdr:cNvPr id="131086" name="Object 14" hidden="1">
              <a:extLst>
                <a:ext uri="{63B3BB69-23CF-44E3-9099-C40C66FF867C}">
                  <a14:compatExt spid="_x0000_s13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55297" name="Drop Dow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21</xdr:row>
          <xdr:rowOff>133350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18</xdr:row>
          <xdr:rowOff>133350</xdr:rowOff>
        </xdr:from>
        <xdr:to>
          <xdr:col>9</xdr:col>
          <xdr:colOff>590550</xdr:colOff>
          <xdr:row>20</xdr:row>
          <xdr:rowOff>85725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56321" name="Drop Dow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21</xdr:row>
          <xdr:rowOff>142875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18</xdr:row>
          <xdr:rowOff>133350</xdr:rowOff>
        </xdr:from>
        <xdr:to>
          <xdr:col>9</xdr:col>
          <xdr:colOff>581025</xdr:colOff>
          <xdr:row>20</xdr:row>
          <xdr:rowOff>85725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276225</xdr:colOff>
          <xdr:row>28</xdr:row>
          <xdr:rowOff>209550</xdr:rowOff>
        </xdr:from>
        <xdr:to>
          <xdr:col>19</xdr:col>
          <xdr:colOff>19050</xdr:colOff>
          <xdr:row>32</xdr:row>
          <xdr:rowOff>9525</xdr:rowOff>
        </xdr:to>
        <xdr:sp macro="" textlink="">
          <xdr:nvSpPr>
            <xdr:cNvPr id="140291" name="Button 3" hidden="1">
              <a:extLst>
                <a:ext uri="{63B3BB69-23CF-44E3-9099-C40C66FF867C}">
                  <a14:compatExt spid="_x0000_s14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6</xdr:col>
          <xdr:colOff>38100</xdr:colOff>
          <xdr:row>15</xdr:row>
          <xdr:rowOff>19050</xdr:rowOff>
        </xdr:to>
        <xdr:sp macro="" textlink="">
          <xdr:nvSpPr>
            <xdr:cNvPr id="140294" name="Object 6" hidden="1">
              <a:extLst>
                <a:ext uri="{63B3BB69-23CF-44E3-9099-C40C66FF867C}">
                  <a14:compatExt spid="_x0000_s14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3</xdr:row>
          <xdr:rowOff>28575</xdr:rowOff>
        </xdr:from>
        <xdr:to>
          <xdr:col>15</xdr:col>
          <xdr:colOff>238125</xdr:colOff>
          <xdr:row>15</xdr:row>
          <xdr:rowOff>28575</xdr:rowOff>
        </xdr:to>
        <xdr:sp macro="" textlink="">
          <xdr:nvSpPr>
            <xdr:cNvPr id="140296" name="Object 8" hidden="1">
              <a:extLst>
                <a:ext uri="{63B3BB69-23CF-44E3-9099-C40C66FF867C}">
                  <a14:compatExt spid="_x0000_s14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15</xdr:row>
          <xdr:rowOff>114300</xdr:rowOff>
        </xdr:from>
        <xdr:to>
          <xdr:col>9</xdr:col>
          <xdr:colOff>57150</xdr:colOff>
          <xdr:row>23</xdr:row>
          <xdr:rowOff>47625</xdr:rowOff>
        </xdr:to>
        <xdr:sp macro="" textlink="">
          <xdr:nvSpPr>
            <xdr:cNvPr id="140297" name="Object 9" hidden="1">
              <a:extLst>
                <a:ext uri="{63B3BB69-23CF-44E3-9099-C40C66FF867C}">
                  <a14:compatExt spid="_x0000_s14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266700</xdr:colOff>
          <xdr:row>19</xdr:row>
          <xdr:rowOff>0</xdr:rowOff>
        </xdr:from>
        <xdr:to>
          <xdr:col>15</xdr:col>
          <xdr:colOff>342900</xdr:colOff>
          <xdr:row>23</xdr:row>
          <xdr:rowOff>76200</xdr:rowOff>
        </xdr:to>
        <xdr:sp macro="" textlink="">
          <xdr:nvSpPr>
            <xdr:cNvPr id="140298" name="Object 10" hidden="1">
              <a:extLst>
                <a:ext uri="{63B3BB69-23CF-44E3-9099-C40C66FF867C}">
                  <a14:compatExt spid="_x0000_s14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19</xdr:row>
          <xdr:rowOff>9525</xdr:rowOff>
        </xdr:from>
        <xdr:to>
          <xdr:col>17</xdr:col>
          <xdr:colOff>1219200</xdr:colOff>
          <xdr:row>20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19</xdr:row>
          <xdr:rowOff>9525</xdr:rowOff>
        </xdr:from>
        <xdr:to>
          <xdr:col>19</xdr:col>
          <xdr:colOff>1295400</xdr:colOff>
          <xdr:row>20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28575</xdr:rowOff>
        </xdr:from>
        <xdr:to>
          <xdr:col>8</xdr:col>
          <xdr:colOff>590550</xdr:colOff>
          <xdr:row>15</xdr:row>
          <xdr:rowOff>66675</xdr:rowOff>
        </xdr:to>
        <xdr:sp macro="" textlink="">
          <xdr:nvSpPr>
            <xdr:cNvPr id="10245" name="Object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723900</xdr:colOff>
          <xdr:row>8</xdr:row>
          <xdr:rowOff>0</xdr:rowOff>
        </xdr:to>
        <xdr:sp macro="" textlink="">
          <xdr:nvSpPr>
            <xdr:cNvPr id="147457" name="Drop Dow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47463" name="Drop Down 7" hidden="1">
              <a:extLst>
                <a:ext uri="{63B3BB69-23CF-44E3-9099-C40C66FF867C}">
                  <a14:compatExt spid="_x0000_s147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51</xdr:row>
          <xdr:rowOff>161925</xdr:rowOff>
        </xdr:from>
        <xdr:to>
          <xdr:col>9</xdr:col>
          <xdr:colOff>600075</xdr:colOff>
          <xdr:row>53</xdr:row>
          <xdr:rowOff>190500</xdr:rowOff>
        </xdr:to>
        <xdr:sp macro="" textlink="">
          <xdr:nvSpPr>
            <xdr:cNvPr id="147464" name="Button 8" hidden="1">
              <a:extLst>
                <a:ext uri="{63B3BB69-23CF-44E3-9099-C40C66FF867C}">
                  <a14:compatExt spid="_x0000_s147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48</xdr:row>
          <xdr:rowOff>142875</xdr:rowOff>
        </xdr:from>
        <xdr:to>
          <xdr:col>9</xdr:col>
          <xdr:colOff>600075</xdr:colOff>
          <xdr:row>50</xdr:row>
          <xdr:rowOff>95250</xdr:rowOff>
        </xdr:to>
        <xdr:sp macro="" textlink="">
          <xdr:nvSpPr>
            <xdr:cNvPr id="147465" name="Button 9" hidden="1">
              <a:extLst>
                <a:ext uri="{63B3BB69-23CF-44E3-9099-C40C66FF867C}">
                  <a14:compatExt spid="_x0000_s147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47625</xdr:rowOff>
        </xdr:to>
        <xdr:sp macro="" textlink="">
          <xdr:nvSpPr>
            <xdr:cNvPr id="161793" name="Drop Down 1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28575</xdr:rowOff>
        </xdr:to>
        <xdr:sp macro="" textlink="">
          <xdr:nvSpPr>
            <xdr:cNvPr id="161794" name="Drop Down 2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47625</xdr:rowOff>
        </xdr:to>
        <xdr:sp macro="" textlink="">
          <xdr:nvSpPr>
            <xdr:cNvPr id="161795" name="Drop Down 3" hidden="1">
              <a:extLst>
                <a:ext uri="{63B3BB69-23CF-44E3-9099-C40C66FF867C}">
                  <a14:compatExt spid="_x0000_s16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49</xdr:row>
          <xdr:rowOff>161925</xdr:rowOff>
        </xdr:from>
        <xdr:to>
          <xdr:col>10</xdr:col>
          <xdr:colOff>0</xdr:colOff>
          <xdr:row>52</xdr:row>
          <xdr:rowOff>0</xdr:rowOff>
        </xdr:to>
        <xdr:sp macro="" textlink="">
          <xdr:nvSpPr>
            <xdr:cNvPr id="161796" name="Button 4" hidden="1">
              <a:extLst>
                <a:ext uri="{63B3BB69-23CF-44E3-9099-C40C66FF867C}">
                  <a14:compatExt spid="_x0000_s16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46</xdr:row>
          <xdr:rowOff>152400</xdr:rowOff>
        </xdr:from>
        <xdr:to>
          <xdr:col>9</xdr:col>
          <xdr:colOff>600075</xdr:colOff>
          <xdr:row>48</xdr:row>
          <xdr:rowOff>104775</xdr:rowOff>
        </xdr:to>
        <xdr:sp macro="" textlink="">
          <xdr:nvSpPr>
            <xdr:cNvPr id="161797" name="Button 5" hidden="1">
              <a:extLst>
                <a:ext uri="{63B3BB69-23CF-44E3-9099-C40C66FF867C}">
                  <a14:compatExt spid="_x0000_s16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33</xdr:row>
      <xdr:rowOff>47625</xdr:rowOff>
    </xdr:from>
    <xdr:to>
      <xdr:col>9</xdr:col>
      <xdr:colOff>6020</xdr:colOff>
      <xdr:row>38</xdr:row>
      <xdr:rowOff>161925</xdr:rowOff>
    </xdr:to>
    <xdr:pic>
      <xdr:nvPicPr>
        <xdr:cNvPr id="2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933450" y="6972300"/>
          <a:ext cx="4377995" cy="1295400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 editAs="oneCell">
    <xdr:from>
      <xdr:col>2</xdr:col>
      <xdr:colOff>438151</xdr:colOff>
      <xdr:row>40</xdr:row>
      <xdr:rowOff>95250</xdr:rowOff>
    </xdr:from>
    <xdr:to>
      <xdr:col>7</xdr:col>
      <xdr:colOff>200026</xdr:colOff>
      <xdr:row>46</xdr:row>
      <xdr:rowOff>19050</xdr:rowOff>
    </xdr:to>
    <xdr:pic>
      <xdr:nvPicPr>
        <xdr:cNvPr id="4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1219201" y="8591550"/>
          <a:ext cx="3543300" cy="1295400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 editAs="oneCell">
    <xdr:from>
      <xdr:col>7</xdr:col>
      <xdr:colOff>666750</xdr:colOff>
      <xdr:row>33</xdr:row>
      <xdr:rowOff>85725</xdr:rowOff>
    </xdr:from>
    <xdr:to>
      <xdr:col>16</xdr:col>
      <xdr:colOff>66675</xdr:colOff>
      <xdr:row>39</xdr:row>
      <xdr:rowOff>9525</xdr:rowOff>
    </xdr:to>
    <xdr:pic>
      <xdr:nvPicPr>
        <xdr:cNvPr id="5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5229225" y="7010400"/>
          <a:ext cx="4181475" cy="1295400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438150</xdr:colOff>
          <xdr:row>65</xdr:row>
          <xdr:rowOff>19050</xdr:rowOff>
        </xdr:from>
        <xdr:to>
          <xdr:col>19</xdr:col>
          <xdr:colOff>447675</xdr:colOff>
          <xdr:row>68</xdr:row>
          <xdr:rowOff>142875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28575</xdr:rowOff>
        </xdr:from>
        <xdr:to>
          <xdr:col>11</xdr:col>
          <xdr:colOff>495300</xdr:colOff>
          <xdr:row>16</xdr:row>
          <xdr:rowOff>104775</xdr:rowOff>
        </xdr:to>
        <xdr:sp macro="" textlink="">
          <xdr:nvSpPr>
            <xdr:cNvPr id="171018" name="Object 10" hidden="1">
              <a:extLst>
                <a:ext uri="{63B3BB69-23CF-44E3-9099-C40C66FF867C}">
                  <a14:compatExt spid="_x0000_s171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16</xdr:row>
          <xdr:rowOff>180975</xdr:rowOff>
        </xdr:from>
        <xdr:to>
          <xdr:col>8</xdr:col>
          <xdr:colOff>0</xdr:colOff>
          <xdr:row>28</xdr:row>
          <xdr:rowOff>161925</xdr:rowOff>
        </xdr:to>
        <xdr:sp macro="" textlink="">
          <xdr:nvSpPr>
            <xdr:cNvPr id="171019" name="Object 11" hidden="1">
              <a:extLst>
                <a:ext uri="{63B3BB69-23CF-44E3-9099-C40C66FF867C}">
                  <a14:compatExt spid="_x0000_s171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17</xdr:row>
          <xdr:rowOff>0</xdr:rowOff>
        </xdr:from>
        <xdr:to>
          <xdr:col>14</xdr:col>
          <xdr:colOff>38100</xdr:colOff>
          <xdr:row>28</xdr:row>
          <xdr:rowOff>152400</xdr:rowOff>
        </xdr:to>
        <xdr:sp macro="" textlink="">
          <xdr:nvSpPr>
            <xdr:cNvPr id="171020" name="Object 12" hidden="1">
              <a:extLst>
                <a:ext uri="{63B3BB69-23CF-44E3-9099-C40C66FF867C}">
                  <a14:compatExt spid="_x0000_s171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39</xdr:row>
          <xdr:rowOff>0</xdr:rowOff>
        </xdr:from>
        <xdr:to>
          <xdr:col>15</xdr:col>
          <xdr:colOff>390525</xdr:colOff>
          <xdr:row>46</xdr:row>
          <xdr:rowOff>19050</xdr:rowOff>
        </xdr:to>
        <xdr:sp macro="" textlink="">
          <xdr:nvSpPr>
            <xdr:cNvPr id="171021" name="Object 13" hidden="1">
              <a:extLst>
                <a:ext uri="{63B3BB69-23CF-44E3-9099-C40C66FF867C}">
                  <a14:compatExt spid="_x0000_s171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46</xdr:row>
          <xdr:rowOff>95250</xdr:rowOff>
        </xdr:from>
        <xdr:to>
          <xdr:col>7</xdr:col>
          <xdr:colOff>371475</xdr:colOff>
          <xdr:row>52</xdr:row>
          <xdr:rowOff>85725</xdr:rowOff>
        </xdr:to>
        <xdr:sp macro="" textlink="">
          <xdr:nvSpPr>
            <xdr:cNvPr id="171022" name="Object 14" hidden="1">
              <a:extLst>
                <a:ext uri="{63B3BB69-23CF-44E3-9099-C40C66FF867C}">
                  <a14:compatExt spid="_x0000_s171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19</xdr:row>
          <xdr:rowOff>19050</xdr:rowOff>
        </xdr:from>
        <xdr:to>
          <xdr:col>14</xdr:col>
          <xdr:colOff>866775</xdr:colOff>
          <xdr:row>20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5</xdr:col>
          <xdr:colOff>762000</xdr:colOff>
          <xdr:row>16</xdr:row>
          <xdr:rowOff>180975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19</xdr:row>
          <xdr:rowOff>0</xdr:rowOff>
        </xdr:from>
        <xdr:to>
          <xdr:col>17</xdr:col>
          <xdr:colOff>0</xdr:colOff>
          <xdr:row>20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6</xdr:row>
          <xdr:rowOff>66675</xdr:rowOff>
        </xdr:from>
        <xdr:to>
          <xdr:col>13</xdr:col>
          <xdr:colOff>542925</xdr:colOff>
          <xdr:row>23</xdr:row>
          <xdr:rowOff>171450</xdr:rowOff>
        </xdr:to>
        <xdr:sp macro="" textlink="">
          <xdr:nvSpPr>
            <xdr:cNvPr id="153602" name="Object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6</xdr:col>
          <xdr:colOff>571500</xdr:colOff>
          <xdr:row>25</xdr:row>
          <xdr:rowOff>104775</xdr:rowOff>
        </xdr:to>
        <xdr:sp macro="" textlink="">
          <xdr:nvSpPr>
            <xdr:cNvPr id="153603" name="Option Button 3" hidden="1">
              <a:extLst>
                <a:ext uri="{63B3BB69-23CF-44E3-9099-C40C66FF867C}">
                  <a14:compatExt spid="_x0000_s153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os Lados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24</xdr:row>
          <xdr:rowOff>28575</xdr:rowOff>
        </xdr:from>
        <xdr:to>
          <xdr:col>13</xdr:col>
          <xdr:colOff>542925</xdr:colOff>
          <xdr:row>25</xdr:row>
          <xdr:rowOff>152400</xdr:rowOff>
        </xdr:to>
        <xdr:sp macro="" textlink="">
          <xdr:nvSpPr>
            <xdr:cNvPr id="153604" name="Option Button 4" hidden="1">
              <a:extLst>
                <a:ext uri="{63B3BB69-23CF-44E3-9099-C40C66FF867C}">
                  <a14:compatExt spid="_x0000_s153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Armadura segundo as Medianas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27</xdr:row>
          <xdr:rowOff>9525</xdr:rowOff>
        </xdr:from>
        <xdr:to>
          <xdr:col>8</xdr:col>
          <xdr:colOff>323850</xdr:colOff>
          <xdr:row>30</xdr:row>
          <xdr:rowOff>38100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28575</xdr:rowOff>
        </xdr:from>
        <xdr:to>
          <xdr:col>6</xdr:col>
          <xdr:colOff>571500</xdr:colOff>
          <xdr:row>23</xdr:row>
          <xdr:rowOff>171450</xdr:rowOff>
        </xdr:to>
        <xdr:sp macro="" textlink="">
          <xdr:nvSpPr>
            <xdr:cNvPr id="153606" name="Object 6" hidden="1">
              <a:extLst>
                <a:ext uri="{63B3BB69-23CF-44E3-9099-C40C66FF867C}">
                  <a14:compatExt spid="_x0000_s153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6</xdr:row>
          <xdr:rowOff>28575</xdr:rowOff>
        </xdr:from>
        <xdr:to>
          <xdr:col>13</xdr:col>
          <xdr:colOff>552450</xdr:colOff>
          <xdr:row>23</xdr:row>
          <xdr:rowOff>133350</xdr:rowOff>
        </xdr:to>
        <xdr:sp macro="" textlink="">
          <xdr:nvSpPr>
            <xdr:cNvPr id="153607" name="Object 7" hidden="1">
              <a:extLst>
                <a:ext uri="{63B3BB69-23CF-44E3-9099-C40C66FF867C}">
                  <a14:compatExt spid="_x0000_s153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59745" name="Drop Down 1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21</xdr:row>
          <xdr:rowOff>152400</xdr:rowOff>
        </xdr:from>
        <xdr:to>
          <xdr:col>9</xdr:col>
          <xdr:colOff>590550</xdr:colOff>
          <xdr:row>24</xdr:row>
          <xdr:rowOff>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18</xdr:row>
          <xdr:rowOff>114300</xdr:rowOff>
        </xdr:from>
        <xdr:to>
          <xdr:col>9</xdr:col>
          <xdr:colOff>590550</xdr:colOff>
          <xdr:row>20</xdr:row>
          <xdr:rowOff>66675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57150</xdr:rowOff>
        </xdr:to>
        <xdr:sp macro="" textlink="">
          <xdr:nvSpPr>
            <xdr:cNvPr id="180225" name="Drop Down 1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38100</xdr:rowOff>
        </xdr:to>
        <xdr:sp macro="" textlink="">
          <xdr:nvSpPr>
            <xdr:cNvPr id="180226" name="Drop Down 2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57150</xdr:rowOff>
        </xdr:to>
        <xdr:sp macro="" textlink="">
          <xdr:nvSpPr>
            <xdr:cNvPr id="180227" name="Drop Down 3" hidden="1">
              <a:extLst>
                <a:ext uri="{63B3BB69-23CF-44E3-9099-C40C66FF867C}">
                  <a14:compatExt spid="_x0000_s180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49</xdr:row>
          <xdr:rowOff>152400</xdr:rowOff>
        </xdr:from>
        <xdr:to>
          <xdr:col>9</xdr:col>
          <xdr:colOff>590550</xdr:colOff>
          <xdr:row>51</xdr:row>
          <xdr:rowOff>190500</xdr:rowOff>
        </xdr:to>
        <xdr:sp macro="" textlink="">
          <xdr:nvSpPr>
            <xdr:cNvPr id="180228" name="Button 4" hidden="1">
              <a:extLst>
                <a:ext uri="{63B3BB69-23CF-44E3-9099-C40C66FF867C}">
                  <a14:compatExt spid="_x0000_s180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46</xdr:row>
          <xdr:rowOff>142875</xdr:rowOff>
        </xdr:from>
        <xdr:to>
          <xdr:col>9</xdr:col>
          <xdr:colOff>590550</xdr:colOff>
          <xdr:row>48</xdr:row>
          <xdr:rowOff>95250</xdr:rowOff>
        </xdr:to>
        <xdr:sp macro="" textlink="">
          <xdr:nvSpPr>
            <xdr:cNvPr id="180229" name="Button 5" hidden="1">
              <a:extLst>
                <a:ext uri="{63B3BB69-23CF-44E3-9099-C40C66FF867C}">
                  <a14:compatExt spid="_x0000_s180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275033</xdr:colOff>
      <xdr:row>36</xdr:row>
      <xdr:rowOff>247649</xdr:rowOff>
    </xdr:from>
    <xdr:to>
      <xdr:col>8</xdr:col>
      <xdr:colOff>66674</xdr:colOff>
      <xdr:row>41</xdr:row>
      <xdr:rowOff>76198</xdr:rowOff>
    </xdr:to>
    <xdr:pic>
      <xdr:nvPicPr>
        <xdr:cNvPr id="5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446483" y="7905749"/>
          <a:ext cx="4516041" cy="933449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63</xdr:row>
          <xdr:rowOff>190500</xdr:rowOff>
        </xdr:from>
        <xdr:to>
          <xdr:col>19</xdr:col>
          <xdr:colOff>466725</xdr:colOff>
          <xdr:row>67</xdr:row>
          <xdr:rowOff>85725</xdr:rowOff>
        </xdr:to>
        <xdr:sp macro="" textlink="">
          <xdr:nvSpPr>
            <xdr:cNvPr id="181249" name="Button 1" hidden="1">
              <a:extLst>
                <a:ext uri="{63B3BB69-23CF-44E3-9099-C40C66FF867C}">
                  <a14:compatExt spid="_x0000_s18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35</xdr:row>
          <xdr:rowOff>152400</xdr:rowOff>
        </xdr:from>
        <xdr:to>
          <xdr:col>15</xdr:col>
          <xdr:colOff>361950</xdr:colOff>
          <xdr:row>41</xdr:row>
          <xdr:rowOff>142875</xdr:rowOff>
        </xdr:to>
        <xdr:sp macro="" textlink="">
          <xdr:nvSpPr>
            <xdr:cNvPr id="181254" name="Object 6" hidden="1">
              <a:extLst>
                <a:ext uri="{63B3BB69-23CF-44E3-9099-C40C66FF867C}">
                  <a14:compatExt spid="_x0000_s18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238125</xdr:rowOff>
        </xdr:from>
        <xdr:to>
          <xdr:col>15</xdr:col>
          <xdr:colOff>352425</xdr:colOff>
          <xdr:row>49</xdr:row>
          <xdr:rowOff>114300</xdr:rowOff>
        </xdr:to>
        <xdr:sp macro="" textlink="">
          <xdr:nvSpPr>
            <xdr:cNvPr id="181255" name="Object 7" hidden="1">
              <a:extLst>
                <a:ext uri="{63B3BB69-23CF-44E3-9099-C40C66FF867C}">
                  <a14:compatExt spid="_x0000_s18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3</xdr:row>
          <xdr:rowOff>66675</xdr:rowOff>
        </xdr:from>
        <xdr:to>
          <xdr:col>12</xdr:col>
          <xdr:colOff>38100</xdr:colOff>
          <xdr:row>17</xdr:row>
          <xdr:rowOff>95250</xdr:rowOff>
        </xdr:to>
        <xdr:sp macro="" textlink="">
          <xdr:nvSpPr>
            <xdr:cNvPr id="181258" name="Object 10" hidden="1">
              <a:extLst>
                <a:ext uri="{63B3BB69-23CF-44E3-9099-C40C66FF867C}">
                  <a14:compatExt spid="_x0000_s18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17</xdr:row>
          <xdr:rowOff>152400</xdr:rowOff>
        </xdr:from>
        <xdr:to>
          <xdr:col>12</xdr:col>
          <xdr:colOff>19050</xdr:colOff>
          <xdr:row>31</xdr:row>
          <xdr:rowOff>152400</xdr:rowOff>
        </xdr:to>
        <xdr:sp macro="" textlink="">
          <xdr:nvSpPr>
            <xdr:cNvPr id="181259" name="Object 11" hidden="1">
              <a:extLst>
                <a:ext uri="{63B3BB69-23CF-44E3-9099-C40C66FF867C}">
                  <a14:compatExt spid="_x0000_s18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0</xdr:rowOff>
        </xdr:from>
        <xdr:to>
          <xdr:col>6</xdr:col>
          <xdr:colOff>714375</xdr:colOff>
          <xdr:row>8</xdr:row>
          <xdr:rowOff>9525</xdr:rowOff>
        </xdr:to>
        <xdr:sp macro="" textlink="">
          <xdr:nvSpPr>
            <xdr:cNvPr id="160769" name="Drop Down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23</xdr:row>
          <xdr:rowOff>152400</xdr:rowOff>
        </xdr:from>
        <xdr:to>
          <xdr:col>9</xdr:col>
          <xdr:colOff>600075</xdr:colOff>
          <xdr:row>25</xdr:row>
          <xdr:rowOff>190500</xdr:rowOff>
        </xdr:to>
        <xdr:sp macro="" textlink="">
          <xdr:nvSpPr>
            <xdr:cNvPr id="160770" name="Button 2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20</xdr:row>
          <xdr:rowOff>133350</xdr:rowOff>
        </xdr:from>
        <xdr:to>
          <xdr:col>9</xdr:col>
          <xdr:colOff>600075</xdr:colOff>
          <xdr:row>22</xdr:row>
          <xdr:rowOff>142875</xdr:rowOff>
        </xdr:to>
        <xdr:sp macro="" textlink="">
          <xdr:nvSpPr>
            <xdr:cNvPr id="160771" name="Button 3" hidden="1">
              <a:extLst>
                <a:ext uri="{63B3BB69-23CF-44E3-9099-C40C66FF867C}">
                  <a14:compatExt spid="_x0000_s160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66675</xdr:rowOff>
        </xdr:to>
        <xdr:sp macro="" textlink="">
          <xdr:nvSpPr>
            <xdr:cNvPr id="183297" name="Drop Down 1" hidden="1">
              <a:extLst>
                <a:ext uri="{63B3BB69-23CF-44E3-9099-C40C66FF867C}">
                  <a14:compatExt spid="_x0000_s183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47625</xdr:rowOff>
        </xdr:to>
        <xdr:sp macro="" textlink="">
          <xdr:nvSpPr>
            <xdr:cNvPr id="183298" name="Drop Down 2" hidden="1">
              <a:extLst>
                <a:ext uri="{63B3BB69-23CF-44E3-9099-C40C66FF867C}">
                  <a14:compatExt spid="_x0000_s183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66675</xdr:rowOff>
        </xdr:to>
        <xdr:sp macro="" textlink="">
          <xdr:nvSpPr>
            <xdr:cNvPr id="183299" name="Drop Down 3" hidden="1">
              <a:extLst>
                <a:ext uri="{63B3BB69-23CF-44E3-9099-C40C66FF867C}">
                  <a14:compatExt spid="_x0000_s183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47</xdr:row>
          <xdr:rowOff>0</xdr:rowOff>
        </xdr:from>
        <xdr:to>
          <xdr:col>9</xdr:col>
          <xdr:colOff>590550</xdr:colOff>
          <xdr:row>48</xdr:row>
          <xdr:rowOff>152400</xdr:rowOff>
        </xdr:to>
        <xdr:sp macro="" textlink="">
          <xdr:nvSpPr>
            <xdr:cNvPr id="183301" name="Button 5" hidden="1">
              <a:extLst>
                <a:ext uri="{63B3BB69-23CF-44E3-9099-C40C66FF867C}">
                  <a14:compatExt spid="_x0000_s183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57150</xdr:rowOff>
        </xdr:to>
        <xdr:sp macro="" textlink="">
          <xdr:nvSpPr>
            <xdr:cNvPr id="183302" name="Drop Down 6" hidden="1">
              <a:extLst>
                <a:ext uri="{63B3BB69-23CF-44E3-9099-C40C66FF867C}">
                  <a14:compatExt spid="_x0000_s183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38100</xdr:rowOff>
        </xdr:to>
        <xdr:sp macro="" textlink="">
          <xdr:nvSpPr>
            <xdr:cNvPr id="183303" name="Drop Down 7" hidden="1">
              <a:extLst>
                <a:ext uri="{63B3BB69-23CF-44E3-9099-C40C66FF867C}">
                  <a14:compatExt spid="_x0000_s183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57150</xdr:rowOff>
        </xdr:to>
        <xdr:sp macro="" textlink="">
          <xdr:nvSpPr>
            <xdr:cNvPr id="183304" name="Drop Down 8" hidden="1">
              <a:extLst>
                <a:ext uri="{63B3BB69-23CF-44E3-9099-C40C66FF867C}">
                  <a14:compatExt spid="_x0000_s183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49</xdr:row>
          <xdr:rowOff>142875</xdr:rowOff>
        </xdr:from>
        <xdr:to>
          <xdr:col>9</xdr:col>
          <xdr:colOff>590550</xdr:colOff>
          <xdr:row>51</xdr:row>
          <xdr:rowOff>180975</xdr:rowOff>
        </xdr:to>
        <xdr:sp macro="" textlink="">
          <xdr:nvSpPr>
            <xdr:cNvPr id="183305" name="Button 9" hidden="1">
              <a:extLst>
                <a:ext uri="{63B3BB69-23CF-44E3-9099-C40C66FF867C}">
                  <a14:compatExt spid="_x0000_s183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294084</xdr:colOff>
      <xdr:row>36</xdr:row>
      <xdr:rowOff>247649</xdr:rowOff>
    </xdr:from>
    <xdr:to>
      <xdr:col>8</xdr:col>
      <xdr:colOff>76200</xdr:colOff>
      <xdr:row>41</xdr:row>
      <xdr:rowOff>76198</xdr:rowOff>
    </xdr:to>
    <xdr:pic>
      <xdr:nvPicPr>
        <xdr:cNvPr id="6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465534" y="7905749"/>
          <a:ext cx="4506516" cy="933449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304800</xdr:colOff>
      <xdr:row>43</xdr:row>
      <xdr:rowOff>180975</xdr:rowOff>
    </xdr:from>
    <xdr:to>
      <xdr:col>8</xdr:col>
      <xdr:colOff>86916</xdr:colOff>
      <xdr:row>48</xdr:row>
      <xdr:rowOff>95249</xdr:rowOff>
    </xdr:to>
    <xdr:pic>
      <xdr:nvPicPr>
        <xdr:cNvPr id="3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476250" y="9410700"/>
          <a:ext cx="4506516" cy="933449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63</xdr:row>
          <xdr:rowOff>190500</xdr:rowOff>
        </xdr:from>
        <xdr:to>
          <xdr:col>19</xdr:col>
          <xdr:colOff>466725</xdr:colOff>
          <xdr:row>67</xdr:row>
          <xdr:rowOff>85725</xdr:rowOff>
        </xdr:to>
        <xdr:sp macro="" textlink="">
          <xdr:nvSpPr>
            <xdr:cNvPr id="182277" name="Button 5" hidden="1">
              <a:extLst>
                <a:ext uri="{63B3BB69-23CF-44E3-9099-C40C66FF867C}">
                  <a14:compatExt spid="_x0000_s18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85725</xdr:rowOff>
        </xdr:from>
        <xdr:to>
          <xdr:col>12</xdr:col>
          <xdr:colOff>95250</xdr:colOff>
          <xdr:row>15</xdr:row>
          <xdr:rowOff>209550</xdr:rowOff>
        </xdr:to>
        <xdr:sp macro="" textlink="">
          <xdr:nvSpPr>
            <xdr:cNvPr id="182280" name="Object 8" hidden="1">
              <a:extLst>
                <a:ext uri="{63B3BB69-23CF-44E3-9099-C40C66FF867C}">
                  <a14:compatExt spid="_x0000_s18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180975</xdr:rowOff>
        </xdr:from>
        <xdr:to>
          <xdr:col>12</xdr:col>
          <xdr:colOff>133350</xdr:colOff>
          <xdr:row>32</xdr:row>
          <xdr:rowOff>9525</xdr:rowOff>
        </xdr:to>
        <xdr:sp macro="" textlink="">
          <xdr:nvSpPr>
            <xdr:cNvPr id="182281" name="Object 9" hidden="1">
              <a:extLst>
                <a:ext uri="{63B3BB69-23CF-44E3-9099-C40C66FF867C}">
                  <a14:compatExt spid="_x0000_s18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42</xdr:row>
          <xdr:rowOff>257175</xdr:rowOff>
        </xdr:from>
        <xdr:to>
          <xdr:col>15</xdr:col>
          <xdr:colOff>352425</xdr:colOff>
          <xdr:row>49</xdr:row>
          <xdr:rowOff>133350</xdr:rowOff>
        </xdr:to>
        <xdr:sp macro="" textlink="">
          <xdr:nvSpPr>
            <xdr:cNvPr id="182284" name="Object 12" hidden="1">
              <a:extLst>
                <a:ext uri="{63B3BB69-23CF-44E3-9099-C40C66FF867C}">
                  <a14:compatExt spid="_x0000_s18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35</xdr:row>
          <xdr:rowOff>133350</xdr:rowOff>
        </xdr:from>
        <xdr:to>
          <xdr:col>15</xdr:col>
          <xdr:colOff>361950</xdr:colOff>
          <xdr:row>41</xdr:row>
          <xdr:rowOff>123825</xdr:rowOff>
        </xdr:to>
        <xdr:sp macro="" textlink="">
          <xdr:nvSpPr>
            <xdr:cNvPr id="182285" name="Object 13" hidden="1">
              <a:extLst>
                <a:ext uri="{63B3BB69-23CF-44E3-9099-C40C66FF867C}">
                  <a14:compatExt spid="_x0000_s18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19</xdr:row>
          <xdr:rowOff>9525</xdr:rowOff>
        </xdr:from>
        <xdr:to>
          <xdr:col>18</xdr:col>
          <xdr:colOff>1152525</xdr:colOff>
          <xdr:row>20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8</xdr:col>
          <xdr:colOff>504825</xdr:colOff>
          <xdr:row>16</xdr:row>
          <xdr:rowOff>190500</xdr:rowOff>
        </xdr:to>
        <xdr:sp macro="" textlink="">
          <xdr:nvSpPr>
            <xdr:cNvPr id="12290" name="Object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19</xdr:row>
          <xdr:rowOff>0</xdr:rowOff>
        </xdr:from>
        <xdr:to>
          <xdr:col>20</xdr:col>
          <xdr:colOff>1304925</xdr:colOff>
          <xdr:row>20</xdr:row>
          <xdr:rowOff>152400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19050</xdr:rowOff>
        </xdr:to>
        <xdr:sp macro="" textlink="">
          <xdr:nvSpPr>
            <xdr:cNvPr id="49156" name="Drop Down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28575</xdr:rowOff>
        </xdr:to>
        <xdr:sp macro="" textlink="">
          <xdr:nvSpPr>
            <xdr:cNvPr id="49162" name="Drop Down 10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49</xdr:row>
          <xdr:rowOff>152400</xdr:rowOff>
        </xdr:from>
        <xdr:to>
          <xdr:col>9</xdr:col>
          <xdr:colOff>600075</xdr:colOff>
          <xdr:row>51</xdr:row>
          <xdr:rowOff>190500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PRÓXIMO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46</xdr:row>
          <xdr:rowOff>171450</xdr:rowOff>
        </xdr:from>
        <xdr:to>
          <xdr:col>9</xdr:col>
          <xdr:colOff>590550</xdr:colOff>
          <xdr:row>48</xdr:row>
          <xdr:rowOff>123825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38100</xdr:rowOff>
        </xdr:to>
        <xdr:sp macro="" textlink="">
          <xdr:nvSpPr>
            <xdr:cNvPr id="51201" name="Drop Dow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7</xdr:col>
          <xdr:colOff>0</xdr:colOff>
          <xdr:row>8</xdr:row>
          <xdr:rowOff>19050</xdr:rowOff>
        </xdr:to>
        <xdr:sp macro="" textlink="">
          <xdr:nvSpPr>
            <xdr:cNvPr id="51204" name="Drop Down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7</xdr:col>
          <xdr:colOff>0</xdr:colOff>
          <xdr:row>36</xdr:row>
          <xdr:rowOff>38100</xdr:rowOff>
        </xdr:to>
        <xdr:sp macro="" textlink="">
          <xdr:nvSpPr>
            <xdr:cNvPr id="51205" name="Drop Down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49</xdr:row>
          <xdr:rowOff>161925</xdr:rowOff>
        </xdr:from>
        <xdr:to>
          <xdr:col>9</xdr:col>
          <xdr:colOff>590550</xdr:colOff>
          <xdr:row>52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RELATÓRIO 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46</xdr:row>
          <xdr:rowOff>180975</xdr:rowOff>
        </xdr:from>
        <xdr:to>
          <xdr:col>9</xdr:col>
          <xdr:colOff>600075</xdr:colOff>
          <xdr:row>48</xdr:row>
          <xdr:rowOff>133350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1" u="none" strike="noStrike" baseline="0">
                  <a:solidFill>
                    <a:srgbClr val="000000"/>
                  </a:solidFill>
                  <a:latin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33</xdr:row>
      <xdr:rowOff>133350</xdr:rowOff>
    </xdr:from>
    <xdr:to>
      <xdr:col>9</xdr:col>
      <xdr:colOff>19050</xdr:colOff>
      <xdr:row>38</xdr:row>
      <xdr:rowOff>152400</xdr:rowOff>
    </xdr:to>
    <xdr:pic>
      <xdr:nvPicPr>
        <xdr:cNvPr id="52247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04" r="4204"/>
        <a:stretch>
          <a:fillRect/>
        </a:stretch>
      </xdr:blipFill>
      <xdr:spPr bwMode="auto">
        <a:xfrm>
          <a:off x="885825" y="7029450"/>
          <a:ext cx="4438650" cy="1190625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xdr:twoCellAnchor editAs="oneCell">
    <xdr:from>
      <xdr:col>9</xdr:col>
      <xdr:colOff>0</xdr:colOff>
      <xdr:row>33</xdr:row>
      <xdr:rowOff>133350</xdr:rowOff>
    </xdr:from>
    <xdr:to>
      <xdr:col>16</xdr:col>
      <xdr:colOff>38100</xdr:colOff>
      <xdr:row>38</xdr:row>
      <xdr:rowOff>152400</xdr:rowOff>
    </xdr:to>
    <xdr:pic>
      <xdr:nvPicPr>
        <xdr:cNvPr id="52245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4" r="4204"/>
        <a:stretch>
          <a:fillRect/>
        </a:stretch>
      </xdr:blipFill>
      <xdr:spPr bwMode="auto">
        <a:xfrm>
          <a:off x="5305425" y="7029450"/>
          <a:ext cx="4076700" cy="1190625"/>
        </a:xfrm>
        <a:prstGeom prst="rect">
          <a:avLst/>
        </a:prstGeom>
        <a:solidFill>
          <a:srgbClr val="FFFFFF">
            <a:alpha val="0"/>
          </a:srgbClr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371475</xdr:colOff>
          <xdr:row>58</xdr:row>
          <xdr:rowOff>28575</xdr:rowOff>
        </xdr:from>
        <xdr:to>
          <xdr:col>19</xdr:col>
          <xdr:colOff>381000</xdr:colOff>
          <xdr:row>61</xdr:row>
          <xdr:rowOff>57150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</a:rPr>
                <a:t>INÍCIO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57150</xdr:rowOff>
        </xdr:from>
        <xdr:to>
          <xdr:col>6</xdr:col>
          <xdr:colOff>742950</xdr:colOff>
          <xdr:row>15</xdr:row>
          <xdr:rowOff>161925</xdr:rowOff>
        </xdr:to>
        <xdr:sp macro="" textlink="">
          <xdr:nvSpPr>
            <xdr:cNvPr id="52235" name="Object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38100</xdr:rowOff>
        </xdr:from>
        <xdr:to>
          <xdr:col>17</xdr:col>
          <xdr:colOff>133350</xdr:colOff>
          <xdr:row>15</xdr:row>
          <xdr:rowOff>161925</xdr:rowOff>
        </xdr:to>
        <xdr:sp macro="" textlink="">
          <xdr:nvSpPr>
            <xdr:cNvPr id="52238" name="Object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47625</xdr:rowOff>
        </xdr:from>
        <xdr:to>
          <xdr:col>6</xdr:col>
          <xdr:colOff>276225</xdr:colOff>
          <xdr:row>26</xdr:row>
          <xdr:rowOff>133350</xdr:rowOff>
        </xdr:to>
        <xdr:sp macro="" textlink="">
          <xdr:nvSpPr>
            <xdr:cNvPr id="52240" name="Object 16" hidden="1">
              <a:extLst>
                <a:ext uri="{63B3BB69-23CF-44E3-9099-C40C66FF867C}">
                  <a14:compatExt spid="_x0000_s52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41</xdr:row>
          <xdr:rowOff>0</xdr:rowOff>
        </xdr:from>
        <xdr:to>
          <xdr:col>15</xdr:col>
          <xdr:colOff>333375</xdr:colOff>
          <xdr:row>46</xdr:row>
          <xdr:rowOff>19050</xdr:rowOff>
        </xdr:to>
        <xdr:sp macro="" textlink="">
          <xdr:nvSpPr>
            <xdr:cNvPr id="52243" name="Object 19" hidden="1">
              <a:extLst>
                <a:ext uri="{63B3BB69-23CF-44E3-9099-C40C66FF867C}">
                  <a14:compatExt spid="_x0000_s52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40</xdr:row>
          <xdr:rowOff>171450</xdr:rowOff>
        </xdr:from>
        <xdr:to>
          <xdr:col>7</xdr:col>
          <xdr:colOff>390525</xdr:colOff>
          <xdr:row>46</xdr:row>
          <xdr:rowOff>0</xdr:rowOff>
        </xdr:to>
        <xdr:sp macro="" textlink="">
          <xdr:nvSpPr>
            <xdr:cNvPr id="52246" name="Object 22" hidden="1">
              <a:extLst>
                <a:ext uri="{63B3BB69-23CF-44E3-9099-C40C66FF867C}">
                  <a14:compatExt spid="_x0000_s52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C-Planilha%20modificada%2025-09\Users\Barbara\AppData\Roaming\Microsoft\Excel\Final%20Inicia&#231;&#227;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s1"/>
      <sheetName val="Entradas2"/>
      <sheetName val="Blocos"/>
      <sheetName val="1 Estaca"/>
      <sheetName val="2 Estacas"/>
      <sheetName val="2 Est Armadura"/>
      <sheetName val="Rel Final2"/>
      <sheetName val="3 Estacas1"/>
      <sheetName val="3 Est1 Arm"/>
      <sheetName val="Rel Final3.1"/>
      <sheetName val="3 Estacas2"/>
      <sheetName val="4 Estacas1"/>
      <sheetName val="4 Est1 Arm"/>
      <sheetName val="Rel Final4.1"/>
      <sheetName val="4 Estacas2"/>
      <sheetName val="4 Est2 Arm1"/>
      <sheetName val="5 Estacas1"/>
      <sheetName val="5 Estacas2"/>
      <sheetName val="6 Estacas"/>
      <sheetName val="Final Iniciação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5">
          <cell r="K5">
            <v>32</v>
          </cell>
        </row>
        <row r="7">
          <cell r="K7">
            <v>96</v>
          </cell>
        </row>
      </sheetData>
      <sheetData sheetId="5" refreshError="1">
        <row r="6">
          <cell r="C6">
            <v>4</v>
          </cell>
        </row>
        <row r="10">
          <cell r="G10">
            <v>5</v>
          </cell>
        </row>
        <row r="23">
          <cell r="G23">
            <v>179</v>
          </cell>
        </row>
        <row r="24">
          <cell r="H24">
            <v>179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oleObject" Target="../embeddings/oleObject7.bin"/><Relationship Id="rId18" Type="http://schemas.openxmlformats.org/officeDocument/2006/relationships/image" Target="../media/image11.emf"/><Relationship Id="rId26" Type="http://schemas.openxmlformats.org/officeDocument/2006/relationships/ctrlProp" Target="../ctrlProps/ctrlProp14.xml"/><Relationship Id="rId3" Type="http://schemas.openxmlformats.org/officeDocument/2006/relationships/oleObject" Target="../embeddings/oleObject2.bin"/><Relationship Id="rId21" Type="http://schemas.openxmlformats.org/officeDocument/2006/relationships/ctrlProp" Target="../ctrlProps/ctrlProp9.xml"/><Relationship Id="rId7" Type="http://schemas.openxmlformats.org/officeDocument/2006/relationships/oleObject" Target="../embeddings/oleObject4.bin"/><Relationship Id="rId12" Type="http://schemas.openxmlformats.org/officeDocument/2006/relationships/image" Target="../media/image8.emf"/><Relationship Id="rId17" Type="http://schemas.openxmlformats.org/officeDocument/2006/relationships/oleObject" Target="../embeddings/oleObject9.bin"/><Relationship Id="rId25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0.emf"/><Relationship Id="rId20" Type="http://schemas.openxmlformats.org/officeDocument/2006/relationships/image" Target="../media/image12.emf"/><Relationship Id="rId29" Type="http://schemas.openxmlformats.org/officeDocument/2006/relationships/ctrlProp" Target="../ctrlProps/ctrlProp17.x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11" Type="http://schemas.openxmlformats.org/officeDocument/2006/relationships/oleObject" Target="../embeddings/oleObject6.bin"/><Relationship Id="rId24" Type="http://schemas.openxmlformats.org/officeDocument/2006/relationships/ctrlProp" Target="../ctrlProps/ctrlProp12.xml"/><Relationship Id="rId5" Type="http://schemas.openxmlformats.org/officeDocument/2006/relationships/oleObject" Target="../embeddings/oleObject3.bin"/><Relationship Id="rId15" Type="http://schemas.openxmlformats.org/officeDocument/2006/relationships/oleObject" Target="../embeddings/oleObject8.bin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10" Type="http://schemas.openxmlformats.org/officeDocument/2006/relationships/image" Target="../media/image7.emf"/><Relationship Id="rId19" Type="http://schemas.openxmlformats.org/officeDocument/2006/relationships/oleObject" Target="../embeddings/oleObject10.bin"/><Relationship Id="rId4" Type="http://schemas.openxmlformats.org/officeDocument/2006/relationships/image" Target="../media/image4.emf"/><Relationship Id="rId9" Type="http://schemas.openxmlformats.org/officeDocument/2006/relationships/oleObject" Target="../embeddings/oleObject5.bin"/><Relationship Id="rId14" Type="http://schemas.openxmlformats.org/officeDocument/2006/relationships/image" Target="../media/image9.emf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1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7.emf"/><Relationship Id="rId18" Type="http://schemas.openxmlformats.org/officeDocument/2006/relationships/ctrlProp" Target="../ctrlProps/ctrlProp24.xml"/><Relationship Id="rId3" Type="http://schemas.openxmlformats.org/officeDocument/2006/relationships/oleObject" Target="../embeddings/oleObject12.bin"/><Relationship Id="rId7" Type="http://schemas.openxmlformats.org/officeDocument/2006/relationships/oleObject" Target="../embeddings/oleObject14.bin"/><Relationship Id="rId12" Type="http://schemas.openxmlformats.org/officeDocument/2006/relationships/oleObject" Target="../embeddings/oleObject17.bin"/><Relationship Id="rId17" Type="http://schemas.openxmlformats.org/officeDocument/2006/relationships/image" Target="../media/image19.emf"/><Relationship Id="rId2" Type="http://schemas.openxmlformats.org/officeDocument/2006/relationships/vmlDrawing" Target="../drawings/vmlDrawing7.vml"/><Relationship Id="rId16" Type="http://schemas.openxmlformats.org/officeDocument/2006/relationships/oleObject" Target="../embeddings/oleObject19.bin"/><Relationship Id="rId1" Type="http://schemas.openxmlformats.org/officeDocument/2006/relationships/drawing" Target="../drawings/drawing7.xml"/><Relationship Id="rId6" Type="http://schemas.openxmlformats.org/officeDocument/2006/relationships/image" Target="../media/image14.emf"/><Relationship Id="rId11" Type="http://schemas.openxmlformats.org/officeDocument/2006/relationships/image" Target="../media/image16.emf"/><Relationship Id="rId5" Type="http://schemas.openxmlformats.org/officeDocument/2006/relationships/oleObject" Target="../embeddings/oleObject13.bin"/><Relationship Id="rId15" Type="http://schemas.openxmlformats.org/officeDocument/2006/relationships/image" Target="../media/image18.emf"/><Relationship Id="rId10" Type="http://schemas.openxmlformats.org/officeDocument/2006/relationships/oleObject" Target="../embeddings/oleObject16.bin"/><Relationship Id="rId4" Type="http://schemas.openxmlformats.org/officeDocument/2006/relationships/image" Target="../media/image13.emf"/><Relationship Id="rId9" Type="http://schemas.openxmlformats.org/officeDocument/2006/relationships/oleObject" Target="../embeddings/oleObject15.bin"/><Relationship Id="rId14" Type="http://schemas.openxmlformats.org/officeDocument/2006/relationships/oleObject" Target="../embeddings/oleObject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0.bin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oleObject" Target="../embeddings/oleObject21.bin"/><Relationship Id="rId7" Type="http://schemas.openxmlformats.org/officeDocument/2006/relationships/oleObject" Target="../embeddings/oleObject23.bin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21.emf"/><Relationship Id="rId5" Type="http://schemas.openxmlformats.org/officeDocument/2006/relationships/oleObject" Target="../embeddings/oleObject22.bin"/><Relationship Id="rId4" Type="http://schemas.openxmlformats.org/officeDocument/2006/relationships/image" Target="../media/image20.emf"/><Relationship Id="rId9" Type="http://schemas.openxmlformats.org/officeDocument/2006/relationships/ctrlProp" Target="../ctrlProps/ctrlProp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image" Target="../media/image6.emf"/><Relationship Id="rId4" Type="http://schemas.openxmlformats.org/officeDocument/2006/relationships/oleObject" Target="../embeddings/oleObject2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oleObject" Target="../embeddings/oleObject25.bin"/><Relationship Id="rId7" Type="http://schemas.openxmlformats.org/officeDocument/2006/relationships/oleObject" Target="../embeddings/oleObject27.bin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24.emf"/><Relationship Id="rId11" Type="http://schemas.openxmlformats.org/officeDocument/2006/relationships/ctrlProp" Target="../ctrlProps/ctrlProp36.xml"/><Relationship Id="rId5" Type="http://schemas.openxmlformats.org/officeDocument/2006/relationships/oleObject" Target="../embeddings/oleObject26.bin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oleObject" Target="../embeddings/oleObject2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9.bin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image" Target="../media/image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oleObject" Target="../embeddings/oleObject30.bin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28.emf"/><Relationship Id="rId5" Type="http://schemas.openxmlformats.org/officeDocument/2006/relationships/oleObject" Target="../embeddings/oleObject31.bin"/><Relationship Id="rId4" Type="http://schemas.openxmlformats.org/officeDocument/2006/relationships/image" Target="../media/image27.emf"/><Relationship Id="rId9" Type="http://schemas.openxmlformats.org/officeDocument/2006/relationships/ctrlProp" Target="../ctrlProps/ctrlProp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oleObject" Target="../embeddings/oleObject32.bin"/><Relationship Id="rId7" Type="http://schemas.openxmlformats.org/officeDocument/2006/relationships/oleObject" Target="../embeddings/oleObject34.bin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30.emf"/><Relationship Id="rId5" Type="http://schemas.openxmlformats.org/officeDocument/2006/relationships/oleObject" Target="../embeddings/oleObject33.bin"/><Relationship Id="rId4" Type="http://schemas.openxmlformats.org/officeDocument/2006/relationships/image" Target="../media/image29.emf"/><Relationship Id="rId9" Type="http://schemas.openxmlformats.org/officeDocument/2006/relationships/ctrlProp" Target="../ctrlProps/ctrlProp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7.bin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4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36.bin"/><Relationship Id="rId5" Type="http://schemas.openxmlformats.org/officeDocument/2006/relationships/image" Target="../media/image33.emf"/><Relationship Id="rId10" Type="http://schemas.openxmlformats.org/officeDocument/2006/relationships/ctrlProp" Target="../ctrlProps/ctrlProp55.xml"/><Relationship Id="rId4" Type="http://schemas.openxmlformats.org/officeDocument/2006/relationships/oleObject" Target="../embeddings/oleObject35.bin"/><Relationship Id="rId9" Type="http://schemas.openxmlformats.org/officeDocument/2006/relationships/image" Target="../media/image35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8.bin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image" Target="../media/image8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oleObject" Target="../embeddings/oleObject39.bin"/><Relationship Id="rId7" Type="http://schemas.openxmlformats.org/officeDocument/2006/relationships/oleObject" Target="../embeddings/oleObject41.bin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37.emf"/><Relationship Id="rId11" Type="http://schemas.openxmlformats.org/officeDocument/2006/relationships/ctrlProp" Target="../ctrlProps/ctrlProp61.xml"/><Relationship Id="rId5" Type="http://schemas.openxmlformats.org/officeDocument/2006/relationships/oleObject" Target="../embeddings/oleObject40.bin"/><Relationship Id="rId10" Type="http://schemas.openxmlformats.org/officeDocument/2006/relationships/image" Target="../media/image26.emf"/><Relationship Id="rId4" Type="http://schemas.openxmlformats.org/officeDocument/2006/relationships/image" Target="../media/image36.emf"/><Relationship Id="rId9" Type="http://schemas.openxmlformats.org/officeDocument/2006/relationships/oleObject" Target="../embeddings/oleObject4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43.bin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image" Target="../media/image9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oleObject" Target="../embeddings/oleObject44.bin"/><Relationship Id="rId7" Type="http://schemas.openxmlformats.org/officeDocument/2006/relationships/ctrlProp" Target="../ctrlProps/ctrlProp6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40.emf"/><Relationship Id="rId5" Type="http://schemas.openxmlformats.org/officeDocument/2006/relationships/oleObject" Target="../embeddings/oleObject45.bin"/><Relationship Id="rId4" Type="http://schemas.openxmlformats.org/officeDocument/2006/relationships/image" Target="../media/image39.emf"/><Relationship Id="rId9" Type="http://schemas.openxmlformats.org/officeDocument/2006/relationships/ctrlProp" Target="../ctrlProps/ctrlProp6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oleObject" Target="../embeddings/oleObject46.bin"/><Relationship Id="rId7" Type="http://schemas.openxmlformats.org/officeDocument/2006/relationships/oleObject" Target="../embeddings/oleObject48.bin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41.emf"/><Relationship Id="rId11" Type="http://schemas.openxmlformats.org/officeDocument/2006/relationships/ctrlProp" Target="../ctrlProps/ctrlProp73.xml"/><Relationship Id="rId5" Type="http://schemas.openxmlformats.org/officeDocument/2006/relationships/oleObject" Target="../embeddings/oleObject47.bin"/><Relationship Id="rId10" Type="http://schemas.openxmlformats.org/officeDocument/2006/relationships/image" Target="../media/image43.emf"/><Relationship Id="rId4" Type="http://schemas.openxmlformats.org/officeDocument/2006/relationships/image" Target="../media/image22.emf"/><Relationship Id="rId9" Type="http://schemas.openxmlformats.org/officeDocument/2006/relationships/oleObject" Target="../embeddings/oleObject4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oleObject" Target="../embeddings/oleObject50.bin"/><Relationship Id="rId7" Type="http://schemas.openxmlformats.org/officeDocument/2006/relationships/oleObject" Target="../embeddings/oleObject52.bin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45.emf"/><Relationship Id="rId11" Type="http://schemas.openxmlformats.org/officeDocument/2006/relationships/ctrlProp" Target="../ctrlProps/ctrlProp80.xml"/><Relationship Id="rId5" Type="http://schemas.openxmlformats.org/officeDocument/2006/relationships/oleObject" Target="../embeddings/oleObject51.bin"/><Relationship Id="rId10" Type="http://schemas.openxmlformats.org/officeDocument/2006/relationships/image" Target="../media/image42.emf"/><Relationship Id="rId4" Type="http://schemas.openxmlformats.org/officeDocument/2006/relationships/image" Target="../media/image44.emf"/><Relationship Id="rId9" Type="http://schemas.openxmlformats.org/officeDocument/2006/relationships/oleObject" Target="../embeddings/oleObject53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1.xml"/><Relationship Id="rId5" Type="http://schemas.openxmlformats.org/officeDocument/2006/relationships/image" Target="../media/image46.emf"/><Relationship Id="rId4" Type="http://schemas.openxmlformats.org/officeDocument/2006/relationships/oleObject" Target="../embeddings/oleObject54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7" Type="http://schemas.openxmlformats.org/officeDocument/2006/relationships/ctrlProp" Target="../ctrlProps/ctrlProp91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oleObject" Target="../embeddings/oleObject55.bin"/><Relationship Id="rId7" Type="http://schemas.openxmlformats.org/officeDocument/2006/relationships/oleObject" Target="../embeddings/oleObject57.bin"/><Relationship Id="rId12" Type="http://schemas.openxmlformats.org/officeDocument/2006/relationships/ctrlProp" Target="../ctrlProps/ctrlProp9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6" Type="http://schemas.openxmlformats.org/officeDocument/2006/relationships/image" Target="../media/image48.emf"/><Relationship Id="rId11" Type="http://schemas.openxmlformats.org/officeDocument/2006/relationships/oleObject" Target="../embeddings/oleObject59.bin"/><Relationship Id="rId5" Type="http://schemas.openxmlformats.org/officeDocument/2006/relationships/oleObject" Target="../embeddings/oleObject56.bin"/><Relationship Id="rId10" Type="http://schemas.openxmlformats.org/officeDocument/2006/relationships/image" Target="../media/image34.emf"/><Relationship Id="rId4" Type="http://schemas.openxmlformats.org/officeDocument/2006/relationships/image" Target="../media/image47.emf"/><Relationship Id="rId9" Type="http://schemas.openxmlformats.org/officeDocument/2006/relationships/oleObject" Target="../embeddings/oleObject58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60.bin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image" Target="../media/image11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oleObject" Target="../embeddings/oleObject61.bin"/><Relationship Id="rId7" Type="http://schemas.openxmlformats.org/officeDocument/2006/relationships/oleObject" Target="../embeddings/oleObject63.bin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6" Type="http://schemas.openxmlformats.org/officeDocument/2006/relationships/image" Target="../media/image51.emf"/><Relationship Id="rId11" Type="http://schemas.openxmlformats.org/officeDocument/2006/relationships/ctrlProp" Target="../ctrlProps/ctrlProp97.xml"/><Relationship Id="rId5" Type="http://schemas.openxmlformats.org/officeDocument/2006/relationships/oleObject" Target="../embeddings/oleObject62.bin"/><Relationship Id="rId10" Type="http://schemas.openxmlformats.org/officeDocument/2006/relationships/ctrlProp" Target="../ctrlProps/ctrlProp96.xml"/><Relationship Id="rId4" Type="http://schemas.openxmlformats.org/officeDocument/2006/relationships/image" Target="../media/image40.emf"/><Relationship Id="rId9" Type="http://schemas.openxmlformats.org/officeDocument/2006/relationships/ctrlProp" Target="../ctrlProps/ctrlProp9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8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7" Type="http://schemas.openxmlformats.org/officeDocument/2006/relationships/ctrlProp" Target="../ctrlProps/ctrlProp105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7.bin"/><Relationship Id="rId3" Type="http://schemas.openxmlformats.org/officeDocument/2006/relationships/oleObject" Target="../embeddings/oleObject64.bin"/><Relationship Id="rId7" Type="http://schemas.openxmlformats.org/officeDocument/2006/relationships/image" Target="../media/image53.emf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6" Type="http://schemas.openxmlformats.org/officeDocument/2006/relationships/oleObject" Target="../embeddings/oleObject66.bin"/><Relationship Id="rId5" Type="http://schemas.openxmlformats.org/officeDocument/2006/relationships/oleObject" Target="../embeddings/oleObject65.bin"/><Relationship Id="rId10" Type="http://schemas.openxmlformats.org/officeDocument/2006/relationships/ctrlProp" Target="../ctrlProps/ctrlProp106.xml"/><Relationship Id="rId4" Type="http://schemas.openxmlformats.org/officeDocument/2006/relationships/image" Target="../media/image34.emf"/><Relationship Id="rId9" Type="http://schemas.openxmlformats.org/officeDocument/2006/relationships/image" Target="../media/image54.emf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.xml"/><Relationship Id="rId3" Type="http://schemas.openxmlformats.org/officeDocument/2006/relationships/ctrlProp" Target="../ctrlProps/ctrlProp110.xml"/><Relationship Id="rId7" Type="http://schemas.openxmlformats.org/officeDocument/2006/relationships/ctrlProp" Target="../ctrlProps/ctrlProp114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10" Type="http://schemas.openxmlformats.org/officeDocument/2006/relationships/ctrlProp" Target="../ctrlProps/ctrlProp117.xml"/><Relationship Id="rId4" Type="http://schemas.openxmlformats.org/officeDocument/2006/relationships/ctrlProp" Target="../ctrlProps/ctrlProp111.xml"/><Relationship Id="rId9" Type="http://schemas.openxmlformats.org/officeDocument/2006/relationships/ctrlProp" Target="../ctrlProps/ctrlProp116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0.bin"/><Relationship Id="rId3" Type="http://schemas.openxmlformats.org/officeDocument/2006/relationships/vmlDrawing" Target="../drawings/vmlDrawing44.vml"/><Relationship Id="rId7" Type="http://schemas.openxmlformats.org/officeDocument/2006/relationships/image" Target="../media/image56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oleObject69.bin"/><Relationship Id="rId11" Type="http://schemas.openxmlformats.org/officeDocument/2006/relationships/ctrlProp" Target="../ctrlProps/ctrlProp118.xml"/><Relationship Id="rId5" Type="http://schemas.openxmlformats.org/officeDocument/2006/relationships/image" Target="../media/image55.emf"/><Relationship Id="rId10" Type="http://schemas.openxmlformats.org/officeDocument/2006/relationships/oleObject" Target="../embeddings/oleObject71.bin"/><Relationship Id="rId4" Type="http://schemas.openxmlformats.org/officeDocument/2006/relationships/oleObject" Target="../embeddings/oleObject68.bin"/><Relationship Id="rId9" Type="http://schemas.openxmlformats.org/officeDocument/2006/relationships/image" Target="../media/image34.emf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72.bin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120.xml"/><Relationship Id="rId5" Type="http://schemas.openxmlformats.org/officeDocument/2006/relationships/ctrlProp" Target="../ctrlProps/ctrlProp119.xml"/><Relationship Id="rId4" Type="http://schemas.openxmlformats.org/officeDocument/2006/relationships/image" Target="../media/image12.emf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124.xml"/><Relationship Id="rId5" Type="http://schemas.openxmlformats.org/officeDocument/2006/relationships/ctrlProp" Target="../ctrlProps/ctrlProp123.xml"/><Relationship Id="rId4" Type="http://schemas.openxmlformats.org/officeDocument/2006/relationships/ctrlProp" Target="../ctrlProps/ctrlProp12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5.xml"/><Relationship Id="rId7" Type="http://schemas.openxmlformats.org/officeDocument/2006/relationships/ctrlProp" Target="../ctrlProps/ctrlProp129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128.xml"/><Relationship Id="rId5" Type="http://schemas.openxmlformats.org/officeDocument/2006/relationships/ctrlProp" Target="../ctrlProps/ctrlProp127.xml"/><Relationship Id="rId4" Type="http://schemas.openxmlformats.org/officeDocument/2006/relationships/ctrlProp" Target="../ctrlProps/ctrlProp126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oleObject" Target="../embeddings/oleObject73.bin"/><Relationship Id="rId7" Type="http://schemas.openxmlformats.org/officeDocument/2006/relationships/oleObject" Target="../embeddings/oleObject75.bin"/><Relationship Id="rId12" Type="http://schemas.openxmlformats.org/officeDocument/2006/relationships/ctrlProp" Target="../ctrlProps/ctrlProp130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6" Type="http://schemas.openxmlformats.org/officeDocument/2006/relationships/image" Target="../media/image58.emf"/><Relationship Id="rId11" Type="http://schemas.openxmlformats.org/officeDocument/2006/relationships/oleObject" Target="../embeddings/oleObject77.bin"/><Relationship Id="rId5" Type="http://schemas.openxmlformats.org/officeDocument/2006/relationships/oleObject" Target="../embeddings/oleObject74.bin"/><Relationship Id="rId10" Type="http://schemas.openxmlformats.org/officeDocument/2006/relationships/image" Target="../media/image42.emf"/><Relationship Id="rId4" Type="http://schemas.openxmlformats.org/officeDocument/2006/relationships/image" Target="../media/image57.emf"/><Relationship Id="rId9" Type="http://schemas.openxmlformats.org/officeDocument/2006/relationships/oleObject" Target="../embeddings/oleObject7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R31"/>
  <sheetViews>
    <sheetView showGridLines="0" showRowColHeaders="0" zoomScale="85" zoomScaleNormal="85" workbookViewId="0">
      <selection activeCell="J21" sqref="J21:N21"/>
    </sheetView>
  </sheetViews>
  <sheetFormatPr defaultRowHeight="15" x14ac:dyDescent="0.25"/>
  <sheetData>
    <row r="2" spans="7:18" ht="15" customHeight="1" x14ac:dyDescent="0.25">
      <c r="G2" s="401" t="s">
        <v>285</v>
      </c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306"/>
    </row>
    <row r="3" spans="7:18" ht="15" customHeight="1" x14ac:dyDescent="0.25"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306"/>
    </row>
    <row r="4" spans="7:18" ht="15" customHeight="1" x14ac:dyDescent="0.25"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306"/>
    </row>
    <row r="5" spans="7:18" ht="15" customHeight="1" x14ac:dyDescent="0.25"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306"/>
    </row>
    <row r="6" spans="7:18" ht="15" customHeight="1" x14ac:dyDescent="0.25">
      <c r="G6" s="401"/>
      <c r="H6" s="401"/>
      <c r="I6" s="401"/>
      <c r="J6" s="401"/>
      <c r="K6" s="401"/>
      <c r="L6" s="401"/>
      <c r="M6" s="401"/>
      <c r="N6" s="401"/>
      <c r="O6" s="401"/>
      <c r="P6" s="401"/>
      <c r="Q6" s="401"/>
      <c r="R6" s="306"/>
    </row>
    <row r="7" spans="7:18" ht="15" customHeight="1" x14ac:dyDescent="0.25"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306"/>
    </row>
    <row r="8" spans="7:18" ht="15" customHeight="1" x14ac:dyDescent="0.25"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306"/>
    </row>
    <row r="9" spans="7:18" ht="15" customHeight="1" x14ac:dyDescent="0.25"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306"/>
    </row>
    <row r="12" spans="7:18" ht="15.75" x14ac:dyDescent="0.25">
      <c r="O12" s="308"/>
      <c r="P12" s="308"/>
      <c r="Q12" s="308"/>
    </row>
    <row r="13" spans="7:18" ht="18.75" x14ac:dyDescent="0.3">
      <c r="J13" s="402" t="s">
        <v>293</v>
      </c>
      <c r="K13" s="402"/>
      <c r="L13" s="402"/>
      <c r="M13" s="402"/>
      <c r="N13" s="402"/>
      <c r="O13" s="31"/>
      <c r="P13" s="31"/>
      <c r="Q13" s="31"/>
    </row>
    <row r="15" spans="7:18" ht="15.75" x14ac:dyDescent="0.25">
      <c r="L15" s="308" t="s">
        <v>286</v>
      </c>
      <c r="M15" s="308"/>
      <c r="N15" s="308"/>
      <c r="O15" s="308"/>
      <c r="P15" s="308"/>
      <c r="Q15" s="308"/>
    </row>
    <row r="16" spans="7:18" ht="15" customHeight="1" x14ac:dyDescent="0.25">
      <c r="H16" s="307"/>
      <c r="I16" s="307"/>
      <c r="J16" s="399" t="s">
        <v>290</v>
      </c>
      <c r="K16" s="399"/>
      <c r="L16" s="399"/>
      <c r="M16" s="399"/>
      <c r="N16" s="399"/>
      <c r="O16" s="309"/>
      <c r="P16" s="309"/>
      <c r="Q16" s="309"/>
    </row>
    <row r="17" spans="2:18" ht="15" customHeight="1" x14ac:dyDescent="0.25">
      <c r="H17" s="307"/>
      <c r="I17" s="307"/>
    </row>
    <row r="18" spans="2:18" ht="15.75" x14ac:dyDescent="0.25">
      <c r="J18" s="403" t="s">
        <v>287</v>
      </c>
      <c r="K18" s="403"/>
      <c r="L18" s="403"/>
      <c r="M18" s="403"/>
      <c r="N18" s="403"/>
      <c r="O18" s="310"/>
      <c r="P18" s="310"/>
      <c r="Q18" s="310"/>
    </row>
    <row r="19" spans="2:18" x14ac:dyDescent="0.25">
      <c r="J19" s="399" t="s">
        <v>291</v>
      </c>
      <c r="K19" s="399"/>
      <c r="L19" s="399"/>
      <c r="M19" s="399"/>
      <c r="N19" s="399"/>
      <c r="R19" s="305"/>
    </row>
    <row r="20" spans="2:18" ht="15.75" customHeight="1" x14ac:dyDescent="0.25"/>
    <row r="21" spans="2:18" ht="15.75" customHeight="1" x14ac:dyDescent="0.25">
      <c r="J21" s="403" t="s">
        <v>288</v>
      </c>
      <c r="K21" s="403"/>
      <c r="L21" s="403"/>
      <c r="M21" s="403"/>
      <c r="N21" s="403"/>
      <c r="O21" s="265"/>
      <c r="P21" s="265"/>
    </row>
    <row r="22" spans="2:18" x14ac:dyDescent="0.25">
      <c r="J22" s="399" t="s">
        <v>292</v>
      </c>
      <c r="K22" s="399"/>
      <c r="L22" s="399"/>
      <c r="M22" s="399"/>
      <c r="N22" s="399"/>
    </row>
    <row r="24" spans="2:18" ht="15.75" customHeight="1" x14ac:dyDescent="0.3">
      <c r="J24" s="402" t="s">
        <v>361</v>
      </c>
      <c r="K24" s="402"/>
      <c r="L24" s="402"/>
      <c r="M24" s="402"/>
      <c r="N24" s="402"/>
    </row>
    <row r="25" spans="2:18" ht="15" customHeight="1" x14ac:dyDescent="0.25">
      <c r="H25" s="307"/>
      <c r="I25" s="307"/>
    </row>
    <row r="26" spans="2:18" ht="15" customHeight="1" x14ac:dyDescent="0.25">
      <c r="H26" s="307"/>
      <c r="I26" s="307"/>
      <c r="J26" s="400" t="s">
        <v>289</v>
      </c>
      <c r="K26" s="400"/>
      <c r="L26" s="400"/>
      <c r="M26" s="400"/>
      <c r="N26" s="400"/>
    </row>
    <row r="27" spans="2:18" ht="18.75" customHeight="1" x14ac:dyDescent="0.25">
      <c r="J27" s="399" t="s">
        <v>294</v>
      </c>
      <c r="K27" s="399"/>
      <c r="L27" s="399"/>
      <c r="M27" s="399"/>
      <c r="N27" s="399"/>
    </row>
    <row r="28" spans="2:18" ht="7.5" customHeight="1" x14ac:dyDescent="0.25"/>
    <row r="30" spans="2:18" x14ac:dyDescent="0.25">
      <c r="B30" s="251"/>
      <c r="C30" s="251"/>
      <c r="D30" s="251"/>
      <c r="E30" s="251"/>
      <c r="F30" s="251"/>
    </row>
    <row r="31" spans="2:18" x14ac:dyDescent="0.25">
      <c r="B31" s="251"/>
      <c r="C31" s="251"/>
      <c r="D31" s="251"/>
      <c r="E31" s="251"/>
      <c r="F31" s="251"/>
    </row>
  </sheetData>
  <mergeCells count="10">
    <mergeCell ref="J27:N27"/>
    <mergeCell ref="J26:N26"/>
    <mergeCell ref="G2:Q9"/>
    <mergeCell ref="J22:N22"/>
    <mergeCell ref="J13:N13"/>
    <mergeCell ref="J24:N24"/>
    <mergeCell ref="J16:N16"/>
    <mergeCell ref="J19:N19"/>
    <mergeCell ref="J21:N21"/>
    <mergeCell ref="J18:N18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DQWDWED">
                <anchor moveWithCells="1" sizeWithCells="1">
                  <from>
                    <xdr:col>9</xdr:col>
                    <xdr:colOff>361950</xdr:colOff>
                    <xdr:row>28</xdr:row>
                    <xdr:rowOff>47625</xdr:rowOff>
                  </from>
                  <to>
                    <xdr:col>13</xdr:col>
                    <xdr:colOff>228600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226"/>
  <sheetViews>
    <sheetView showGridLines="0" showRowColHeaders="0" zoomScale="90" zoomScaleNormal="90" workbookViewId="0">
      <selection activeCell="P34" sqref="P34"/>
    </sheetView>
  </sheetViews>
  <sheetFormatPr defaultRowHeight="15" x14ac:dyDescent="0.25"/>
  <cols>
    <col min="1" max="1" width="2.7109375" customWidth="1"/>
    <col min="5" max="5" width="2.7109375" customWidth="1"/>
    <col min="6" max="6" width="18" customWidth="1"/>
    <col min="7" max="7" width="20.140625" customWidth="1"/>
    <col min="8" max="8" width="24" bestFit="1" customWidth="1"/>
    <col min="9" max="9" width="2.5703125" customWidth="1"/>
    <col min="10" max="10" width="19" customWidth="1"/>
    <col min="11" max="11" width="27.42578125" style="2" customWidth="1"/>
    <col min="12" max="12" width="20.28515625" style="2" customWidth="1"/>
    <col min="13" max="13" width="2.5703125" style="2" customWidth="1"/>
    <col min="14" max="14" width="15.85546875" style="1" customWidth="1"/>
    <col min="15" max="15" width="13.5703125" style="2" customWidth="1"/>
    <col min="16" max="16" width="18.7109375" style="2" customWidth="1"/>
  </cols>
  <sheetData>
    <row r="1" spans="2:16" ht="15.75" thickBot="1" x14ac:dyDescent="0.3"/>
    <row r="2" spans="2:16" ht="21" customHeight="1" thickBot="1" x14ac:dyDescent="0.3">
      <c r="B2" s="425" t="s">
        <v>49</v>
      </c>
      <c r="C2" s="426"/>
      <c r="D2" s="427"/>
      <c r="F2" s="431" t="s">
        <v>52</v>
      </c>
      <c r="G2" s="432"/>
      <c r="H2" s="433"/>
      <c r="J2" s="419" t="s">
        <v>3</v>
      </c>
      <c r="K2" s="420"/>
      <c r="L2" s="421"/>
      <c r="N2" s="416" t="s">
        <v>20</v>
      </c>
      <c r="O2" s="417"/>
      <c r="P2" s="418"/>
    </row>
    <row r="3" spans="2:16" ht="15.75" customHeight="1" thickBot="1" x14ac:dyDescent="0.3">
      <c r="B3" s="428"/>
      <c r="C3" s="429"/>
      <c r="D3" s="430"/>
      <c r="F3" s="434"/>
      <c r="G3" s="435"/>
      <c r="H3" s="436"/>
      <c r="J3" s="11" t="s">
        <v>17</v>
      </c>
      <c r="K3" s="12" t="s">
        <v>18</v>
      </c>
      <c r="L3" s="13" t="s">
        <v>19</v>
      </c>
      <c r="N3" s="14" t="s">
        <v>17</v>
      </c>
      <c r="O3" s="12" t="s">
        <v>18</v>
      </c>
      <c r="P3" s="13" t="s">
        <v>19</v>
      </c>
    </row>
    <row r="4" spans="2:16" ht="15" customHeight="1" thickBot="1" x14ac:dyDescent="0.3">
      <c r="J4" s="422" t="s">
        <v>377</v>
      </c>
      <c r="K4" s="3" t="s">
        <v>0</v>
      </c>
      <c r="L4" s="4">
        <v>300</v>
      </c>
      <c r="N4" s="422" t="s">
        <v>378</v>
      </c>
      <c r="O4" s="3" t="s">
        <v>13</v>
      </c>
      <c r="P4" s="4">
        <v>200</v>
      </c>
    </row>
    <row r="5" spans="2:16" ht="15" customHeight="1" thickBot="1" x14ac:dyDescent="0.3">
      <c r="F5" s="410" t="s">
        <v>43</v>
      </c>
      <c r="G5" s="437"/>
      <c r="H5" s="439" t="str">
        <f>IF(A200=1,"Pré-Moldada",IF(A200=2,A202))</f>
        <v>Pré-Moldada</v>
      </c>
      <c r="J5" s="423"/>
      <c r="K5" s="5" t="s">
        <v>1</v>
      </c>
      <c r="L5" s="6">
        <v>500</v>
      </c>
      <c r="N5" s="423"/>
      <c r="O5" s="9" t="s">
        <v>22</v>
      </c>
      <c r="P5" s="6">
        <v>300</v>
      </c>
    </row>
    <row r="6" spans="2:16" ht="15.75" customHeight="1" thickBot="1" x14ac:dyDescent="0.3">
      <c r="B6" s="425" t="s">
        <v>50</v>
      </c>
      <c r="C6" s="426"/>
      <c r="D6" s="427"/>
      <c r="F6" s="412"/>
      <c r="G6" s="438"/>
      <c r="H6" s="440"/>
      <c r="J6" s="424"/>
      <c r="K6" s="7" t="s">
        <v>2</v>
      </c>
      <c r="L6" s="8">
        <v>700</v>
      </c>
      <c r="N6" s="423"/>
      <c r="O6" s="9" t="s">
        <v>7</v>
      </c>
      <c r="P6" s="6">
        <v>450</v>
      </c>
    </row>
    <row r="7" spans="2:16" ht="15" customHeight="1" thickBot="1" x14ac:dyDescent="0.3">
      <c r="B7" s="428"/>
      <c r="C7" s="429"/>
      <c r="D7" s="430"/>
      <c r="F7" s="410" t="s">
        <v>44</v>
      </c>
      <c r="G7" s="437"/>
      <c r="H7" s="439" t="str">
        <f>IF(A204=1,A205,IF(A204=2,A206,IF(A204=3,A207,IF(A204=4,A208,IF(A204=5,A209,IF(A204=6,A210,IF(A204=7,A211)))))))</f>
        <v>Centrifugada Concreto</v>
      </c>
      <c r="J7" s="422" t="s">
        <v>379</v>
      </c>
      <c r="K7" s="3" t="s">
        <v>4</v>
      </c>
      <c r="L7" s="4">
        <v>250</v>
      </c>
      <c r="N7" s="423"/>
      <c r="O7" s="9" t="s">
        <v>8</v>
      </c>
      <c r="P7" s="6">
        <v>550</v>
      </c>
    </row>
    <row r="8" spans="2:16" ht="15.75" thickBot="1" x14ac:dyDescent="0.3">
      <c r="F8" s="412"/>
      <c r="G8" s="438"/>
      <c r="H8" s="440"/>
      <c r="J8" s="423"/>
      <c r="K8" s="9" t="s">
        <v>5</v>
      </c>
      <c r="L8" s="6">
        <v>300</v>
      </c>
      <c r="N8" s="424"/>
      <c r="O8" s="10" t="s">
        <v>23</v>
      </c>
      <c r="P8" s="8">
        <v>650</v>
      </c>
    </row>
    <row r="9" spans="2:16" ht="15" customHeight="1" thickBot="1" x14ac:dyDescent="0.3">
      <c r="F9" s="410" t="s">
        <v>53</v>
      </c>
      <c r="G9" s="437"/>
      <c r="H9" s="439">
        <f>IF(A215=1,A216,IF(A215=2,A217,IF(A215=3,A218,IF(A215=4,A219,IF(A215=5,A220,IF(A215=6,A221,IF(A215=7,A222,IF(A215=8,A223,IF(A215=9,A224)))))))))</f>
        <v>23</v>
      </c>
      <c r="J9" s="423"/>
      <c r="K9" s="9" t="s">
        <v>6</v>
      </c>
      <c r="L9" s="6">
        <v>400</v>
      </c>
      <c r="N9" s="422" t="s">
        <v>380</v>
      </c>
      <c r="O9" s="3" t="s">
        <v>13</v>
      </c>
      <c r="P9" s="4">
        <v>200</v>
      </c>
    </row>
    <row r="10" spans="2:16" ht="15.75" thickBot="1" x14ac:dyDescent="0.3">
      <c r="B10" s="425" t="s">
        <v>51</v>
      </c>
      <c r="C10" s="426"/>
      <c r="D10" s="427"/>
      <c r="F10" s="412"/>
      <c r="G10" s="438"/>
      <c r="H10" s="440"/>
      <c r="J10" s="423"/>
      <c r="K10" s="9" t="s">
        <v>2</v>
      </c>
      <c r="L10" s="6">
        <v>600</v>
      </c>
      <c r="N10" s="423"/>
      <c r="O10" s="9" t="s">
        <v>14</v>
      </c>
      <c r="P10" s="6">
        <v>300</v>
      </c>
    </row>
    <row r="11" spans="2:16" ht="15.75" thickBot="1" x14ac:dyDescent="0.3">
      <c r="B11" s="428"/>
      <c r="C11" s="429"/>
      <c r="D11" s="430"/>
      <c r="F11" s="410" t="s">
        <v>55</v>
      </c>
      <c r="G11" s="437"/>
      <c r="H11" s="439">
        <f>IF(AND(H7="Vibrada Concreto",H9=22),300,IF(AND(H7="Vibrada Concreto",H9=29),500,IF(AND(H7="Vibrada Concreto",H9=33),700,IF(AND(H7="Centrifugada Concreto",H9=20),250,IF(AND(H7="Centrifugada Concreto",H9=23),300,IF(AND(H7="Centrifugada Concreto",H9=26),400,IF(AND(H7="Centrifugada Concreto",H9=33),600,IF(AND(H7="Centrifugada Concreto",H9=38),750,IF(AND(H7="Centrifugada Concreto",H9=42),900,IF(AND(H7="Centrifugada Concreto",H9=50),1300,IF(AND(H7="Centrifugada Concreto",H9=60),1700,IF(AND(H7="Centrifugada Concreto",H9=70),2300,IF(AND(H7="Madeira",H9=20),150,IF(AND(H7="Madeira",H9=25),200,IF(AND(H7="Madeira",H9=30),300,IF(AND(H7="Madeira",H9=35),400,IF(AND(H7="Madeira",H9=40),500,IF(AND(H7="Strauss",H9=25),200,IF(AND(H7="Strauss",H9=32),300,IF(AND(H7="Strauss",H9=38),450,IF(AND(H7="Strauss",H9=42),550,IF(AND(H7="Strauss",H9=45),650,IF(AND(H7="Escavada",H9=25),200,IF(AND(H7="Escavada",H9=30),300,IF(AND(H7="Escavada",H9=35),400,IF(AND(H7="Escavada",H9=40),500,IF(AND(H7="Escavada",H9=45),650,IF(AND(H7="Escavada",H9=50),800,IF(AND(H7="Estacão",H9=60),1100,IF(AND(H7="Estacão",H9=80),2000,IF(AND(H7="Estacão",H9=100),3000,IF(AND(H7="Estacão",H9=120),4500,IF(AND(H7="Estacão",H9=140),6000,IF(AND(H7="Estacão",H9=160),8000,IF(AND(H7="Estacão",H9=180),10000,IF(AND(H7="Estacão",H9=200),12500,IF(AND(H7="Apiloada",H9=20),120,IF(AND(H7="Apiloada",H9=25),200,IF(AND(H7="Franki",H9=35),600,IF(AND(H7="Franki",H9=40),750,IF(AND(H7="Franki",H9=45),950,IF(AND(H7="Franki",H9=52),1300,IF(AND(H7="Franki",H9=60),1700,IF(AND(H7="Raiz",H9=10),100,IF(AND(H7="Raiz",H9=12),100,IF(AND(H7="Raiz",H9=15),150,IF(AND(H7="Raiz",H9=20),250,IF(AND(H7="Raiz",H9=25),400,IF(AND(H7="Raiz",H9=31),600,IF(AND(H7="Hélice Contínua",H9=27.5),250,IF(AND(H7="Hélice Contínua",H9=35),400,IF(AND(H7="Hélice Contínua",H9=40),500,IF(AND(H7="Hélice Contínua",H9=50),800,IF(AND(H7="Hélice Contínua",H9=60),1100,IF(AND(H7="Hélice Contínua",H9=70),1550,IF(AND(H7="Hélice Contínua",H9=80),2000,IF(AND(H7="Hélice Contínua",H9=90),2550,IF(AND(H7="Hélice Contínua",H9=100),3150))))))))))))))))))))))))))))))))))))))))))))))))))))))))))</f>
        <v>300</v>
      </c>
      <c r="J11" s="423"/>
      <c r="K11" s="9" t="s">
        <v>7</v>
      </c>
      <c r="L11" s="6">
        <v>750</v>
      </c>
      <c r="N11" s="423"/>
      <c r="O11" s="9" t="s">
        <v>15</v>
      </c>
      <c r="P11" s="6">
        <v>400</v>
      </c>
    </row>
    <row r="12" spans="2:16" ht="15.75" thickBot="1" x14ac:dyDescent="0.3">
      <c r="F12" s="412"/>
      <c r="G12" s="438"/>
      <c r="H12" s="440"/>
      <c r="J12" s="423"/>
      <c r="K12" s="9" t="s">
        <v>8</v>
      </c>
      <c r="L12" s="6">
        <v>900</v>
      </c>
      <c r="N12" s="423"/>
      <c r="O12" s="9" t="s">
        <v>16</v>
      </c>
      <c r="P12" s="6">
        <v>500</v>
      </c>
    </row>
    <row r="13" spans="2:16" ht="15.75" customHeight="1" x14ac:dyDescent="0.25">
      <c r="J13" s="423"/>
      <c r="K13" s="9" t="s">
        <v>9</v>
      </c>
      <c r="L13" s="6">
        <v>1300</v>
      </c>
      <c r="N13" s="423"/>
      <c r="O13" s="9" t="s">
        <v>23</v>
      </c>
      <c r="P13" s="6">
        <v>650</v>
      </c>
    </row>
    <row r="14" spans="2:16" ht="15" customHeight="1" thickBot="1" x14ac:dyDescent="0.3">
      <c r="J14" s="423"/>
      <c r="K14" s="9" t="s">
        <v>10</v>
      </c>
      <c r="L14" s="6">
        <v>1700</v>
      </c>
      <c r="N14" s="424"/>
      <c r="O14" s="10" t="s">
        <v>9</v>
      </c>
      <c r="P14" s="8">
        <v>800</v>
      </c>
    </row>
    <row r="15" spans="2:16" ht="15" customHeight="1" thickBot="1" x14ac:dyDescent="0.3">
      <c r="F15" s="404" t="s">
        <v>54</v>
      </c>
      <c r="G15" s="405"/>
      <c r="H15" s="406"/>
      <c r="J15" s="424"/>
      <c r="K15" s="10" t="s">
        <v>11</v>
      </c>
      <c r="L15" s="8">
        <v>2300</v>
      </c>
      <c r="N15" s="422" t="s">
        <v>381</v>
      </c>
      <c r="O15" s="3" t="s">
        <v>10</v>
      </c>
      <c r="P15" s="4">
        <v>1100</v>
      </c>
    </row>
    <row r="16" spans="2:16" ht="15.75" thickBot="1" x14ac:dyDescent="0.3">
      <c r="F16" s="407"/>
      <c r="G16" s="408"/>
      <c r="H16" s="409"/>
      <c r="J16" s="422" t="s">
        <v>382</v>
      </c>
      <c r="K16" s="3" t="s">
        <v>4</v>
      </c>
      <c r="L16" s="4">
        <v>150</v>
      </c>
      <c r="N16" s="423"/>
      <c r="O16" s="9" t="s">
        <v>25</v>
      </c>
      <c r="P16" s="6">
        <v>2000</v>
      </c>
    </row>
    <row r="17" spans="6:16" ht="15" customHeight="1" thickBot="1" x14ac:dyDescent="0.3">
      <c r="J17" s="423"/>
      <c r="K17" s="9" t="s">
        <v>13</v>
      </c>
      <c r="L17" s="6">
        <v>200</v>
      </c>
      <c r="N17" s="423"/>
      <c r="O17" s="9" t="s">
        <v>26</v>
      </c>
      <c r="P17" s="6">
        <v>3000</v>
      </c>
    </row>
    <row r="18" spans="6:16" ht="15.75" customHeight="1" x14ac:dyDescent="0.25">
      <c r="F18" s="410" t="s">
        <v>97</v>
      </c>
      <c r="G18" s="411"/>
      <c r="H18" s="414">
        <v>670</v>
      </c>
      <c r="J18" s="423"/>
      <c r="K18" s="9" t="s">
        <v>14</v>
      </c>
      <c r="L18" s="6">
        <v>300</v>
      </c>
      <c r="N18" s="423"/>
      <c r="O18" s="9" t="s">
        <v>27</v>
      </c>
      <c r="P18" s="6">
        <v>4500</v>
      </c>
    </row>
    <row r="19" spans="6:16" ht="15.75" customHeight="1" thickBot="1" x14ac:dyDescent="0.3">
      <c r="F19" s="412"/>
      <c r="G19" s="413"/>
      <c r="H19" s="415"/>
      <c r="J19" s="423"/>
      <c r="K19" s="9" t="s">
        <v>15</v>
      </c>
      <c r="L19" s="6">
        <v>400</v>
      </c>
      <c r="N19" s="423"/>
      <c r="O19" s="9" t="s">
        <v>28</v>
      </c>
      <c r="P19" s="6">
        <v>6000</v>
      </c>
    </row>
    <row r="20" spans="6:16" ht="15.75" thickBot="1" x14ac:dyDescent="0.3">
      <c r="J20" s="424"/>
      <c r="K20" s="10" t="s">
        <v>16</v>
      </c>
      <c r="L20" s="8">
        <v>500</v>
      </c>
      <c r="N20" s="423"/>
      <c r="O20" s="9" t="s">
        <v>29</v>
      </c>
      <c r="P20" s="6">
        <v>8000</v>
      </c>
    </row>
    <row r="21" spans="6:16" ht="15.75" customHeight="1" x14ac:dyDescent="0.25">
      <c r="J21" s="422" t="s">
        <v>387</v>
      </c>
      <c r="K21" s="395" t="s">
        <v>362</v>
      </c>
      <c r="L21" s="4">
        <v>200</v>
      </c>
      <c r="N21" s="423"/>
      <c r="O21" s="9" t="s">
        <v>30</v>
      </c>
      <c r="P21" s="6">
        <v>10000</v>
      </c>
    </row>
    <row r="22" spans="6:16" ht="15.75" customHeight="1" thickBot="1" x14ac:dyDescent="0.3">
      <c r="J22" s="423"/>
      <c r="K22" s="5" t="s">
        <v>363</v>
      </c>
      <c r="L22" s="6">
        <v>250</v>
      </c>
      <c r="N22" s="424"/>
      <c r="O22" s="10" t="s">
        <v>31</v>
      </c>
      <c r="P22" s="8">
        <v>12500</v>
      </c>
    </row>
    <row r="23" spans="6:16" ht="15.75" customHeight="1" x14ac:dyDescent="0.25">
      <c r="J23" s="423"/>
      <c r="K23" s="5" t="s">
        <v>364</v>
      </c>
      <c r="L23" s="6">
        <v>300</v>
      </c>
      <c r="N23" s="422" t="s">
        <v>383</v>
      </c>
      <c r="O23" s="3" t="s">
        <v>4</v>
      </c>
      <c r="P23" s="4">
        <v>120</v>
      </c>
    </row>
    <row r="24" spans="6:16" ht="15.75" thickBot="1" x14ac:dyDescent="0.3">
      <c r="J24" s="423"/>
      <c r="K24" s="5" t="s">
        <v>365</v>
      </c>
      <c r="L24" s="6">
        <v>350</v>
      </c>
      <c r="N24" s="424"/>
      <c r="O24" s="10" t="s">
        <v>13</v>
      </c>
      <c r="P24" s="8">
        <v>200</v>
      </c>
    </row>
    <row r="25" spans="6:16" ht="15" customHeight="1" x14ac:dyDescent="0.25">
      <c r="J25" s="423"/>
      <c r="K25" s="5" t="s">
        <v>366</v>
      </c>
      <c r="L25" s="6">
        <v>400</v>
      </c>
      <c r="N25" s="422" t="s">
        <v>384</v>
      </c>
      <c r="O25" s="3" t="s">
        <v>15</v>
      </c>
      <c r="P25" s="15">
        <v>600</v>
      </c>
    </row>
    <row r="26" spans="6:16" x14ac:dyDescent="0.25">
      <c r="J26" s="423"/>
      <c r="K26" s="5" t="s">
        <v>367</v>
      </c>
      <c r="L26" s="6">
        <v>500</v>
      </c>
      <c r="N26" s="423"/>
      <c r="O26" s="9" t="s">
        <v>16</v>
      </c>
      <c r="P26" s="16">
        <v>750</v>
      </c>
    </row>
    <row r="27" spans="6:16" x14ac:dyDescent="0.25">
      <c r="J27" s="423"/>
      <c r="K27" s="5" t="s">
        <v>368</v>
      </c>
      <c r="L27" s="6">
        <v>600</v>
      </c>
      <c r="N27" s="423"/>
      <c r="O27" s="9" t="s">
        <v>23</v>
      </c>
      <c r="P27" s="16">
        <v>950</v>
      </c>
    </row>
    <row r="28" spans="6:16" ht="15" customHeight="1" x14ac:dyDescent="0.25">
      <c r="J28" s="423"/>
      <c r="K28" s="5" t="s">
        <v>369</v>
      </c>
      <c r="L28" s="6">
        <v>750</v>
      </c>
      <c r="N28" s="423"/>
      <c r="O28" s="9" t="s">
        <v>34</v>
      </c>
      <c r="P28" s="17">
        <v>1300</v>
      </c>
    </row>
    <row r="29" spans="6:16" ht="15.75" thickBot="1" x14ac:dyDescent="0.3">
      <c r="J29" s="424"/>
      <c r="K29" s="391" t="s">
        <v>370</v>
      </c>
      <c r="L29" s="396">
        <v>900</v>
      </c>
      <c r="N29" s="424"/>
      <c r="O29" s="10" t="s">
        <v>10</v>
      </c>
      <c r="P29" s="18">
        <v>1700</v>
      </c>
    </row>
    <row r="30" spans="6:16" ht="15" customHeight="1" x14ac:dyDescent="0.25">
      <c r="J30" s="422" t="s">
        <v>388</v>
      </c>
      <c r="K30" s="392" t="s">
        <v>371</v>
      </c>
      <c r="L30" s="397">
        <v>400</v>
      </c>
      <c r="N30" s="422" t="s">
        <v>385</v>
      </c>
      <c r="O30" s="3" t="s">
        <v>36</v>
      </c>
      <c r="P30" s="15">
        <v>100</v>
      </c>
    </row>
    <row r="31" spans="6:16" x14ac:dyDescent="0.25">
      <c r="J31" s="423"/>
      <c r="K31" s="393" t="s">
        <v>372</v>
      </c>
      <c r="L31" s="119">
        <v>300</v>
      </c>
      <c r="N31" s="423"/>
      <c r="O31" s="9" t="s">
        <v>37</v>
      </c>
      <c r="P31" s="16">
        <v>100</v>
      </c>
    </row>
    <row r="32" spans="6:16" ht="15" customHeight="1" x14ac:dyDescent="0.25">
      <c r="J32" s="423"/>
      <c r="K32" s="393" t="s">
        <v>373</v>
      </c>
      <c r="L32" s="119">
        <v>400</v>
      </c>
      <c r="N32" s="423"/>
      <c r="O32" s="9" t="s">
        <v>38</v>
      </c>
      <c r="P32" s="16">
        <v>150</v>
      </c>
    </row>
    <row r="33" spans="10:16" x14ac:dyDescent="0.25">
      <c r="J33" s="423"/>
      <c r="K33" s="393" t="s">
        <v>374</v>
      </c>
      <c r="L33" s="119">
        <v>600</v>
      </c>
      <c r="N33" s="423"/>
      <c r="O33" s="9" t="s">
        <v>4</v>
      </c>
      <c r="P33" s="16">
        <v>250</v>
      </c>
    </row>
    <row r="34" spans="10:16" ht="15" customHeight="1" x14ac:dyDescent="0.25">
      <c r="J34" s="423"/>
      <c r="K34" s="393" t="s">
        <v>375</v>
      </c>
      <c r="L34" s="119">
        <v>800</v>
      </c>
      <c r="N34" s="423"/>
      <c r="O34" s="9" t="s">
        <v>13</v>
      </c>
      <c r="P34" s="16">
        <v>400</v>
      </c>
    </row>
    <row r="35" spans="10:16" ht="15.75" thickBot="1" x14ac:dyDescent="0.3">
      <c r="J35" s="424"/>
      <c r="K35" s="394" t="s">
        <v>376</v>
      </c>
      <c r="L35" s="398">
        <v>1200</v>
      </c>
      <c r="N35" s="424"/>
      <c r="O35" s="10" t="s">
        <v>39</v>
      </c>
      <c r="P35" s="19">
        <v>600</v>
      </c>
    </row>
    <row r="36" spans="10:16" ht="15" customHeight="1" x14ac:dyDescent="0.25">
      <c r="N36" s="422" t="s">
        <v>386</v>
      </c>
      <c r="O36" s="3" t="s">
        <v>41</v>
      </c>
      <c r="P36" s="15">
        <v>250</v>
      </c>
    </row>
    <row r="37" spans="10:16" x14ac:dyDescent="0.25">
      <c r="N37" s="423"/>
      <c r="O37" s="9" t="s">
        <v>15</v>
      </c>
      <c r="P37" s="16">
        <v>400</v>
      </c>
    </row>
    <row r="38" spans="10:16" x14ac:dyDescent="0.25">
      <c r="N38" s="423"/>
      <c r="O38" s="9" t="s">
        <v>16</v>
      </c>
      <c r="P38" s="16">
        <v>500</v>
      </c>
    </row>
    <row r="39" spans="10:16" x14ac:dyDescent="0.25">
      <c r="N39" s="423"/>
      <c r="O39" s="9" t="s">
        <v>9</v>
      </c>
      <c r="P39" s="16">
        <v>800</v>
      </c>
    </row>
    <row r="40" spans="10:16" x14ac:dyDescent="0.25">
      <c r="N40" s="423"/>
      <c r="O40" s="9" t="s">
        <v>10</v>
      </c>
      <c r="P40" s="17">
        <v>1100</v>
      </c>
    </row>
    <row r="41" spans="10:16" x14ac:dyDescent="0.25">
      <c r="N41" s="423"/>
      <c r="O41" s="9" t="s">
        <v>11</v>
      </c>
      <c r="P41" s="17">
        <v>1550</v>
      </c>
    </row>
    <row r="42" spans="10:16" x14ac:dyDescent="0.25">
      <c r="N42" s="423"/>
      <c r="O42" s="9" t="s">
        <v>25</v>
      </c>
      <c r="P42" s="17">
        <v>2000</v>
      </c>
    </row>
    <row r="43" spans="10:16" x14ac:dyDescent="0.25">
      <c r="N43" s="423"/>
      <c r="O43" s="9" t="s">
        <v>42</v>
      </c>
      <c r="P43" s="17">
        <v>2550</v>
      </c>
    </row>
    <row r="44" spans="10:16" ht="15.75" thickBot="1" x14ac:dyDescent="0.3">
      <c r="N44" s="424"/>
      <c r="O44" s="10" t="s">
        <v>26</v>
      </c>
      <c r="P44" s="18">
        <v>3150</v>
      </c>
    </row>
    <row r="200" spans="1:7" x14ac:dyDescent="0.25">
      <c r="A200" s="344">
        <v>1</v>
      </c>
      <c r="B200" s="344"/>
      <c r="C200" s="344"/>
      <c r="D200" s="344"/>
      <c r="E200" s="344"/>
      <c r="F200" s="345"/>
      <c r="G200" s="380"/>
    </row>
    <row r="201" spans="1:7" x14ac:dyDescent="0.25">
      <c r="A201" s="344" t="str">
        <f>"Pré-Moldada"</f>
        <v>Pré-Moldada</v>
      </c>
      <c r="B201" s="344"/>
      <c r="C201" s="344"/>
      <c r="D201" s="344"/>
      <c r="E201" s="344"/>
      <c r="F201" s="344"/>
    </row>
    <row r="202" spans="1:7" x14ac:dyDescent="0.25">
      <c r="A202" s="344" t="str">
        <f>"Moldada In-Loco"</f>
        <v>Moldada In-Loco</v>
      </c>
      <c r="B202" s="344"/>
      <c r="C202" s="344"/>
      <c r="D202" s="344"/>
      <c r="E202" s="344"/>
      <c r="F202" s="344"/>
    </row>
    <row r="203" spans="1:7" x14ac:dyDescent="0.25">
      <c r="A203" s="344"/>
      <c r="B203" s="344"/>
      <c r="C203" s="344"/>
      <c r="D203" s="344"/>
      <c r="E203" s="344"/>
      <c r="F203" s="344"/>
    </row>
    <row r="204" spans="1:7" x14ac:dyDescent="0.25">
      <c r="A204" s="344">
        <v>2</v>
      </c>
      <c r="B204" s="344"/>
      <c r="C204" s="344"/>
      <c r="D204" s="344"/>
      <c r="E204" s="344"/>
      <c r="F204" s="344"/>
    </row>
    <row r="205" spans="1:7" x14ac:dyDescent="0.25">
      <c r="A205" s="344" t="str">
        <f>IF(A200=1,"Vibrada Concreto","Strauss")</f>
        <v>Vibrada Concreto</v>
      </c>
      <c r="B205" s="344"/>
      <c r="C205" s="344"/>
      <c r="D205" s="344"/>
      <c r="E205" s="344"/>
      <c r="F205" s="344"/>
    </row>
    <row r="206" spans="1:7" x14ac:dyDescent="0.25">
      <c r="A206" s="344" t="str">
        <f>IF(A200=1,"Centrifugada Concreto","Escavada")</f>
        <v>Centrifugada Concreto</v>
      </c>
      <c r="B206" s="344"/>
      <c r="C206" s="344"/>
      <c r="D206" s="344"/>
      <c r="E206" s="344"/>
      <c r="F206" s="344"/>
    </row>
    <row r="207" spans="1:7" x14ac:dyDescent="0.25">
      <c r="A207" s="344" t="str">
        <f>IF(A200=1,"Madeira","Estacão")</f>
        <v>Madeira</v>
      </c>
      <c r="B207" s="344"/>
      <c r="C207" s="344"/>
      <c r="D207" s="344"/>
      <c r="E207" s="344"/>
      <c r="F207" s="344"/>
    </row>
    <row r="208" spans="1:7" x14ac:dyDescent="0.25">
      <c r="A208" s="344" t="str">
        <f>IF(A200=1,"-","Apiloada")</f>
        <v>-</v>
      </c>
      <c r="B208" s="344"/>
      <c r="C208" s="344"/>
      <c r="D208" s="344"/>
      <c r="E208" s="344"/>
      <c r="F208" s="344"/>
    </row>
    <row r="209" spans="1:6" x14ac:dyDescent="0.25">
      <c r="A209" s="344" t="str">
        <f>IF(A200=1,"-","Franki")</f>
        <v>-</v>
      </c>
      <c r="B209" s="344"/>
      <c r="C209" s="344"/>
      <c r="D209" s="344"/>
      <c r="E209" s="344"/>
      <c r="F209" s="344"/>
    </row>
    <row r="210" spans="1:6" x14ac:dyDescent="0.25">
      <c r="A210" s="344" t="str">
        <f>IF(A200=1,"-","Raiz")</f>
        <v>-</v>
      </c>
      <c r="B210" s="344"/>
      <c r="C210" s="344"/>
      <c r="D210" s="344"/>
      <c r="E210" s="344"/>
      <c r="F210" s="344"/>
    </row>
    <row r="211" spans="1:6" x14ac:dyDescent="0.25">
      <c r="A211" s="344" t="str">
        <f>IF(A200=1,"-","Hélice Contínua")</f>
        <v>-</v>
      </c>
      <c r="B211" s="344"/>
      <c r="C211" s="344"/>
      <c r="D211" s="344"/>
      <c r="E211" s="344"/>
      <c r="F211" s="344"/>
    </row>
    <row r="212" spans="1:6" x14ac:dyDescent="0.25">
      <c r="A212" s="344"/>
      <c r="B212" s="344"/>
      <c r="C212" s="344"/>
      <c r="D212" s="344"/>
      <c r="E212" s="344"/>
      <c r="F212" s="344"/>
    </row>
    <row r="213" spans="1:6" x14ac:dyDescent="0.25">
      <c r="A213" s="344"/>
      <c r="B213" s="344"/>
      <c r="C213" s="344"/>
      <c r="D213" s="344"/>
      <c r="E213" s="344"/>
      <c r="F213" s="344"/>
    </row>
    <row r="214" spans="1:6" x14ac:dyDescent="0.25">
      <c r="A214" s="344"/>
      <c r="B214" s="344"/>
      <c r="C214" s="344"/>
      <c r="D214" s="344"/>
      <c r="E214" s="344"/>
      <c r="F214" s="344"/>
    </row>
    <row r="215" spans="1:6" x14ac:dyDescent="0.25">
      <c r="A215" s="379">
        <v>2</v>
      </c>
      <c r="B215" s="379"/>
      <c r="C215" s="379"/>
      <c r="D215" s="344"/>
      <c r="E215" s="344"/>
      <c r="F215" s="344"/>
    </row>
    <row r="216" spans="1:6" x14ac:dyDescent="0.25">
      <c r="A216" s="379">
        <f>IF(H7=E216,22,IF(H7=E217,20,IF(H7=E218,20,IF(H7=E219,25,IF(H7=E220,25,IF(H7=E221,60,IF(H7=E222,20,IF(H7=E223,35,IF(H7=E224,10,IF(H7=E225,27.5))))))))))</f>
        <v>20</v>
      </c>
      <c r="B216" s="379" t="s">
        <v>48</v>
      </c>
      <c r="C216" s="379">
        <f>IF(A215=1,A216,IF(A215=2,A217,IF(A215=3,A218,IF(A215=4,A219,IF(A215=5,A220,IF(A215=6,A221,IF(A215=7,A222,IF(A215=8,A223,IF(A215=9,A224)))))))))</f>
        <v>23</v>
      </c>
      <c r="D216" s="344"/>
      <c r="E216" s="344" t="s">
        <v>46</v>
      </c>
      <c r="F216" s="344"/>
    </row>
    <row r="217" spans="1:6" x14ac:dyDescent="0.25">
      <c r="A217" s="379">
        <f>IF(H7=E216,29,IF(H7=E217,23,IF(H7=E218,25,IF(H7=E219,32,IF(H7=E220,30,IF(H7=E221,80,IF(H7=E222,25,IF(H7=E223,40,IF(H7=E224,12,IF(H7=E225,35))))))))))</f>
        <v>23</v>
      </c>
      <c r="B217" s="379"/>
      <c r="C217" s="379"/>
      <c r="D217" s="344"/>
      <c r="E217" s="344" t="s">
        <v>47</v>
      </c>
      <c r="F217" s="344"/>
    </row>
    <row r="218" spans="1:6" x14ac:dyDescent="0.25">
      <c r="A218" s="379">
        <f>IF(H7=E216,33,IF(H7=E217,26,IF(H7=E218,30,IF(H7=E219,38,IF(H7=E220,35,IF(H7=E221,100,IF(H7=E222,"-",IF(H7=E223,45,IF(H7=E224,15,IF(H7=E225,40))))))))))</f>
        <v>26</v>
      </c>
      <c r="B218" s="379"/>
      <c r="C218" s="379"/>
      <c r="D218" s="344"/>
      <c r="E218" s="344" t="s">
        <v>12</v>
      </c>
      <c r="F218" s="344"/>
    </row>
    <row r="219" spans="1:6" x14ac:dyDescent="0.25">
      <c r="A219" s="379">
        <f>IF(H7=E216,"-",IF(H7=E217,33,IF(H7=E218,35,IF(H7=E219,42,IF(H7=E220,40,IF(H7=E221,120,IF(H7=E222,"-",IF(H7=E223,52,IF(H7=E224,20,IF(H7=E225,50))))))))))</f>
        <v>33</v>
      </c>
      <c r="B219" s="379"/>
      <c r="C219" s="379"/>
      <c r="D219" s="344"/>
      <c r="E219" s="344" t="s">
        <v>21</v>
      </c>
      <c r="F219" s="344"/>
    </row>
    <row r="220" spans="1:6" x14ac:dyDescent="0.25">
      <c r="A220" s="379">
        <f>IF(H7=E216,"-",IF(H7=E217,38,IF(H7=E218,40,IF(H7=E219,45,IF(H7=E220,45,IF(H7=E221,140,IF(H7=E222,"-",IF(H7=E223,60,IF(H7=E224,25,IF(H7=E225,60))))))))))</f>
        <v>38</v>
      </c>
      <c r="B220" s="379"/>
      <c r="C220" s="379"/>
      <c r="D220" s="344"/>
      <c r="E220" s="344" t="s">
        <v>45</v>
      </c>
      <c r="F220" s="344"/>
    </row>
    <row r="221" spans="1:6" x14ac:dyDescent="0.25">
      <c r="A221" s="379">
        <f>IF(H7=E216,"-",IF(H7=E217,42,IF(H7=E218,"-",IF(H7=E219,"-",IF(H7=E220,50,IF(H7=E221,160,IF(H7=E222,"-",IF(H7=E223,"-",IF(H7=E224,31,IF(H7=E225,70))))))))))</f>
        <v>42</v>
      </c>
      <c r="B221" s="379"/>
      <c r="C221" s="379"/>
      <c r="D221" s="344"/>
      <c r="E221" s="344" t="s">
        <v>24</v>
      </c>
      <c r="F221" s="344"/>
    </row>
    <row r="222" spans="1:6" x14ac:dyDescent="0.25">
      <c r="A222" s="379">
        <f>IF(H7=E216,"-",IF(H7=E217,50,IF(H7=E218,"-",IF(H7=E219,"-",IF(H7=E220,"-",IF(H7=E221,180,IF(H7=E222,"-",IF(H7=E223,"-",IF(H7=E224,"-",IF(H7=E225,80))))))))))</f>
        <v>50</v>
      </c>
      <c r="B222" s="379"/>
      <c r="C222" s="379"/>
      <c r="D222" s="344"/>
      <c r="E222" s="344" t="s">
        <v>32</v>
      </c>
      <c r="F222" s="344"/>
    </row>
    <row r="223" spans="1:6" x14ac:dyDescent="0.25">
      <c r="A223" s="379">
        <f>IF(H7=E216,"-",IF(H7=E217,60,IF(H7=E218,"-",IF(H7=E219,"-",IF(H7=E220,"-",IF(H7=E221,200,IF(H7=E222,"-",IF(H7=E223,"-",IF(H7=E224,"-",IF(H7=E225,90))))))))))</f>
        <v>60</v>
      </c>
      <c r="B223" s="379"/>
      <c r="C223" s="379"/>
      <c r="D223" s="344"/>
      <c r="E223" s="344" t="s">
        <v>33</v>
      </c>
      <c r="F223" s="344"/>
    </row>
    <row r="224" spans="1:6" x14ac:dyDescent="0.25">
      <c r="A224" s="379">
        <f>IF(H7=E216,"-",IF(H7=E217,70,IF(H7=E218,"-",IF(H7=E219,"-",IF(H7=E220,"-",IF(H7=E221,"-",IF(H7=E222,"-",IF(H7=E223,"-",IF(H7=E224,"-",IF(H7=E225,100))))))))))</f>
        <v>70</v>
      </c>
      <c r="B224" s="379"/>
      <c r="C224" s="379"/>
      <c r="D224" s="344"/>
      <c r="E224" s="344" t="s">
        <v>35</v>
      </c>
      <c r="F224" s="344"/>
    </row>
    <row r="225" spans="1:6" x14ac:dyDescent="0.25">
      <c r="A225" s="379"/>
      <c r="B225" s="379"/>
      <c r="C225" s="379"/>
      <c r="D225" s="344"/>
      <c r="E225" s="344" t="s">
        <v>40</v>
      </c>
      <c r="F225" s="344"/>
    </row>
    <row r="226" spans="1:6" x14ac:dyDescent="0.25">
      <c r="A226" s="344"/>
      <c r="B226" s="344"/>
      <c r="C226" s="344"/>
      <c r="D226" s="344"/>
      <c r="E226" s="344"/>
      <c r="F226" s="344"/>
    </row>
  </sheetData>
  <mergeCells count="29">
    <mergeCell ref="J30:J35"/>
    <mergeCell ref="N23:N24"/>
    <mergeCell ref="N25:N29"/>
    <mergeCell ref="N30:N35"/>
    <mergeCell ref="N36:N44"/>
    <mergeCell ref="B2:D3"/>
    <mergeCell ref="B6:D7"/>
    <mergeCell ref="B10:D11"/>
    <mergeCell ref="F2:H3"/>
    <mergeCell ref="F5:G6"/>
    <mergeCell ref="H5:H6"/>
    <mergeCell ref="F7:G8"/>
    <mergeCell ref="H7:H8"/>
    <mergeCell ref="F9:G10"/>
    <mergeCell ref="H9:H10"/>
    <mergeCell ref="F11:G12"/>
    <mergeCell ref="H11:H12"/>
    <mergeCell ref="F15:H16"/>
    <mergeCell ref="F18:G19"/>
    <mergeCell ref="H18:H19"/>
    <mergeCell ref="N2:P2"/>
    <mergeCell ref="J2:L2"/>
    <mergeCell ref="J4:J6"/>
    <mergeCell ref="J7:J15"/>
    <mergeCell ref="J16:J20"/>
    <mergeCell ref="N4:N8"/>
    <mergeCell ref="N9:N14"/>
    <mergeCell ref="N15:N22"/>
    <mergeCell ref="J21:J29"/>
  </mergeCells>
  <pageMargins left="0.511811024" right="0.511811024" top="0.78740157499999996" bottom="0.78740157499999996" header="0.31496062000000002" footer="0.31496062000000002"/>
  <pageSetup paperSize="9"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4</xdr:col>
                    <xdr:colOff>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</xdr:col>
                    <xdr:colOff>0</xdr:colOff>
                    <xdr:row>7</xdr:row>
                    <xdr:rowOff>28575</xdr:rowOff>
                  </from>
                  <to>
                    <xdr:col>4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</xdr:col>
                    <xdr:colOff>0</xdr:colOff>
                    <xdr:row>11</xdr:row>
                    <xdr:rowOff>28575</xdr:rowOff>
                  </from>
                  <to>
                    <xdr:col>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x1">
                <anchor moveWithCells="1" sizeWithCells="1">
                  <from>
                    <xdr:col>5</xdr:col>
                    <xdr:colOff>762000</xdr:colOff>
                    <xdr:row>20</xdr:row>
                    <xdr:rowOff>28575</xdr:rowOff>
                  </from>
                  <to>
                    <xdr:col>7</xdr:col>
                    <xdr:colOff>295275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ntabertura">
                <anchor moveWithCells="1" sizeWithCells="1">
                  <from>
                    <xdr:col>5</xdr:col>
                    <xdr:colOff>762000</xdr:colOff>
                    <xdr:row>23</xdr:row>
                    <xdr:rowOff>19050</xdr:rowOff>
                  </from>
                  <to>
                    <xdr:col>7</xdr:col>
                    <xdr:colOff>295275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24"/>
  <sheetViews>
    <sheetView showGridLines="0" showRowColHeaders="0" zoomScale="90" zoomScaleNormal="90" workbookViewId="0">
      <selection activeCell="C6" sqref="C6"/>
    </sheetView>
  </sheetViews>
  <sheetFormatPr defaultRowHeight="15" x14ac:dyDescent="0.25"/>
  <cols>
    <col min="1" max="1" width="2.7109375" style="26" customWidth="1"/>
    <col min="2" max="2" width="33.7109375" style="25" bestFit="1" customWidth="1"/>
    <col min="3" max="3" width="20.85546875" style="30" customWidth="1"/>
    <col min="4" max="4" width="2.7109375" customWidth="1"/>
    <col min="5" max="5" width="23.140625" customWidth="1"/>
    <col min="6" max="6" width="11.85546875" customWidth="1"/>
    <col min="7" max="7" width="2.7109375" customWidth="1"/>
    <col min="9" max="9" width="14.28515625" customWidth="1"/>
    <col min="11" max="11" width="21.7109375" bestFit="1" customWidth="1"/>
    <col min="15" max="15" width="15.85546875" customWidth="1"/>
  </cols>
  <sheetData>
    <row r="1" spans="2:15" ht="15.75" thickBot="1" x14ac:dyDescent="0.3"/>
    <row r="2" spans="2:15" ht="15" customHeight="1" x14ac:dyDescent="0.25">
      <c r="B2" s="441" t="s">
        <v>54</v>
      </c>
      <c r="C2" s="443"/>
      <c r="E2" s="441" t="s">
        <v>59</v>
      </c>
      <c r="F2" s="443"/>
      <c r="H2" s="441" t="s">
        <v>84</v>
      </c>
      <c r="I2" s="442"/>
      <c r="J2" s="442"/>
      <c r="K2" s="442"/>
      <c r="L2" s="442"/>
      <c r="M2" s="442"/>
      <c r="N2" s="442"/>
      <c r="O2" s="443"/>
    </row>
    <row r="3" spans="2:15" ht="15.75" customHeight="1" thickBot="1" x14ac:dyDescent="0.3">
      <c r="B3" s="444"/>
      <c r="C3" s="446"/>
      <c r="E3" s="444"/>
      <c r="F3" s="446"/>
      <c r="H3" s="444"/>
      <c r="I3" s="445"/>
      <c r="J3" s="445"/>
      <c r="K3" s="445"/>
      <c r="L3" s="445"/>
      <c r="M3" s="445"/>
      <c r="N3" s="445"/>
      <c r="O3" s="446"/>
    </row>
    <row r="4" spans="2:15" ht="15.75" thickBot="1" x14ac:dyDescent="0.3">
      <c r="B4" s="26"/>
      <c r="C4" s="31"/>
    </row>
    <row r="5" spans="2:15" x14ac:dyDescent="0.25">
      <c r="B5" s="27" t="s">
        <v>56</v>
      </c>
      <c r="C5" s="346">
        <v>1000</v>
      </c>
      <c r="E5" s="447" t="s">
        <v>60</v>
      </c>
      <c r="F5" s="449">
        <f>ROUNDUP(K19,0)</f>
        <v>2</v>
      </c>
    </row>
    <row r="6" spans="2:15" ht="18.75" thickBot="1" x14ac:dyDescent="0.4">
      <c r="B6" s="28" t="s">
        <v>154</v>
      </c>
      <c r="C6" s="347">
        <v>10</v>
      </c>
      <c r="E6" s="448"/>
      <c r="F6" s="450"/>
    </row>
    <row r="7" spans="2:15" ht="18" x14ac:dyDescent="0.35">
      <c r="B7" s="28" t="s">
        <v>155</v>
      </c>
      <c r="C7" s="347">
        <v>10</v>
      </c>
    </row>
    <row r="8" spans="2:15" ht="18" x14ac:dyDescent="0.35">
      <c r="B8" s="28" t="s">
        <v>156</v>
      </c>
      <c r="C8" s="347">
        <v>0</v>
      </c>
    </row>
    <row r="9" spans="2:15" ht="18.75" x14ac:dyDescent="0.4">
      <c r="B9" s="28" t="s">
        <v>157</v>
      </c>
      <c r="C9" s="347">
        <v>0</v>
      </c>
      <c r="E9" s="101"/>
    </row>
    <row r="10" spans="2:15" x14ac:dyDescent="0.25">
      <c r="B10" s="28" t="s">
        <v>323</v>
      </c>
      <c r="C10" s="347">
        <v>50</v>
      </c>
    </row>
    <row r="11" spans="2:15" x14ac:dyDescent="0.25">
      <c r="B11" s="28" t="s">
        <v>322</v>
      </c>
      <c r="C11" s="347">
        <v>50</v>
      </c>
    </row>
    <row r="12" spans="2:15" x14ac:dyDescent="0.25">
      <c r="B12" s="28" t="s">
        <v>85</v>
      </c>
      <c r="C12" s="347">
        <v>45</v>
      </c>
    </row>
    <row r="13" spans="2:15" ht="18" x14ac:dyDescent="0.35">
      <c r="B13" s="28" t="s">
        <v>158</v>
      </c>
      <c r="C13" s="347">
        <v>25</v>
      </c>
    </row>
    <row r="14" spans="2:15" x14ac:dyDescent="0.25">
      <c r="B14" s="28" t="s">
        <v>126</v>
      </c>
      <c r="C14" s="347">
        <v>1.1000000000000001</v>
      </c>
    </row>
    <row r="15" spans="2:15" x14ac:dyDescent="0.25">
      <c r="B15" s="28" t="s">
        <v>57</v>
      </c>
      <c r="C15" s="347">
        <v>1.2</v>
      </c>
      <c r="H15" s="34"/>
      <c r="I15" s="34"/>
    </row>
    <row r="16" spans="2:15" ht="15" customHeight="1" x14ac:dyDescent="0.35">
      <c r="B16" s="102" t="s">
        <v>159</v>
      </c>
      <c r="C16" s="347">
        <v>1.2</v>
      </c>
      <c r="H16" s="34"/>
      <c r="I16" s="34"/>
    </row>
    <row r="17" spans="2:13" ht="15.75" customHeight="1" x14ac:dyDescent="0.35">
      <c r="B17" s="100" t="s">
        <v>160</v>
      </c>
      <c r="C17" s="347">
        <v>1.4</v>
      </c>
      <c r="H17" s="34"/>
      <c r="I17" s="34"/>
    </row>
    <row r="18" spans="2:13" ht="15" customHeight="1" x14ac:dyDescent="0.35">
      <c r="B18" s="100" t="s">
        <v>161</v>
      </c>
      <c r="C18" s="347">
        <v>1.1499999999999999</v>
      </c>
      <c r="H18" s="34"/>
      <c r="I18" s="34"/>
    </row>
    <row r="19" spans="2:13" ht="15" customHeight="1" x14ac:dyDescent="0.35">
      <c r="B19" s="28" t="s">
        <v>162</v>
      </c>
      <c r="C19" s="347">
        <v>1.2</v>
      </c>
      <c r="H19" s="34"/>
      <c r="K19">
        <f>(C5*C14*C15)/C24</f>
        <v>1.9701492537313432</v>
      </c>
    </row>
    <row r="20" spans="2:13" x14ac:dyDescent="0.25">
      <c r="B20" s="28" t="s">
        <v>43</v>
      </c>
      <c r="C20" s="32" t="str">
        <f>Entradas1!H5</f>
        <v>Pré-Moldada</v>
      </c>
    </row>
    <row r="21" spans="2:13" x14ac:dyDescent="0.25">
      <c r="B21" s="28" t="s">
        <v>44</v>
      </c>
      <c r="C21" s="32" t="str">
        <f>Entradas1!H7</f>
        <v>Centrifugada Concreto</v>
      </c>
      <c r="K21" s="381" t="s">
        <v>61</v>
      </c>
      <c r="L21" s="381">
        <f>IF(C20="Moldada In-Loco",3,2.5)</f>
        <v>2.5</v>
      </c>
      <c r="M21" s="381"/>
    </row>
    <row r="22" spans="2:13" x14ac:dyDescent="0.25">
      <c r="B22" s="28" t="s">
        <v>58</v>
      </c>
      <c r="C22" s="32">
        <f>Entradas1!H9</f>
        <v>23</v>
      </c>
    </row>
    <row r="23" spans="2:13" x14ac:dyDescent="0.25">
      <c r="B23" s="28" t="s">
        <v>55</v>
      </c>
      <c r="C23" s="32">
        <f>Entradas1!H11</f>
        <v>300</v>
      </c>
    </row>
    <row r="24" spans="2:13" ht="15.75" thickBot="1" x14ac:dyDescent="0.3">
      <c r="B24" s="29" t="s">
        <v>97</v>
      </c>
      <c r="C24" s="33">
        <f>Entradas1!H18</f>
        <v>670</v>
      </c>
    </row>
  </sheetData>
  <mergeCells count="5">
    <mergeCell ref="H2:O3"/>
    <mergeCell ref="B2:C3"/>
    <mergeCell ref="E2:F3"/>
    <mergeCell ref="E5:E6"/>
    <mergeCell ref="F5:F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AutoCAD.Drawing.17" shapeId="2065" r:id="rId4">
          <objectPr defaultSize="0" autoPict="0" r:id="rId5">
            <anchor moveWithCells="1">
              <from>
                <xdr:col>7</xdr:col>
                <xdr:colOff>0</xdr:colOff>
                <xdr:row>3</xdr:row>
                <xdr:rowOff>180975</xdr:rowOff>
              </from>
              <to>
                <xdr:col>15</xdr:col>
                <xdr:colOff>0</xdr:colOff>
                <xdr:row>20</xdr:row>
                <xdr:rowOff>142875</xdr:rowOff>
              </to>
            </anchor>
          </objectPr>
        </oleObject>
      </mc:Choice>
      <mc:Fallback>
        <oleObject progId="AutoCAD.Drawing.17" shapeId="206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prox2">
                <anchor moveWithCells="1" sizeWithCells="1">
                  <from>
                    <xdr:col>4</xdr:col>
                    <xdr:colOff>19050</xdr:colOff>
                    <xdr:row>18</xdr:row>
                    <xdr:rowOff>28575</xdr:rowOff>
                  </from>
                  <to>
                    <xdr:col>5</xdr:col>
                    <xdr:colOff>762000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antes1">
                <anchor moveWithCells="1" sizeWithCells="1">
                  <from>
                    <xdr:col>4</xdr:col>
                    <xdr:colOff>19050</xdr:colOff>
                    <xdr:row>15</xdr:row>
                    <xdr:rowOff>28575</xdr:rowOff>
                  </from>
                  <to>
                    <xdr:col>5</xdr:col>
                    <xdr:colOff>762000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L24"/>
  <sheetViews>
    <sheetView showGridLines="0" showRowColHeaders="0" zoomScale="85" zoomScaleNormal="85" workbookViewId="0">
      <selection activeCell="L1" sqref="L1:L2"/>
    </sheetView>
  </sheetViews>
  <sheetFormatPr defaultRowHeight="15" x14ac:dyDescent="0.25"/>
  <cols>
    <col min="1" max="1" width="2.7109375" customWidth="1"/>
    <col min="2" max="2" width="11.7109375" customWidth="1"/>
    <col min="3" max="3" width="1.7109375" customWidth="1"/>
    <col min="4" max="4" width="22.5703125" customWidth="1"/>
    <col min="5" max="5" width="1.7109375" customWidth="1"/>
    <col min="6" max="6" width="31.140625" customWidth="1"/>
    <col min="7" max="7" width="1.7109375" customWidth="1"/>
    <col min="8" max="8" width="39.28515625" customWidth="1"/>
    <col min="9" max="9" width="1.7109375" customWidth="1"/>
    <col min="10" max="10" width="29.140625" customWidth="1"/>
    <col min="11" max="11" width="1.7109375" customWidth="1"/>
    <col min="12" max="12" width="26.28515625" customWidth="1"/>
  </cols>
  <sheetData>
    <row r="1" spans="2:12" ht="15" customHeight="1" x14ac:dyDescent="0.25">
      <c r="B1" s="453" t="s">
        <v>62</v>
      </c>
      <c r="C1" s="454"/>
      <c r="D1" s="454"/>
      <c r="E1" s="454"/>
      <c r="F1" s="454"/>
      <c r="G1" s="454"/>
      <c r="H1" s="454"/>
      <c r="I1" s="454"/>
      <c r="J1" s="454"/>
      <c r="K1" s="455"/>
      <c r="L1" s="459">
        <f>Entradas2!F5</f>
        <v>2</v>
      </c>
    </row>
    <row r="2" spans="2:12" ht="15.75" customHeight="1" thickBot="1" x14ac:dyDescent="0.3">
      <c r="B2" s="456"/>
      <c r="C2" s="457"/>
      <c r="D2" s="457"/>
      <c r="E2" s="457"/>
      <c r="F2" s="457"/>
      <c r="G2" s="457"/>
      <c r="H2" s="457"/>
      <c r="I2" s="457"/>
      <c r="J2" s="457"/>
      <c r="K2" s="458"/>
      <c r="L2" s="460"/>
    </row>
    <row r="3" spans="2:12" ht="15.75" thickBot="1" x14ac:dyDescent="0.3"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</row>
    <row r="4" spans="2:12" s="35" customFormat="1" x14ac:dyDescent="0.25">
      <c r="B4" s="451" t="s">
        <v>64</v>
      </c>
      <c r="C4" s="43"/>
      <c r="D4" s="451" t="s">
        <v>65</v>
      </c>
      <c r="E4" s="43"/>
      <c r="F4" s="451" t="s">
        <v>66</v>
      </c>
      <c r="G4" s="43"/>
      <c r="H4" s="451" t="s">
        <v>67</v>
      </c>
      <c r="I4" s="43"/>
      <c r="J4" s="451" t="s">
        <v>68</v>
      </c>
      <c r="K4" s="43"/>
      <c r="L4" s="451" t="s">
        <v>63</v>
      </c>
    </row>
    <row r="5" spans="2:12" s="36" customFormat="1" ht="15.75" thickBot="1" x14ac:dyDescent="0.3">
      <c r="B5" s="452"/>
      <c r="C5" s="40"/>
      <c r="D5" s="452"/>
      <c r="E5" s="40"/>
      <c r="F5" s="452"/>
      <c r="G5" s="40"/>
      <c r="H5" s="452"/>
      <c r="I5" s="40"/>
      <c r="J5" s="452"/>
      <c r="K5" s="40"/>
      <c r="L5" s="452"/>
    </row>
    <row r="6" spans="2:12" x14ac:dyDescent="0.25">
      <c r="B6" s="37"/>
      <c r="C6" s="34"/>
      <c r="D6" s="37"/>
      <c r="E6" s="34"/>
      <c r="F6" s="37"/>
      <c r="G6" s="34"/>
      <c r="H6" s="37"/>
      <c r="I6" s="34"/>
      <c r="J6" s="37"/>
      <c r="K6" s="34"/>
      <c r="L6" s="37"/>
    </row>
    <row r="7" spans="2:12" x14ac:dyDescent="0.25">
      <c r="B7" s="37"/>
      <c r="C7" s="34"/>
      <c r="D7" s="37"/>
      <c r="E7" s="34"/>
      <c r="F7" s="37"/>
      <c r="G7" s="34"/>
      <c r="H7" s="37"/>
      <c r="I7" s="34"/>
      <c r="J7" s="37"/>
      <c r="K7" s="34"/>
      <c r="L7" s="37"/>
    </row>
    <row r="8" spans="2:12" x14ac:dyDescent="0.25">
      <c r="B8" s="37"/>
      <c r="C8" s="34"/>
      <c r="D8" s="37"/>
      <c r="E8" s="34"/>
      <c r="F8" s="37"/>
      <c r="G8" s="34"/>
      <c r="H8" s="37"/>
      <c r="I8" s="34"/>
      <c r="J8" s="37"/>
      <c r="K8" s="34"/>
      <c r="L8" s="37"/>
    </row>
    <row r="9" spans="2:12" x14ac:dyDescent="0.25">
      <c r="B9" s="37"/>
      <c r="C9" s="34"/>
      <c r="D9" s="37"/>
      <c r="E9" s="34"/>
      <c r="F9" s="37"/>
      <c r="G9" s="34"/>
      <c r="H9" s="37"/>
      <c r="I9" s="34"/>
      <c r="J9" s="37"/>
      <c r="K9" s="34"/>
      <c r="L9" s="37"/>
    </row>
    <row r="10" spans="2:12" ht="15.75" thickBot="1" x14ac:dyDescent="0.3">
      <c r="B10" s="94"/>
      <c r="C10" s="34"/>
      <c r="D10" s="94"/>
      <c r="E10" s="34"/>
      <c r="F10" s="94"/>
      <c r="G10" s="34"/>
      <c r="H10" s="94"/>
      <c r="I10" s="34"/>
      <c r="J10" s="37"/>
      <c r="K10" s="34"/>
      <c r="L10" s="37"/>
    </row>
    <row r="11" spans="2:12" ht="22.5" customHeight="1" x14ac:dyDescent="0.25">
      <c r="B11" s="34"/>
      <c r="C11" s="34"/>
      <c r="D11" s="34"/>
      <c r="E11" s="34"/>
      <c r="F11" s="37"/>
      <c r="G11" s="34"/>
      <c r="H11" s="39"/>
      <c r="I11" s="34"/>
      <c r="J11" s="37"/>
      <c r="K11" s="34"/>
      <c r="L11" s="37"/>
    </row>
    <row r="12" spans="2:12" ht="15.75" thickBot="1" x14ac:dyDescent="0.3">
      <c r="B12" s="34"/>
      <c r="C12" s="34"/>
      <c r="D12" s="34"/>
      <c r="E12" s="34"/>
      <c r="F12" s="37"/>
      <c r="G12" s="34"/>
      <c r="H12" s="39"/>
      <c r="I12" s="34"/>
      <c r="J12" s="95"/>
      <c r="K12" s="34"/>
      <c r="L12" s="94"/>
    </row>
    <row r="13" spans="2:12" x14ac:dyDescent="0.25">
      <c r="B13" s="34"/>
      <c r="C13" s="34"/>
      <c r="D13" s="34"/>
      <c r="E13" s="34"/>
      <c r="F13" s="37"/>
      <c r="G13" s="34"/>
      <c r="H13" s="39"/>
      <c r="I13" s="34"/>
      <c r="J13" s="37"/>
      <c r="K13" s="34"/>
      <c r="L13" s="34"/>
    </row>
    <row r="14" spans="2:12" x14ac:dyDescent="0.25">
      <c r="B14" s="34"/>
      <c r="C14" s="34"/>
      <c r="D14" s="34"/>
      <c r="E14" s="34"/>
      <c r="F14" s="37"/>
      <c r="G14" s="34"/>
      <c r="H14" s="39"/>
      <c r="I14" s="34"/>
      <c r="J14" s="37"/>
      <c r="K14" s="34"/>
      <c r="L14" s="34"/>
    </row>
    <row r="15" spans="2:12" x14ac:dyDescent="0.25">
      <c r="B15" s="34"/>
      <c r="C15" s="34"/>
      <c r="D15" s="34"/>
      <c r="E15" s="34"/>
      <c r="F15" s="37"/>
      <c r="G15" s="34"/>
      <c r="H15" s="39"/>
      <c r="I15" s="34"/>
      <c r="J15" s="37"/>
      <c r="K15" s="34"/>
      <c r="L15" s="34"/>
    </row>
    <row r="16" spans="2:12" x14ac:dyDescent="0.25">
      <c r="B16" s="34"/>
      <c r="C16" s="34"/>
      <c r="D16" s="34"/>
      <c r="E16" s="34"/>
      <c r="F16" s="37"/>
      <c r="G16" s="34"/>
      <c r="H16" s="39"/>
      <c r="I16" s="34"/>
      <c r="J16" s="37"/>
      <c r="K16" s="34"/>
      <c r="L16" s="34"/>
    </row>
    <row r="17" spans="2:12" x14ac:dyDescent="0.25">
      <c r="B17" s="34"/>
      <c r="C17" s="34"/>
      <c r="D17" s="34"/>
      <c r="E17" s="34"/>
      <c r="F17" s="37"/>
      <c r="G17" s="34"/>
      <c r="H17" s="39"/>
      <c r="I17" s="34"/>
      <c r="J17" s="37"/>
      <c r="K17" s="34"/>
      <c r="L17" s="34"/>
    </row>
    <row r="18" spans="2:12" x14ac:dyDescent="0.25">
      <c r="B18" s="34"/>
      <c r="C18" s="34"/>
      <c r="D18" s="34"/>
      <c r="E18" s="34"/>
      <c r="F18" s="37"/>
      <c r="G18" s="34"/>
      <c r="H18" s="39"/>
      <c r="I18" s="34"/>
      <c r="J18" s="37"/>
      <c r="K18" s="34"/>
      <c r="L18" s="34"/>
    </row>
    <row r="19" spans="2:12" ht="12.75" customHeight="1" x14ac:dyDescent="0.25">
      <c r="B19" s="34"/>
      <c r="C19" s="34"/>
      <c r="D19" s="34"/>
      <c r="E19" s="34"/>
      <c r="F19" s="37"/>
      <c r="G19" s="34"/>
      <c r="H19" s="39"/>
      <c r="I19" s="34"/>
      <c r="J19" s="37"/>
      <c r="K19" s="34"/>
      <c r="L19" s="34"/>
    </row>
    <row r="20" spans="2:12" ht="11.25" customHeight="1" x14ac:dyDescent="0.25">
      <c r="B20" s="34"/>
      <c r="C20" s="34"/>
      <c r="D20" s="34"/>
      <c r="E20" s="34"/>
      <c r="F20" s="37"/>
      <c r="G20" s="34"/>
      <c r="H20" s="39"/>
      <c r="I20" s="34"/>
      <c r="J20" s="37"/>
      <c r="K20" s="34"/>
      <c r="L20" s="34"/>
    </row>
    <row r="21" spans="2:12" ht="15.75" thickBot="1" x14ac:dyDescent="0.3">
      <c r="B21" s="34"/>
      <c r="C21" s="34"/>
      <c r="D21" s="34"/>
      <c r="E21" s="34"/>
      <c r="F21" s="94"/>
      <c r="G21" s="34"/>
      <c r="H21" s="38"/>
      <c r="I21" s="34"/>
      <c r="J21" s="37"/>
      <c r="K21" s="34"/>
      <c r="L21" s="34"/>
    </row>
    <row r="22" spans="2:12" ht="15.75" thickBot="1" x14ac:dyDescent="0.3">
      <c r="B22" s="34"/>
      <c r="C22" s="34"/>
      <c r="D22" s="34"/>
      <c r="E22" s="34"/>
      <c r="F22" s="34"/>
      <c r="G22" s="34"/>
      <c r="H22" s="37"/>
      <c r="I22" s="34"/>
      <c r="J22" s="37"/>
      <c r="K22" s="34"/>
      <c r="L22" s="34"/>
    </row>
    <row r="23" spans="2:12" ht="13.5" customHeight="1" x14ac:dyDescent="0.25">
      <c r="B23" s="34"/>
      <c r="C23" s="34"/>
      <c r="D23" s="34"/>
      <c r="E23" s="34"/>
      <c r="F23" s="34"/>
      <c r="G23" s="34"/>
      <c r="H23" s="37"/>
      <c r="I23" s="34"/>
      <c r="J23" s="37"/>
      <c r="K23" s="34"/>
      <c r="L23" s="44"/>
    </row>
    <row r="24" spans="2:12" ht="15.75" thickBot="1" x14ac:dyDescent="0.3">
      <c r="B24" s="34"/>
      <c r="C24" s="34"/>
      <c r="D24" s="34"/>
      <c r="E24" s="34"/>
      <c r="F24" s="34"/>
      <c r="G24" s="34"/>
      <c r="H24" s="94"/>
      <c r="I24" s="34"/>
      <c r="J24" s="94"/>
      <c r="L24" s="45"/>
    </row>
  </sheetData>
  <mergeCells count="8">
    <mergeCell ref="L4:L5"/>
    <mergeCell ref="B1:K2"/>
    <mergeCell ref="L1:L2"/>
    <mergeCell ref="B4:B5"/>
    <mergeCell ref="D4:D5"/>
    <mergeCell ref="F4:F5"/>
    <mergeCell ref="H4:H5"/>
    <mergeCell ref="J4:J5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3086" r:id="rId3">
          <objectPr defaultSize="0" autoPict="0" r:id="rId4">
            <anchor moveWithCells="1">
              <from>
                <xdr:col>1</xdr:col>
                <xdr:colOff>9525</xdr:colOff>
                <xdr:row>5</xdr:row>
                <xdr:rowOff>0</xdr:rowOff>
              </from>
              <to>
                <xdr:col>1</xdr:col>
                <xdr:colOff>771525</xdr:colOff>
                <xdr:row>9</xdr:row>
                <xdr:rowOff>9525</xdr:rowOff>
              </to>
            </anchor>
          </objectPr>
        </oleObject>
      </mc:Choice>
      <mc:Fallback>
        <oleObject progId="AutoCAD.Drawing.18" shapeId="3086" r:id="rId3"/>
      </mc:Fallback>
    </mc:AlternateContent>
    <mc:AlternateContent xmlns:mc="http://schemas.openxmlformats.org/markup-compatibility/2006">
      <mc:Choice Requires="x14">
        <oleObject progId="AutoCAD.Drawing.18" shapeId="3087" r:id="rId5">
          <objectPr defaultSize="0" autoPict="0" r:id="rId6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3</xdr:col>
                <xdr:colOff>1495425</xdr:colOff>
                <xdr:row>9</xdr:row>
                <xdr:rowOff>9525</xdr:rowOff>
              </to>
            </anchor>
          </objectPr>
        </oleObject>
      </mc:Choice>
      <mc:Fallback>
        <oleObject progId="AutoCAD.Drawing.18" shapeId="3087" r:id="rId5"/>
      </mc:Fallback>
    </mc:AlternateContent>
    <mc:AlternateContent xmlns:mc="http://schemas.openxmlformats.org/markup-compatibility/2006">
      <mc:Choice Requires="x14">
        <oleObject progId="AutoCAD.Drawing.18" shapeId="3088" r:id="rId7">
          <objectPr defaultSize="0" autoPict="0" r:id="rId8">
            <anchor moveWithCells="1">
              <from>
                <xdr:col>5</xdr:col>
                <xdr:colOff>9525</xdr:colOff>
                <xdr:row>5</xdr:row>
                <xdr:rowOff>0</xdr:rowOff>
              </from>
              <to>
                <xdr:col>6</xdr:col>
                <xdr:colOff>0</xdr:colOff>
                <xdr:row>9</xdr:row>
                <xdr:rowOff>0</xdr:rowOff>
              </to>
            </anchor>
          </objectPr>
        </oleObject>
      </mc:Choice>
      <mc:Fallback>
        <oleObject progId="AutoCAD.Drawing.18" shapeId="3088" r:id="rId7"/>
      </mc:Fallback>
    </mc:AlternateContent>
    <mc:AlternateContent xmlns:mc="http://schemas.openxmlformats.org/markup-compatibility/2006">
      <mc:Choice Requires="x14">
        <oleObject progId="AutoCAD.Drawing.18" shapeId="3089" r:id="rId9">
          <objectPr defaultSize="0" autoPict="0" r:id="rId10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5</xdr:col>
                <xdr:colOff>2057400</xdr:colOff>
                <xdr:row>19</xdr:row>
                <xdr:rowOff>133350</xdr:rowOff>
              </to>
            </anchor>
          </objectPr>
        </oleObject>
      </mc:Choice>
      <mc:Fallback>
        <oleObject progId="AutoCAD.Drawing.18" shapeId="3089" r:id="rId9"/>
      </mc:Fallback>
    </mc:AlternateContent>
    <mc:AlternateContent xmlns:mc="http://schemas.openxmlformats.org/markup-compatibility/2006">
      <mc:Choice Requires="x14">
        <oleObject progId="AutoCAD.Drawing.18" shapeId="3090" r:id="rId11">
          <objectPr defaultSize="0" autoPict="0" r:id="rId12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0</xdr:colOff>
                <xdr:row>9</xdr:row>
                <xdr:rowOff>0</xdr:rowOff>
              </to>
            </anchor>
          </objectPr>
        </oleObject>
      </mc:Choice>
      <mc:Fallback>
        <oleObject progId="AutoCAD.Drawing.18" shapeId="3090" r:id="rId11"/>
      </mc:Fallback>
    </mc:AlternateContent>
    <mc:AlternateContent xmlns:mc="http://schemas.openxmlformats.org/markup-compatibility/2006">
      <mc:Choice Requires="x14">
        <oleObject progId="AutoCAD.Drawing.18" shapeId="3091" r:id="rId13">
          <objectPr defaultSize="0" autoPict="0" r:id="rId14">
            <anchor moveWithCells="1">
              <from>
                <xdr:col>7</xdr:col>
                <xdr:colOff>19050</xdr:colOff>
                <xdr:row>10</xdr:row>
                <xdr:rowOff>19050</xdr:rowOff>
              </from>
              <to>
                <xdr:col>7</xdr:col>
                <xdr:colOff>2600325</xdr:colOff>
                <xdr:row>23</xdr:row>
                <xdr:rowOff>0</xdr:rowOff>
              </to>
            </anchor>
          </objectPr>
        </oleObject>
      </mc:Choice>
      <mc:Fallback>
        <oleObject progId="AutoCAD.Drawing.18" shapeId="3091" r:id="rId13"/>
      </mc:Fallback>
    </mc:AlternateContent>
    <mc:AlternateContent xmlns:mc="http://schemas.openxmlformats.org/markup-compatibility/2006">
      <mc:Choice Requires="x14">
        <oleObject progId="AutoCAD.Drawing.18" shapeId="3092" r:id="rId15">
          <objectPr defaultSize="0" autoPict="0" r:id="rId16">
            <anchor moveWithCells="1">
              <from>
                <xdr:col>9</xdr:col>
                <xdr:colOff>9525</xdr:colOff>
                <xdr:row>5</xdr:row>
                <xdr:rowOff>19050</xdr:rowOff>
              </from>
              <to>
                <xdr:col>9</xdr:col>
                <xdr:colOff>1933575</xdr:colOff>
                <xdr:row>10</xdr:row>
                <xdr:rowOff>276225</xdr:rowOff>
              </to>
            </anchor>
          </objectPr>
        </oleObject>
      </mc:Choice>
      <mc:Fallback>
        <oleObject progId="AutoCAD.Drawing.18" shapeId="3092" r:id="rId15"/>
      </mc:Fallback>
    </mc:AlternateContent>
    <mc:AlternateContent xmlns:mc="http://schemas.openxmlformats.org/markup-compatibility/2006">
      <mc:Choice Requires="x14">
        <oleObject progId="AutoCAD.Drawing.18" shapeId="3093" r:id="rId17">
          <objectPr defaultSize="0" autoPict="0" r:id="rId18">
            <anchor moveWithCells="1">
              <from>
                <xdr:col>9</xdr:col>
                <xdr:colOff>9525</xdr:colOff>
                <xdr:row>12</xdr:row>
                <xdr:rowOff>19050</xdr:rowOff>
              </from>
              <to>
                <xdr:col>9</xdr:col>
                <xdr:colOff>1924050</xdr:colOff>
                <xdr:row>23</xdr:row>
                <xdr:rowOff>0</xdr:rowOff>
              </to>
            </anchor>
          </objectPr>
        </oleObject>
      </mc:Choice>
      <mc:Fallback>
        <oleObject progId="AutoCAD.Drawing.18" shapeId="3093" r:id="rId17"/>
      </mc:Fallback>
    </mc:AlternateContent>
    <mc:AlternateContent xmlns:mc="http://schemas.openxmlformats.org/markup-compatibility/2006">
      <mc:Choice Requires="x14">
        <oleObject progId="AutoCAD.Drawing.18" shapeId="3094" r:id="rId19">
          <objectPr defaultSize="0" autoPict="0" r:id="rId20">
            <anchor moveWithCells="1">
              <from>
                <xdr:col>11</xdr:col>
                <xdr:colOff>9525</xdr:colOff>
                <xdr:row>5</xdr:row>
                <xdr:rowOff>9525</xdr:rowOff>
              </from>
              <to>
                <xdr:col>11</xdr:col>
                <xdr:colOff>1733550</xdr:colOff>
                <xdr:row>11</xdr:row>
                <xdr:rowOff>0</xdr:rowOff>
              </to>
            </anchor>
          </objectPr>
        </oleObject>
      </mc:Choice>
      <mc:Fallback>
        <oleObject progId="AutoCAD.Drawing.18" shapeId="3094" r:id="rId1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21" name="Option Button 1">
              <controlPr defaultSize="0" autoFill="0" autoLine="0" autoPict="0" macro="[0]!estaca1">
                <anchor moveWithCells="1">
                  <from>
                    <xdr:col>1</xdr:col>
                    <xdr:colOff>76200</xdr:colOff>
                    <xdr:row>8</xdr:row>
                    <xdr:rowOff>171450</xdr:rowOff>
                  </from>
                  <to>
                    <xdr:col>3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22" name="Option Button 2">
              <controlPr defaultSize="0" autoFill="0" autoLine="0" autoPict="0" macro="[0]!estaca2">
                <anchor moveWithCells="1">
                  <from>
                    <xdr:col>3</xdr:col>
                    <xdr:colOff>381000</xdr:colOff>
                    <xdr:row>8</xdr:row>
                    <xdr:rowOff>180975</xdr:rowOff>
                  </from>
                  <to>
                    <xdr:col>5</xdr:col>
                    <xdr:colOff>57150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23" name="Option Button 3">
              <controlPr defaultSize="0" autoFill="0" autoLine="0" autoPict="0" macro="[0]!estaca3linha">
                <anchor moveWithCells="1">
                  <from>
                    <xdr:col>5</xdr:col>
                    <xdr:colOff>514350</xdr:colOff>
                    <xdr:row>8</xdr:row>
                    <xdr:rowOff>171450</xdr:rowOff>
                  </from>
                  <to>
                    <xdr:col>5</xdr:col>
                    <xdr:colOff>1971675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24" name="Option Button 4">
              <controlPr defaultSize="0" autoFill="0" autoLine="0" autoPict="0" macro="[0]!estaca3tria">
                <anchor moveWithCells="1">
                  <from>
                    <xdr:col>5</xdr:col>
                    <xdr:colOff>476250</xdr:colOff>
                    <xdr:row>20</xdr:row>
                    <xdr:rowOff>0</xdr:rowOff>
                  </from>
                  <to>
                    <xdr:col>5</xdr:col>
                    <xdr:colOff>1933575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25" name="Option Button 5">
              <controlPr defaultSize="0" autoFill="0" autoLine="0" autoPict="0" macro="[0]!estacas4linha">
                <anchor moveWithCells="1">
                  <from>
                    <xdr:col>7</xdr:col>
                    <xdr:colOff>762000</xdr:colOff>
                    <xdr:row>8</xdr:row>
                    <xdr:rowOff>171450</xdr:rowOff>
                  </from>
                  <to>
                    <xdr:col>7</xdr:col>
                    <xdr:colOff>2219325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26" name="Option Button 6">
              <controlPr defaultSize="0" autoFill="0" autoLine="0" autoPict="0" macro="[0]!estacas4retan">
                <anchor moveWithCells="1">
                  <from>
                    <xdr:col>7</xdr:col>
                    <xdr:colOff>742950</xdr:colOff>
                    <xdr:row>23</xdr:row>
                    <xdr:rowOff>0</xdr:rowOff>
                  </from>
                  <to>
                    <xdr:col>7</xdr:col>
                    <xdr:colOff>2200275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27" name="Option Button 7">
              <controlPr defaultSize="0" autoFill="0" autoLine="0" autoPict="0" macro="[0]!estacas5trap">
                <anchor moveWithCells="1">
                  <from>
                    <xdr:col>9</xdr:col>
                    <xdr:colOff>419100</xdr:colOff>
                    <xdr:row>10</xdr:row>
                    <xdr:rowOff>276225</xdr:rowOff>
                  </from>
                  <to>
                    <xdr:col>9</xdr:col>
                    <xdr:colOff>1876425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28" name="Option Button 8">
              <controlPr defaultSize="0" autoFill="0" autoLine="0" autoPict="0" macro="[0]!estacas5pent">
                <anchor moveWithCells="1">
                  <from>
                    <xdr:col>9</xdr:col>
                    <xdr:colOff>371475</xdr:colOff>
                    <xdr:row>22</xdr:row>
                    <xdr:rowOff>161925</xdr:rowOff>
                  </from>
                  <to>
                    <xdr:col>9</xdr:col>
                    <xdr:colOff>1828800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29" name="Option Button 9">
              <controlPr defaultSize="0" autoFill="0" autoLine="0" autoPict="0" macro="[0]!estacas6">
                <anchor moveWithCells="1">
                  <from>
                    <xdr:col>11</xdr:col>
                    <xdr:colOff>495300</xdr:colOff>
                    <xdr:row>10</xdr:row>
                    <xdr:rowOff>266700</xdr:rowOff>
                  </from>
                  <to>
                    <xdr:col>12</xdr:col>
                    <xdr:colOff>200025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0" name="Button 23">
              <controlPr defaultSize="0" print="0" autoFill="0" autoPict="0" macro="[0]!antes3">
                <anchor moveWithCells="1" sizeWithCells="1">
                  <from>
                    <xdr:col>11</xdr:col>
                    <xdr:colOff>9525</xdr:colOff>
                    <xdr:row>22</xdr:row>
                    <xdr:rowOff>19050</xdr:rowOff>
                  </from>
                  <to>
                    <xdr:col>11</xdr:col>
                    <xdr:colOff>1733550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Z40"/>
  <sheetViews>
    <sheetView showGridLines="0" showRowColHeaders="0" zoomScale="85" zoomScaleNormal="85" workbookViewId="0"/>
  </sheetViews>
  <sheetFormatPr defaultRowHeight="15" x14ac:dyDescent="0.25"/>
  <cols>
    <col min="1" max="1" width="8.28515625" customWidth="1"/>
    <col min="7" max="7" width="6.5703125" customWidth="1"/>
    <col min="9" max="9" width="11.7109375" bestFit="1" customWidth="1"/>
    <col min="12" max="12" width="23" bestFit="1" customWidth="1"/>
    <col min="13" max="13" width="12.5703125" customWidth="1"/>
    <col min="14" max="14" width="17.140625" customWidth="1"/>
    <col min="18" max="18" width="21.140625" bestFit="1" customWidth="1"/>
    <col min="19" max="20" width="22.28515625" bestFit="1" customWidth="1"/>
    <col min="23" max="23" width="14.42578125" bestFit="1" customWidth="1"/>
  </cols>
  <sheetData>
    <row r="1" spans="2:26" ht="15.75" thickBot="1" x14ac:dyDescent="0.3">
      <c r="Q1" s="190"/>
      <c r="R1" s="190"/>
      <c r="S1" s="190"/>
      <c r="T1" s="190"/>
      <c r="U1" s="190"/>
      <c r="V1" s="190"/>
      <c r="W1" s="190"/>
      <c r="X1" s="190"/>
      <c r="Y1" s="190"/>
      <c r="Z1" s="190"/>
    </row>
    <row r="2" spans="2:26" ht="15.75" customHeight="1" thickBot="1" x14ac:dyDescent="0.3">
      <c r="L2" s="461" t="s">
        <v>170</v>
      </c>
      <c r="M2" s="462"/>
      <c r="Q2" s="190"/>
      <c r="R2" s="350" t="s">
        <v>60</v>
      </c>
      <c r="S2" s="350">
        <f>Entradas2!F5</f>
        <v>2</v>
      </c>
      <c r="T2" s="190"/>
      <c r="U2" s="190"/>
      <c r="V2" s="190"/>
      <c r="W2" s="190"/>
      <c r="X2" s="190"/>
      <c r="Y2" s="190"/>
      <c r="Z2" s="190"/>
    </row>
    <row r="3" spans="2:26" ht="15.75" customHeight="1" thickBot="1" x14ac:dyDescent="0.3">
      <c r="B3" s="20"/>
      <c r="C3" s="320"/>
      <c r="D3" s="320"/>
      <c r="E3" s="320"/>
      <c r="F3" s="320"/>
      <c r="G3" s="359"/>
      <c r="L3" s="463"/>
      <c r="M3" s="464"/>
      <c r="Q3" s="190"/>
      <c r="R3" s="369" t="s">
        <v>296</v>
      </c>
      <c r="S3" s="190">
        <f>SMALL(Entradas2!C10:C11,1)</f>
        <v>50</v>
      </c>
      <c r="T3" s="190" t="s">
        <v>298</v>
      </c>
      <c r="U3" s="190">
        <f>1.1*(LARGE(S3:S4,1))</f>
        <v>55.000000000000007</v>
      </c>
      <c r="V3" s="190"/>
      <c r="W3" s="190"/>
      <c r="X3" s="190"/>
      <c r="Y3" s="190"/>
      <c r="Z3" s="190"/>
    </row>
    <row r="4" spans="2:26" ht="15.75" thickBot="1" x14ac:dyDescent="0.3">
      <c r="B4" s="41"/>
      <c r="C4" s="362"/>
      <c r="D4" s="362"/>
      <c r="E4" s="362"/>
      <c r="F4" s="362"/>
      <c r="G4" s="42"/>
      <c r="I4" s="66"/>
      <c r="J4" s="68" t="s">
        <v>77</v>
      </c>
      <c r="Q4" s="190"/>
      <c r="R4" s="369" t="s">
        <v>297</v>
      </c>
      <c r="S4" s="190">
        <f>LARGE(Entradas2!C10:C11,1)</f>
        <v>50</v>
      </c>
      <c r="T4" s="190"/>
      <c r="U4" s="190">
        <f>1.5*(J5-(SMALL(S3:S4,1)))</f>
        <v>-40.5</v>
      </c>
      <c r="V4" s="190"/>
      <c r="W4" s="190"/>
      <c r="X4" s="190"/>
      <c r="Y4" s="190"/>
      <c r="Z4" s="190"/>
    </row>
    <row r="5" spans="2:26" x14ac:dyDescent="0.25">
      <c r="B5" s="41"/>
      <c r="C5" s="362"/>
      <c r="D5" s="362"/>
      <c r="E5" s="362"/>
      <c r="F5" s="362"/>
      <c r="G5" s="42"/>
      <c r="I5" s="72" t="s">
        <v>73</v>
      </c>
      <c r="J5" s="69">
        <f>Entradas2!C22</f>
        <v>23</v>
      </c>
      <c r="L5" s="106" t="s">
        <v>172</v>
      </c>
      <c r="M5" s="365">
        <f>X16/100</f>
        <v>0.45</v>
      </c>
      <c r="N5" s="465" t="s">
        <v>210</v>
      </c>
      <c r="Q5" s="190"/>
      <c r="R5" s="369" t="s">
        <v>295</v>
      </c>
      <c r="S5" s="190">
        <f>LARGE(U3:U5,1)</f>
        <v>55.000000000000007</v>
      </c>
      <c r="T5" s="190"/>
      <c r="U5" s="190">
        <f>1.5*(LARGE(S3:S4,1)-'1 Estaca'!J5)</f>
        <v>40.5</v>
      </c>
      <c r="V5" s="190"/>
      <c r="W5" s="190"/>
      <c r="X5" s="190"/>
      <c r="Y5" s="190"/>
      <c r="Z5" s="190"/>
    </row>
    <row r="6" spans="2:26" ht="15.75" thickBot="1" x14ac:dyDescent="0.3">
      <c r="B6" s="41"/>
      <c r="C6" s="362"/>
      <c r="D6" s="362"/>
      <c r="E6" s="362"/>
      <c r="F6" s="362"/>
      <c r="G6" s="42"/>
      <c r="I6" s="73" t="s">
        <v>69</v>
      </c>
      <c r="J6" s="70">
        <f>(J5/2)+15</f>
        <v>26.5</v>
      </c>
      <c r="L6" s="133" t="s">
        <v>173</v>
      </c>
      <c r="M6" s="366">
        <f>U17/100</f>
        <v>0.55000000000000004</v>
      </c>
      <c r="N6" s="466"/>
      <c r="Q6" s="190"/>
      <c r="R6" s="369" t="s">
        <v>237</v>
      </c>
      <c r="S6" s="190">
        <f>S5+10</f>
        <v>65</v>
      </c>
      <c r="T6" s="190"/>
      <c r="U6" s="190"/>
      <c r="V6" s="190"/>
      <c r="W6" s="190"/>
      <c r="X6" s="190"/>
      <c r="Y6" s="190"/>
      <c r="Z6" s="190"/>
    </row>
    <row r="7" spans="2:26" ht="18" x14ac:dyDescent="0.35">
      <c r="B7" s="41"/>
      <c r="C7" s="362"/>
      <c r="D7" s="362"/>
      <c r="E7" s="362"/>
      <c r="F7" s="362"/>
      <c r="G7" s="42"/>
      <c r="I7" s="73" t="s">
        <v>70</v>
      </c>
      <c r="J7" s="70">
        <v>0</v>
      </c>
      <c r="L7" s="106" t="s">
        <v>326</v>
      </c>
      <c r="M7" s="365">
        <f>U27</f>
        <v>2800</v>
      </c>
      <c r="N7" s="467" t="str">
        <f>IF(M7&gt;M8,"Opção: Aumentar o fck do Concreto","Verificação Atendida")</f>
        <v>Verificação Atendida</v>
      </c>
      <c r="Q7" s="190"/>
      <c r="R7" s="369"/>
      <c r="S7" s="190"/>
      <c r="T7" s="190"/>
      <c r="U7" s="190"/>
      <c r="V7" s="190"/>
      <c r="W7" s="190"/>
      <c r="X7" s="190"/>
      <c r="Y7" s="190"/>
      <c r="Z7" s="190"/>
    </row>
    <row r="8" spans="2:26" ht="18.75" thickBot="1" x14ac:dyDescent="0.4">
      <c r="B8" s="41"/>
      <c r="C8" s="362"/>
      <c r="D8" s="362"/>
      <c r="E8" s="362"/>
      <c r="F8" s="362"/>
      <c r="G8" s="42"/>
      <c r="I8" s="73" t="s">
        <v>71</v>
      </c>
      <c r="J8" s="70">
        <v>0</v>
      </c>
      <c r="L8" s="135" t="s">
        <v>328</v>
      </c>
      <c r="M8" s="324">
        <f>U28</f>
        <v>58928.571428571428</v>
      </c>
      <c r="N8" s="468"/>
      <c r="Q8" s="190"/>
      <c r="R8" s="369"/>
      <c r="S8" s="190"/>
      <c r="T8" s="190" t="s">
        <v>338</v>
      </c>
      <c r="U8" s="190">
        <f>Entradas2!C10</f>
        <v>50</v>
      </c>
      <c r="V8" s="190"/>
      <c r="W8" s="190" t="s">
        <v>342</v>
      </c>
      <c r="X8" s="190">
        <f>U8/100</f>
        <v>0.5</v>
      </c>
      <c r="Y8" s="190"/>
      <c r="Z8" s="190"/>
    </row>
    <row r="9" spans="2:26" ht="18.75" thickBot="1" x14ac:dyDescent="0.4">
      <c r="B9" s="41"/>
      <c r="C9" s="362"/>
      <c r="D9" s="362"/>
      <c r="E9" s="362"/>
      <c r="F9" s="362"/>
      <c r="G9" s="42"/>
      <c r="I9" s="73" t="s">
        <v>72</v>
      </c>
      <c r="J9" s="70">
        <f>SUMSQ(J7)</f>
        <v>0</v>
      </c>
      <c r="L9" s="135" t="s">
        <v>349</v>
      </c>
      <c r="M9" s="324">
        <f>U31</f>
        <v>-1059.1304347826085</v>
      </c>
      <c r="Q9" s="190"/>
      <c r="R9" s="369"/>
      <c r="S9" s="190"/>
      <c r="T9" s="190" t="s">
        <v>339</v>
      </c>
      <c r="U9" s="190">
        <f>Entradas2!C11</f>
        <v>50</v>
      </c>
      <c r="V9" s="190"/>
      <c r="W9" s="190" t="s">
        <v>343</v>
      </c>
      <c r="X9" s="190">
        <f>U9/100</f>
        <v>0.5</v>
      </c>
      <c r="Y9" s="190"/>
      <c r="Z9" s="190"/>
    </row>
    <row r="10" spans="2:26" ht="18.75" thickBot="1" x14ac:dyDescent="0.4">
      <c r="B10" s="41"/>
      <c r="C10" s="362"/>
      <c r="D10" s="362"/>
      <c r="E10" s="362"/>
      <c r="F10" s="362"/>
      <c r="G10" s="42"/>
      <c r="I10" s="73" t="s">
        <v>74</v>
      </c>
      <c r="J10" s="70">
        <f>SUMSQ(J9)</f>
        <v>0</v>
      </c>
      <c r="L10" s="135" t="s">
        <v>350</v>
      </c>
      <c r="M10" s="324">
        <f>U36</f>
        <v>-1059.1304347826085</v>
      </c>
      <c r="Q10" s="190"/>
      <c r="R10" s="190"/>
      <c r="S10" s="190"/>
      <c r="T10" s="190" t="s">
        <v>340</v>
      </c>
      <c r="U10" s="190">
        <f>SMALL(U8:U9,1)</f>
        <v>50</v>
      </c>
      <c r="V10" s="190"/>
      <c r="W10" s="190"/>
      <c r="X10" s="190"/>
      <c r="Y10" s="190"/>
      <c r="Z10" s="190"/>
    </row>
    <row r="11" spans="2:26" ht="18.75" thickBot="1" x14ac:dyDescent="0.4">
      <c r="B11" s="41"/>
      <c r="C11" s="362"/>
      <c r="D11" s="362"/>
      <c r="E11" s="362"/>
      <c r="F11" s="362"/>
      <c r="G11" s="42"/>
      <c r="I11" s="74" t="s">
        <v>76</v>
      </c>
      <c r="J11" s="71">
        <f>(Entradas2!C5)/Entradas2!F5</f>
        <v>500</v>
      </c>
      <c r="L11" s="137" t="s">
        <v>351</v>
      </c>
      <c r="M11" s="138">
        <f>U30</f>
        <v>-238.30434782608697</v>
      </c>
      <c r="Q11" s="190"/>
      <c r="R11" s="190"/>
      <c r="S11" s="190"/>
      <c r="T11" s="190" t="s">
        <v>341</v>
      </c>
      <c r="U11" s="190">
        <f>LARGE(U8:U9,1)</f>
        <v>50</v>
      </c>
      <c r="V11" s="190"/>
      <c r="W11" s="190"/>
      <c r="X11" s="190"/>
      <c r="Y11" s="190"/>
      <c r="Z11" s="190"/>
    </row>
    <row r="12" spans="2:26" ht="18.75" thickBot="1" x14ac:dyDescent="0.4">
      <c r="B12" s="41"/>
      <c r="C12" s="362"/>
      <c r="D12" s="362"/>
      <c r="E12" s="362"/>
      <c r="F12" s="362"/>
      <c r="G12" s="42"/>
      <c r="I12" s="47"/>
      <c r="J12" s="46"/>
      <c r="L12" s="137" t="s">
        <v>352</v>
      </c>
      <c r="M12" s="138">
        <f>U35</f>
        <v>-238.30434782608697</v>
      </c>
      <c r="Q12" s="190"/>
      <c r="R12" s="190"/>
      <c r="S12" s="190"/>
      <c r="T12" s="190" t="s">
        <v>346</v>
      </c>
      <c r="U12" s="190">
        <f>U10*U11</f>
        <v>2500</v>
      </c>
      <c r="V12" s="190"/>
      <c r="W12" s="190" t="s">
        <v>347</v>
      </c>
      <c r="X12" s="190">
        <f>U12/10000</f>
        <v>0.25</v>
      </c>
      <c r="Y12" s="190"/>
      <c r="Z12" s="190"/>
    </row>
    <row r="13" spans="2:26" ht="15.75" thickBot="1" x14ac:dyDescent="0.3">
      <c r="B13" s="41"/>
      <c r="C13" s="362"/>
      <c r="D13" s="362"/>
      <c r="E13" s="362"/>
      <c r="F13" s="362"/>
      <c r="G13" s="42"/>
      <c r="I13" s="357" t="s">
        <v>75</v>
      </c>
      <c r="J13" s="358">
        <f>J11</f>
        <v>500</v>
      </c>
      <c r="Q13" s="190"/>
      <c r="R13" s="190" t="s">
        <v>353</v>
      </c>
      <c r="S13" s="190" t="s">
        <v>354</v>
      </c>
      <c r="T13" s="488" t="s">
        <v>324</v>
      </c>
      <c r="U13" s="190">
        <f>1.1*J5</f>
        <v>25.3</v>
      </c>
      <c r="V13" s="190"/>
      <c r="W13" s="190"/>
      <c r="X13" s="190"/>
      <c r="Y13" s="190"/>
      <c r="Z13" s="190"/>
    </row>
    <row r="14" spans="2:26" ht="15.75" thickBot="1" x14ac:dyDescent="0.3">
      <c r="B14" s="41"/>
      <c r="C14" s="362"/>
      <c r="D14" s="362"/>
      <c r="E14" s="362"/>
      <c r="F14" s="362"/>
      <c r="G14" s="42"/>
      <c r="L14" s="469" t="s">
        <v>180</v>
      </c>
      <c r="M14" s="470"/>
      <c r="N14" s="471"/>
      <c r="Q14" s="190"/>
      <c r="R14" s="190" t="s">
        <v>355</v>
      </c>
      <c r="S14" s="190"/>
      <c r="T14" s="488"/>
      <c r="U14" s="190">
        <f>1.5*(J5-U10)</f>
        <v>-40.5</v>
      </c>
      <c r="V14" s="190"/>
      <c r="W14" s="190"/>
      <c r="X14" s="190"/>
      <c r="Y14" s="190"/>
      <c r="Z14" s="190"/>
    </row>
    <row r="15" spans="2:26" x14ac:dyDescent="0.25">
      <c r="B15" s="41"/>
      <c r="C15" s="362"/>
      <c r="D15" s="362"/>
      <c r="E15" s="362"/>
      <c r="F15" s="362"/>
      <c r="G15" s="42"/>
      <c r="L15" s="105"/>
      <c r="M15" s="484" t="s">
        <v>181</v>
      </c>
      <c r="N15" s="485"/>
      <c r="Q15" s="190"/>
      <c r="R15" s="190"/>
      <c r="S15" s="190"/>
      <c r="T15" s="488"/>
      <c r="U15" s="190">
        <f>1.5*(U11-J5)</f>
        <v>40.5</v>
      </c>
      <c r="V15" s="190"/>
      <c r="W15" s="190"/>
      <c r="X15" s="190"/>
      <c r="Y15" s="190"/>
      <c r="Z15" s="190"/>
    </row>
    <row r="16" spans="2:26" ht="15.75" thickBot="1" x14ac:dyDescent="0.3">
      <c r="B16" s="41"/>
      <c r="C16" s="362"/>
      <c r="D16" s="362"/>
      <c r="E16" s="362"/>
      <c r="F16" s="362"/>
      <c r="G16" s="42"/>
      <c r="L16" s="104"/>
      <c r="M16" s="486" t="s">
        <v>182</v>
      </c>
      <c r="N16" s="487"/>
      <c r="Q16" s="190"/>
      <c r="R16" s="190"/>
      <c r="S16" s="190"/>
      <c r="T16" s="190" t="s">
        <v>103</v>
      </c>
      <c r="U16" s="190">
        <f>LARGE(U13:U15,1)</f>
        <v>40.5</v>
      </c>
      <c r="V16" s="190"/>
      <c r="W16" s="190" t="s">
        <v>325</v>
      </c>
      <c r="X16" s="190">
        <f>CEILING(U16,5)</f>
        <v>45</v>
      </c>
      <c r="Y16" s="190"/>
      <c r="Z16" s="190"/>
    </row>
    <row r="17" spans="2:26" x14ac:dyDescent="0.25">
      <c r="B17" s="41"/>
      <c r="C17" s="362"/>
      <c r="D17" s="362"/>
      <c r="E17" s="362"/>
      <c r="F17" s="362"/>
      <c r="G17" s="42"/>
      <c r="Q17" s="190"/>
      <c r="R17" s="190"/>
      <c r="S17" s="190"/>
      <c r="T17" s="190" t="s">
        <v>104</v>
      </c>
      <c r="U17" s="190">
        <f>X16+10</f>
        <v>55</v>
      </c>
      <c r="V17" s="190"/>
      <c r="W17" s="190" t="s">
        <v>344</v>
      </c>
      <c r="X17" s="190">
        <f>X16/100</f>
        <v>0.45</v>
      </c>
      <c r="Y17" s="190"/>
      <c r="Z17" s="190"/>
    </row>
    <row r="18" spans="2:26" ht="15.75" thickBot="1" x14ac:dyDescent="0.3">
      <c r="B18" s="41"/>
      <c r="C18" s="362"/>
      <c r="D18" s="362"/>
      <c r="E18" s="362"/>
      <c r="F18" s="362"/>
      <c r="G18" s="42"/>
      <c r="Q18" s="190"/>
      <c r="R18" s="190"/>
      <c r="S18" s="190"/>
      <c r="T18" s="190" t="s">
        <v>87</v>
      </c>
      <c r="U18" s="190">
        <f>(PI()*(J5^2)/4)/10000</f>
        <v>4.154756284372501E-2</v>
      </c>
      <c r="V18" s="190"/>
      <c r="W18" s="190"/>
      <c r="X18" s="190"/>
      <c r="Y18" s="190"/>
      <c r="Z18" s="190"/>
    </row>
    <row r="19" spans="2:26" ht="15.75" thickBot="1" x14ac:dyDescent="0.3">
      <c r="B19" s="360"/>
      <c r="C19" s="321"/>
      <c r="D19" s="321"/>
      <c r="E19" s="321"/>
      <c r="F19" s="321"/>
      <c r="G19" s="361"/>
      <c r="L19" s="478" t="str">
        <f>IF(J13&gt;T39,"ATENÇÃO: Reação Máxima maior que a Carga Admissível Geotécnica","Verificação da Reação Máxima com a Carga Admissível do solo Atendida")</f>
        <v>Verificação da Reação Máxima com a Carga Admissível do solo Atendida</v>
      </c>
      <c r="M19" s="479"/>
      <c r="N19" s="480"/>
      <c r="Q19" s="190"/>
      <c r="R19" s="190"/>
      <c r="S19" s="190"/>
      <c r="T19" s="190"/>
      <c r="U19" s="190"/>
      <c r="V19" s="190"/>
      <c r="W19" s="190"/>
      <c r="X19" s="190"/>
      <c r="Y19" s="190"/>
      <c r="Z19" s="190"/>
    </row>
    <row r="20" spans="2:26" ht="15.75" customHeight="1" thickBot="1" x14ac:dyDescent="0.3">
      <c r="L20" s="481"/>
      <c r="M20" s="482"/>
      <c r="N20" s="483"/>
      <c r="Q20" s="190"/>
      <c r="R20" s="190"/>
      <c r="S20" s="190"/>
      <c r="T20" s="190" t="s">
        <v>348</v>
      </c>
      <c r="U20" s="190">
        <f>U9/U8</f>
        <v>1</v>
      </c>
      <c r="V20" s="190"/>
      <c r="W20" s="190"/>
      <c r="X20" s="190"/>
      <c r="Y20" s="190"/>
      <c r="Z20" s="190"/>
    </row>
    <row r="21" spans="2:26" ht="15.75" thickBot="1" x14ac:dyDescent="0.3">
      <c r="Q21" s="190"/>
      <c r="R21" s="190"/>
      <c r="S21" s="190"/>
      <c r="T21" s="190"/>
      <c r="U21" s="190"/>
      <c r="V21" s="190"/>
      <c r="W21" s="190"/>
      <c r="X21" s="190"/>
      <c r="Y21" s="190"/>
      <c r="Z21" s="190"/>
    </row>
    <row r="22" spans="2:26" x14ac:dyDescent="0.25">
      <c r="B22" s="472" t="str">
        <f>IF(S2=1,"Bloco Selecionado está Correto","Bloco Selecionado Incorreto")</f>
        <v>Bloco Selecionado Incorreto</v>
      </c>
      <c r="C22" s="473"/>
      <c r="D22" s="473"/>
      <c r="E22" s="473"/>
      <c r="F22" s="473"/>
      <c r="G22" s="473"/>
      <c r="H22" s="474"/>
      <c r="Q22" s="190"/>
      <c r="R22" s="190"/>
      <c r="S22" s="190"/>
      <c r="T22" s="190"/>
      <c r="U22" s="190"/>
      <c r="V22" s="190"/>
      <c r="W22" s="190"/>
      <c r="X22" s="190"/>
      <c r="Y22" s="190"/>
      <c r="Z22" s="190"/>
    </row>
    <row r="23" spans="2:26" ht="15.75" thickBot="1" x14ac:dyDescent="0.3">
      <c r="B23" s="475"/>
      <c r="C23" s="476"/>
      <c r="D23" s="476"/>
      <c r="E23" s="476"/>
      <c r="F23" s="476"/>
      <c r="G23" s="476"/>
      <c r="H23" s="477"/>
      <c r="Q23" s="190"/>
      <c r="R23" s="190"/>
      <c r="S23" s="190"/>
      <c r="T23" s="190"/>
      <c r="U23" s="190"/>
      <c r="V23" s="190"/>
      <c r="W23" s="190"/>
      <c r="X23" s="190"/>
      <c r="Y23" s="190"/>
      <c r="Z23" s="190"/>
    </row>
    <row r="24" spans="2:26" x14ac:dyDescent="0.25">
      <c r="Q24" s="190"/>
      <c r="R24" s="190"/>
      <c r="S24" s="190"/>
      <c r="T24" s="190" t="s">
        <v>337</v>
      </c>
      <c r="U24" s="190">
        <f>Entradas2!C17*J13</f>
        <v>700</v>
      </c>
      <c r="V24" s="190"/>
      <c r="W24" s="190"/>
      <c r="X24" s="190"/>
      <c r="Y24" s="190"/>
      <c r="Z24" s="190"/>
    </row>
    <row r="25" spans="2:26" x14ac:dyDescent="0.25">
      <c r="Q25" s="190"/>
      <c r="R25" s="190"/>
      <c r="S25" s="190"/>
      <c r="T25" s="190" t="s">
        <v>345</v>
      </c>
      <c r="U25" s="190">
        <f>Entradas2!C13/Entradas2!C17</f>
        <v>17.857142857142858</v>
      </c>
      <c r="V25" s="190"/>
      <c r="W25" s="190" t="s">
        <v>120</v>
      </c>
      <c r="X25" s="190">
        <f>U25*1000</f>
        <v>17857.142857142859</v>
      </c>
      <c r="Y25" s="190"/>
      <c r="Z25" s="190"/>
    </row>
    <row r="26" spans="2:26" ht="15.75" thickBot="1" x14ac:dyDescent="0.3">
      <c r="Q26" s="190"/>
      <c r="R26" s="190"/>
      <c r="S26" s="190"/>
      <c r="T26" s="190"/>
      <c r="U26" s="190"/>
      <c r="V26" s="190"/>
      <c r="W26" s="190"/>
      <c r="X26" s="190"/>
      <c r="Y26" s="190"/>
      <c r="Z26" s="190"/>
    </row>
    <row r="27" spans="2:26" ht="18.75" thickBot="1" x14ac:dyDescent="0.4">
      <c r="Q27" s="190"/>
      <c r="R27" s="190"/>
      <c r="S27" s="190"/>
      <c r="T27" s="370" t="s">
        <v>326</v>
      </c>
      <c r="U27" s="190">
        <f>U24/X12</f>
        <v>2800</v>
      </c>
      <c r="V27" s="190"/>
      <c r="W27" s="190"/>
      <c r="X27" s="190"/>
      <c r="Y27" s="190"/>
      <c r="Z27" s="190"/>
    </row>
    <row r="28" spans="2:26" ht="18" x14ac:dyDescent="0.35">
      <c r="Q28" s="190"/>
      <c r="R28" s="190"/>
      <c r="S28" s="190"/>
      <c r="T28" s="370" t="s">
        <v>327</v>
      </c>
      <c r="U28" s="190">
        <f>3.3*X25</f>
        <v>58928.571428571428</v>
      </c>
      <c r="V28" s="190"/>
      <c r="W28" s="190"/>
      <c r="X28" s="190"/>
      <c r="Y28" s="190"/>
      <c r="Z28" s="190"/>
    </row>
    <row r="29" spans="2:26" x14ac:dyDescent="0.25">
      <c r="Q29" s="190"/>
      <c r="R29" s="190"/>
      <c r="S29" s="190"/>
      <c r="T29" s="190"/>
      <c r="U29" s="190"/>
      <c r="V29" s="190"/>
      <c r="W29" s="190"/>
      <c r="X29" s="190"/>
      <c r="Y29" s="190"/>
      <c r="Z29" s="190"/>
    </row>
    <row r="30" spans="2:26" ht="15.75" thickBot="1" x14ac:dyDescent="0.3">
      <c r="Q30" s="190"/>
      <c r="R30" s="190"/>
      <c r="S30" s="190" t="s">
        <v>329</v>
      </c>
      <c r="T30" s="190" t="s">
        <v>333</v>
      </c>
      <c r="U30" s="190">
        <f>0.29*U24*((J5-U10)/J5)</f>
        <v>-238.30434782608697</v>
      </c>
      <c r="V30" s="190"/>
      <c r="W30" s="190"/>
      <c r="X30" s="190"/>
      <c r="Y30" s="190"/>
      <c r="Z30" s="190"/>
    </row>
    <row r="31" spans="2:26" ht="18" x14ac:dyDescent="0.35">
      <c r="Q31" s="190"/>
      <c r="R31" s="190"/>
      <c r="S31" s="190" t="s">
        <v>331</v>
      </c>
      <c r="T31" s="370" t="s">
        <v>336</v>
      </c>
      <c r="U31" s="190">
        <f>0.29*(U24/(X9*X17))*((J5-U10)/J5)</f>
        <v>-1059.1304347826085</v>
      </c>
      <c r="V31" s="190"/>
      <c r="W31" s="190" t="s">
        <v>356</v>
      </c>
      <c r="X31" s="190"/>
      <c r="Y31" s="190"/>
      <c r="Z31" s="190"/>
    </row>
    <row r="32" spans="2:26" x14ac:dyDescent="0.25">
      <c r="Q32" s="190"/>
      <c r="R32" s="190"/>
      <c r="S32" s="190"/>
      <c r="T32" s="190"/>
      <c r="U32" s="190"/>
      <c r="V32" s="190"/>
      <c r="W32" s="190"/>
      <c r="X32" s="190"/>
      <c r="Y32" s="190"/>
      <c r="Z32" s="190"/>
    </row>
    <row r="33" spans="17:26" x14ac:dyDescent="0.25">
      <c r="Q33" s="190"/>
      <c r="R33" s="190"/>
      <c r="S33" s="190"/>
      <c r="T33" s="190"/>
      <c r="U33" s="190"/>
      <c r="V33" s="190"/>
      <c r="W33" s="190"/>
      <c r="X33" s="190"/>
      <c r="Y33" s="190"/>
      <c r="Z33" s="190"/>
    </row>
    <row r="34" spans="17:26" x14ac:dyDescent="0.25">
      <c r="Q34" s="190"/>
      <c r="R34" s="190"/>
      <c r="S34" s="190"/>
      <c r="T34" s="190"/>
      <c r="U34" s="190"/>
      <c r="V34" s="190"/>
      <c r="W34" s="190"/>
      <c r="X34" s="190"/>
      <c r="Y34" s="190"/>
      <c r="Z34" s="190"/>
    </row>
    <row r="35" spans="17:26" ht="15.75" thickBot="1" x14ac:dyDescent="0.3">
      <c r="Q35" s="190"/>
      <c r="R35" s="190"/>
      <c r="S35" s="190" t="s">
        <v>330</v>
      </c>
      <c r="T35" s="190" t="s">
        <v>334</v>
      </c>
      <c r="U35" s="190">
        <f>0.29*U24*((J5-U11)/J5)</f>
        <v>-238.30434782608697</v>
      </c>
      <c r="V35" s="190"/>
      <c r="W35" s="190"/>
      <c r="X35" s="190"/>
      <c r="Y35" s="190"/>
      <c r="Z35" s="190"/>
    </row>
    <row r="36" spans="17:26" ht="18" x14ac:dyDescent="0.35">
      <c r="Q36" s="190"/>
      <c r="R36" s="190"/>
      <c r="S36" s="190" t="s">
        <v>332</v>
      </c>
      <c r="T36" s="370" t="s">
        <v>335</v>
      </c>
      <c r="U36" s="190">
        <f>0.29*(U24/(X8*X17))*((J5-U11)/J5)</f>
        <v>-1059.1304347826085</v>
      </c>
      <c r="V36" s="190"/>
      <c r="W36" s="190"/>
      <c r="X36" s="190"/>
      <c r="Y36" s="190"/>
      <c r="Z36" s="190"/>
    </row>
    <row r="37" spans="17:26" x14ac:dyDescent="0.25">
      <c r="Q37" s="190"/>
      <c r="R37" s="190"/>
      <c r="S37" s="190"/>
      <c r="T37" s="190"/>
      <c r="U37" s="190"/>
      <c r="V37" s="190"/>
      <c r="W37" s="190"/>
      <c r="X37" s="190"/>
      <c r="Y37" s="190"/>
      <c r="Z37" s="190"/>
    </row>
    <row r="38" spans="17:26" x14ac:dyDescent="0.25">
      <c r="Q38" s="190"/>
      <c r="R38" s="190"/>
      <c r="S38" s="190"/>
      <c r="T38" s="190"/>
      <c r="U38" s="190"/>
      <c r="V38" s="190"/>
      <c r="W38" s="190"/>
      <c r="X38" s="190"/>
      <c r="Y38" s="190"/>
      <c r="Z38" s="190"/>
    </row>
    <row r="39" spans="17:26" x14ac:dyDescent="0.25">
      <c r="Q39" s="190"/>
      <c r="R39" s="190"/>
      <c r="S39" s="190" t="s">
        <v>218</v>
      </c>
      <c r="T39" s="190">
        <f>Entradas2!C24</f>
        <v>670</v>
      </c>
      <c r="U39" s="190"/>
      <c r="V39" s="190"/>
      <c r="W39" s="190"/>
      <c r="X39" s="190"/>
      <c r="Y39" s="190"/>
      <c r="Z39" s="190"/>
    </row>
    <row r="40" spans="17:26" x14ac:dyDescent="0.25">
      <c r="Q40" s="190"/>
      <c r="R40" s="190"/>
      <c r="S40" s="190"/>
      <c r="T40" s="190"/>
      <c r="U40" s="190"/>
      <c r="V40" s="190"/>
      <c r="W40" s="190"/>
      <c r="X40" s="190"/>
      <c r="Y40" s="190"/>
      <c r="Z40" s="190"/>
    </row>
  </sheetData>
  <mergeCells count="9">
    <mergeCell ref="T13:T15"/>
    <mergeCell ref="L2:M3"/>
    <mergeCell ref="N5:N6"/>
    <mergeCell ref="N7:N8"/>
    <mergeCell ref="L14:N14"/>
    <mergeCell ref="B22:H23"/>
    <mergeCell ref="L19:N20"/>
    <mergeCell ref="M15:N15"/>
    <mergeCell ref="M16:N16"/>
  </mergeCells>
  <conditionalFormatting sqref="B22:H23">
    <cfRule type="expression" dxfId="137" priority="7">
      <formula>$S$2&lt;&gt;1</formula>
    </cfRule>
    <cfRule type="expression" dxfId="136" priority="8">
      <formula>$S$2=1</formula>
    </cfRule>
  </conditionalFormatting>
  <conditionalFormatting sqref="L7:M8">
    <cfRule type="expression" dxfId="135" priority="5">
      <formula>$M$7&gt;$M$8</formula>
    </cfRule>
    <cfRule type="expression" dxfId="134" priority="6">
      <formula>$M$8&gt;=$M$7</formula>
    </cfRule>
  </conditionalFormatting>
  <conditionalFormatting sqref="L19:N20">
    <cfRule type="expression" dxfId="133" priority="1">
      <formula>$J$13&gt;$T$39</formula>
    </cfRule>
    <cfRule type="expression" dxfId="132" priority="2">
      <formula>$J$13&lt;=$T$39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4098" r:id="rId3">
          <objectPr defaultSize="0" autoPict="0" r:id="rId4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6</xdr:col>
                <xdr:colOff>419100</xdr:colOff>
                <xdr:row>18</xdr:row>
                <xdr:rowOff>142875</xdr:rowOff>
              </to>
            </anchor>
          </objectPr>
        </oleObject>
      </mc:Choice>
      <mc:Fallback>
        <oleObject progId="AutoCAD.Drawing.18" shapeId="4098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ntes2">
                <anchor moveWithCells="1" sizeWithCells="1">
                  <from>
                    <xdr:col>8</xdr:col>
                    <xdr:colOff>342900</xdr:colOff>
                    <xdr:row>20</xdr:row>
                    <xdr:rowOff>190500</xdr:rowOff>
                  </from>
                  <to>
                    <xdr:col>11</xdr:col>
                    <xdr:colOff>57150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umaestacaprox">
                <anchor moveWithCells="1" sizeWithCells="1">
                  <from>
                    <xdr:col>11</xdr:col>
                    <xdr:colOff>409575</xdr:colOff>
                    <xdr:row>20</xdr:row>
                    <xdr:rowOff>180975</xdr:rowOff>
                  </from>
                  <to>
                    <xdr:col>12</xdr:col>
                    <xdr:colOff>647700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107"/>
  <sheetViews>
    <sheetView showGridLines="0" showRowColHeaders="0" topLeftCell="A22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7" max="17" width="16.85546875" customWidth="1"/>
    <col min="18" max="18" width="10.28515625" bestFit="1" customWidth="1"/>
    <col min="19" max="19" width="12.5703125" customWidth="1"/>
    <col min="20" max="20" width="12.7109375" customWidth="1"/>
  </cols>
  <sheetData>
    <row r="1" spans="2:20" x14ac:dyDescent="0.25">
      <c r="B1" s="505" t="s">
        <v>304</v>
      </c>
      <c r="C1" s="506"/>
      <c r="D1" s="506"/>
      <c r="E1" s="506"/>
      <c r="F1" s="506"/>
      <c r="G1" s="507"/>
      <c r="K1" s="190"/>
      <c r="L1" s="190"/>
      <c r="M1" s="190"/>
      <c r="N1" s="190"/>
      <c r="O1" s="190"/>
      <c r="P1" s="190"/>
      <c r="Q1" s="190"/>
      <c r="R1" s="190"/>
      <c r="S1" s="190"/>
      <c r="T1" s="190"/>
    </row>
    <row r="2" spans="2:20" ht="15.75" thickBot="1" x14ac:dyDescent="0.3">
      <c r="B2" s="508"/>
      <c r="C2" s="509"/>
      <c r="D2" s="509"/>
      <c r="E2" s="509"/>
      <c r="F2" s="509"/>
      <c r="G2" s="510"/>
      <c r="K2" s="190"/>
      <c r="L2" s="190" t="s">
        <v>310</v>
      </c>
      <c r="M2" s="190" t="s">
        <v>309</v>
      </c>
      <c r="N2" s="190"/>
      <c r="O2" s="190">
        <f>G4/(G10+4)</f>
        <v>-0.83314285714285707</v>
      </c>
      <c r="P2" s="190"/>
      <c r="Q2" s="190" t="s">
        <v>301</v>
      </c>
      <c r="R2" s="190">
        <f>(('1 Estaca'!J5-'1 Estaca'!S3)/'1 Estaca'!J5)*'1 Estaca'!J13*Entradas2!C19*Entradas2!C16*0.3</f>
        <v>-253.56521739130434</v>
      </c>
      <c r="S2" s="190"/>
      <c r="T2" s="190"/>
    </row>
    <row r="3" spans="2:20" ht="15.75" thickBot="1" x14ac:dyDescent="0.3">
      <c r="K3" s="190"/>
      <c r="L3" s="190" t="s">
        <v>311</v>
      </c>
      <c r="M3" s="548" t="s">
        <v>309</v>
      </c>
      <c r="N3" s="548"/>
      <c r="O3" s="190">
        <f>G30/G36</f>
        <v>-0.38880000000000003</v>
      </c>
      <c r="P3" s="190"/>
      <c r="Q3" s="190" t="s">
        <v>302</v>
      </c>
      <c r="R3" s="190">
        <f>(('1 Estaca'!J5-'1 Estaca'!S4)/'1 Estaca'!J5)*'1 Estaca'!J11*Entradas2!C19*Entradas2!C16*0.3</f>
        <v>-253.56521739130434</v>
      </c>
      <c r="S3" s="190"/>
      <c r="T3" s="190"/>
    </row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-5.8319999999999999</v>
      </c>
      <c r="K4" s="190"/>
      <c r="L4" s="190"/>
      <c r="M4" s="190"/>
      <c r="N4" s="190"/>
      <c r="O4" s="190"/>
      <c r="P4" s="190"/>
      <c r="Q4" s="190"/>
      <c r="R4" s="545" t="s">
        <v>316</v>
      </c>
      <c r="S4" s="545"/>
      <c r="T4" s="190">
        <v>4</v>
      </c>
    </row>
    <row r="5" spans="2:20" ht="18.75" thickBot="1" x14ac:dyDescent="0.3">
      <c r="B5" s="120" t="s">
        <v>167</v>
      </c>
      <c r="C5" s="197">
        <f>LARGE(R2:R3,1)</f>
        <v>-253.56521739130434</v>
      </c>
      <c r="K5" s="190"/>
      <c r="L5" s="190"/>
      <c r="M5" s="190"/>
      <c r="N5" s="190"/>
      <c r="O5" s="190"/>
      <c r="P5" s="190"/>
      <c r="Q5" s="190"/>
      <c r="R5" s="545" t="s">
        <v>313</v>
      </c>
      <c r="S5" s="545"/>
      <c r="T5" s="190">
        <f>(((D100/10)^2)*PI())/4</f>
        <v>3.1415926535897931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31"/>
      <c r="K6" s="190"/>
      <c r="L6" s="190"/>
      <c r="M6" s="190"/>
      <c r="N6" s="190"/>
      <c r="O6" s="190"/>
      <c r="P6" s="190"/>
      <c r="Q6" s="190"/>
      <c r="R6" s="545" t="s">
        <v>314</v>
      </c>
      <c r="S6" s="545"/>
      <c r="T6" s="190">
        <f>G4/T5</f>
        <v>-1.8563832562238671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31"/>
      <c r="K7" s="190"/>
      <c r="L7" s="190"/>
      <c r="M7" s="190"/>
      <c r="N7" s="190"/>
      <c r="O7" s="190"/>
      <c r="P7" s="190"/>
      <c r="Q7" s="190"/>
      <c r="R7" s="545" t="s">
        <v>315</v>
      </c>
      <c r="S7" s="545"/>
      <c r="T7" s="190">
        <f>IF(ROUNDUP((T6/T4),0)&lt;2,2,ROUNDUP((T6/T4),0))</f>
        <v>2</v>
      </c>
    </row>
    <row r="8" spans="2:20" ht="15.75" thickBot="1" x14ac:dyDescent="0.3">
      <c r="B8" s="122" t="s">
        <v>136</v>
      </c>
      <c r="C8" s="8">
        <f>Entradas2!C22</f>
        <v>23</v>
      </c>
      <c r="E8" s="522">
        <f>L5</f>
        <v>0</v>
      </c>
      <c r="F8" s="523"/>
      <c r="G8" s="524"/>
      <c r="H8" s="331"/>
      <c r="K8" s="190"/>
      <c r="L8" s="190"/>
      <c r="M8" s="190"/>
      <c r="N8" s="190"/>
      <c r="O8" s="190"/>
      <c r="P8" s="190"/>
      <c r="Q8" s="190"/>
      <c r="R8" s="545" t="s">
        <v>319</v>
      </c>
      <c r="S8" s="545"/>
      <c r="T8" s="190">
        <f>T7</f>
        <v>2</v>
      </c>
    </row>
    <row r="9" spans="2:20" ht="15.75" thickBot="1" x14ac:dyDescent="0.3">
      <c r="E9" s="331"/>
      <c r="F9" s="331"/>
      <c r="G9" s="331"/>
      <c r="H9" s="331"/>
      <c r="K9" s="190"/>
      <c r="L9" s="190"/>
      <c r="M9" s="190"/>
      <c r="N9" s="190"/>
      <c r="O9" s="190"/>
      <c r="P9" s="190"/>
      <c r="Q9" s="190"/>
      <c r="R9" s="190"/>
      <c r="S9" s="190"/>
      <c r="T9" s="190"/>
    </row>
    <row r="10" spans="2:20" ht="15.75" thickBot="1" x14ac:dyDescent="0.3">
      <c r="B10" s="521" t="s">
        <v>214</v>
      </c>
      <c r="C10" s="465"/>
      <c r="D10" s="276"/>
      <c r="E10" s="489" t="s">
        <v>318</v>
      </c>
      <c r="F10" s="491"/>
      <c r="G10" s="125">
        <f>ROUNDUP(IF(T10&gt;20,('1 Estaca'!S6-'1 Est Arm'!C6*2)/20,'1 Est Arm'!T8),0)</f>
        <v>3</v>
      </c>
      <c r="K10" s="190"/>
      <c r="L10" s="190"/>
      <c r="M10" s="190"/>
      <c r="N10" s="190"/>
      <c r="O10" s="190"/>
      <c r="P10" s="190"/>
      <c r="Q10" s="190"/>
      <c r="R10" s="545" t="s">
        <v>228</v>
      </c>
      <c r="S10" s="545"/>
      <c r="T10" s="190">
        <f>('1 Estaca'!S6-2*C6-(D100/10)*T7)/T7</f>
        <v>26.5</v>
      </c>
    </row>
    <row r="11" spans="2:20" ht="15.75" thickBot="1" x14ac:dyDescent="0.3">
      <c r="B11" s="122" t="s">
        <v>204</v>
      </c>
      <c r="C11" s="8">
        <v>0.7</v>
      </c>
      <c r="D11" s="276"/>
      <c r="E11" s="529" t="s">
        <v>317</v>
      </c>
      <c r="F11" s="530"/>
      <c r="G11" s="533">
        <f>IF(T10&gt;20,(('1 Estaca'!S6-2*'1 Est Arm'!C6-('1 Est Arm'!D100/10)*'1 Est Arm'!G10)/'1 Est Arm'!G10),T10)</f>
        <v>17</v>
      </c>
      <c r="K11" s="190"/>
      <c r="L11" s="190"/>
      <c r="M11" s="190"/>
      <c r="N11" s="190"/>
      <c r="O11" s="190"/>
      <c r="P11" s="190"/>
      <c r="Q11" s="190"/>
      <c r="R11" s="545"/>
      <c r="S11" s="545"/>
      <c r="T11" s="190"/>
    </row>
    <row r="12" spans="2:20" ht="15.75" thickBot="1" x14ac:dyDescent="0.3">
      <c r="D12" s="276"/>
      <c r="E12" s="531"/>
      <c r="F12" s="532"/>
      <c r="G12" s="534"/>
      <c r="K12" s="190"/>
      <c r="L12" s="190"/>
      <c r="M12" s="190"/>
      <c r="N12" s="190"/>
      <c r="O12" s="190"/>
      <c r="P12" s="190"/>
      <c r="Q12" s="190"/>
      <c r="R12" s="190" t="s">
        <v>359</v>
      </c>
      <c r="S12" s="190">
        <f>0.3*0.7*Entradas2!C13^(2/3)</f>
        <v>1.795474744010531</v>
      </c>
      <c r="T12" s="190"/>
    </row>
    <row r="13" spans="2:20" ht="15.75" thickBot="1" x14ac:dyDescent="0.3">
      <c r="B13" s="521" t="s">
        <v>215</v>
      </c>
      <c r="C13" s="465"/>
      <c r="D13" s="276"/>
      <c r="K13" s="190"/>
      <c r="L13" s="190"/>
      <c r="M13" s="190"/>
      <c r="N13" s="190"/>
      <c r="O13" s="190"/>
      <c r="P13" s="190"/>
      <c r="Q13" s="190"/>
      <c r="R13" s="190" t="s">
        <v>358</v>
      </c>
      <c r="S13" s="190">
        <f>S12/Entradas2!C17</f>
        <v>1.2824819600075221</v>
      </c>
      <c r="T13" s="190"/>
    </row>
    <row r="14" spans="2:20" ht="18.75" thickBot="1" x14ac:dyDescent="0.3">
      <c r="B14" s="122" t="s">
        <v>201</v>
      </c>
      <c r="C14" s="8">
        <v>2.25</v>
      </c>
      <c r="D14" s="276"/>
      <c r="E14" s="535" t="s">
        <v>141</v>
      </c>
      <c r="F14" s="536"/>
      <c r="G14" s="537"/>
      <c r="H14" s="489" t="s">
        <v>210</v>
      </c>
      <c r="I14" s="490"/>
      <c r="J14" s="491"/>
      <c r="K14" s="355"/>
      <c r="L14" s="190"/>
      <c r="M14" s="190"/>
      <c r="N14" s="190"/>
      <c r="O14" s="190"/>
      <c r="P14" s="190"/>
      <c r="Q14" s="190"/>
      <c r="R14" s="190" t="s">
        <v>357</v>
      </c>
      <c r="S14" s="190">
        <f>S13*C14*C17*C20</f>
        <v>2.885584410016925</v>
      </c>
      <c r="T14" s="190"/>
    </row>
    <row r="15" spans="2:20" ht="15.75" customHeight="1" thickBot="1" x14ac:dyDescent="0.3">
      <c r="D15" s="276"/>
      <c r="E15" s="492" t="s">
        <v>143</v>
      </c>
      <c r="F15" s="493"/>
      <c r="G15" s="198">
        <f>ROUNDUP(G16,0)</f>
        <v>6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355"/>
      <c r="L15" s="190"/>
      <c r="M15" s="190"/>
      <c r="N15" s="190"/>
      <c r="O15" s="190"/>
      <c r="P15" s="190"/>
      <c r="Q15" s="190"/>
      <c r="R15" s="190" t="s">
        <v>360</v>
      </c>
      <c r="S15" s="190">
        <f>(((D100)/4)*(C7/S14))/10</f>
        <v>7.5337010968447471</v>
      </c>
      <c r="T15" s="190"/>
    </row>
    <row r="16" spans="2:20" ht="15.75" thickBot="1" x14ac:dyDescent="0.3">
      <c r="B16" s="521" t="s">
        <v>216</v>
      </c>
      <c r="C16" s="465"/>
      <c r="D16" s="276"/>
      <c r="E16" s="500" t="s">
        <v>142</v>
      </c>
      <c r="F16" s="501"/>
      <c r="G16" s="142">
        <f>C11*S15*1</f>
        <v>5.2735907677913225</v>
      </c>
      <c r="H16" s="497"/>
      <c r="I16" s="498"/>
      <c r="J16" s="499"/>
      <c r="K16" s="276"/>
    </row>
    <row r="17" spans="2:11" ht="18.75" customHeight="1" thickBot="1" x14ac:dyDescent="0.3">
      <c r="B17" s="122" t="s">
        <v>202</v>
      </c>
      <c r="C17" s="8">
        <v>1</v>
      </c>
      <c r="D17" s="276"/>
      <c r="E17" s="502" t="s">
        <v>180</v>
      </c>
      <c r="F17" s="503"/>
      <c r="G17" s="504"/>
      <c r="H17" s="2"/>
      <c r="I17" s="2"/>
      <c r="J17" s="2"/>
      <c r="K17" s="276"/>
    </row>
    <row r="18" spans="2:11" ht="15.75" thickBot="1" x14ac:dyDescent="0.3">
      <c r="D18" s="276"/>
      <c r="E18" s="143"/>
      <c r="F18" s="538" t="s">
        <v>181</v>
      </c>
      <c r="G18" s="539"/>
      <c r="H18" s="2"/>
      <c r="I18" s="2"/>
      <c r="J18" s="2"/>
      <c r="K18" s="276"/>
    </row>
    <row r="19" spans="2:11" ht="15.75" thickBot="1" x14ac:dyDescent="0.3">
      <c r="B19" s="521" t="s">
        <v>217</v>
      </c>
      <c r="C19" s="465"/>
      <c r="D19" s="276"/>
      <c r="E19" s="144"/>
      <c r="F19" s="540" t="s">
        <v>182</v>
      </c>
      <c r="G19" s="501"/>
      <c r="H19" s="2"/>
      <c r="I19" s="2"/>
      <c r="J19" s="2"/>
      <c r="K19" s="276"/>
    </row>
    <row r="20" spans="2:11" ht="18.75" thickBot="1" x14ac:dyDescent="0.3">
      <c r="B20" s="122" t="s">
        <v>203</v>
      </c>
      <c r="C20" s="8">
        <v>1</v>
      </c>
      <c r="D20" s="276"/>
      <c r="K20" s="276"/>
    </row>
    <row r="21" spans="2:11" x14ac:dyDescent="0.25">
      <c r="E21" s="515" t="s">
        <v>150</v>
      </c>
      <c r="F21" s="517"/>
      <c r="G21" s="527">
        <f>IF(D100=20,8*D100,5*D100)</f>
        <v>160</v>
      </c>
      <c r="K21" s="276"/>
    </row>
    <row r="22" spans="2:11" ht="15" customHeight="1" thickBot="1" x14ac:dyDescent="0.3">
      <c r="B22" s="103"/>
      <c r="E22" s="525"/>
      <c r="F22" s="526"/>
      <c r="G22" s="528"/>
      <c r="K22" s="276"/>
    </row>
    <row r="23" spans="2:11" x14ac:dyDescent="0.25">
      <c r="E23" s="541" t="s">
        <v>151</v>
      </c>
      <c r="F23" s="542"/>
      <c r="G23" s="543" t="s">
        <v>308</v>
      </c>
      <c r="K23" s="276"/>
    </row>
    <row r="24" spans="2:11" ht="15.75" thickBot="1" x14ac:dyDescent="0.3">
      <c r="E24" s="531"/>
      <c r="F24" s="532"/>
      <c r="G24" s="544"/>
      <c r="H24" s="190"/>
      <c r="K24" s="276"/>
    </row>
    <row r="25" spans="2:11" x14ac:dyDescent="0.25">
      <c r="K25" s="276"/>
    </row>
    <row r="26" spans="2:11" ht="15.75" thickBot="1" x14ac:dyDescent="0.3"/>
    <row r="27" spans="2:11" ht="15.75" customHeight="1" x14ac:dyDescent="0.25">
      <c r="B27" s="505" t="s">
        <v>307</v>
      </c>
      <c r="C27" s="506"/>
      <c r="D27" s="506"/>
      <c r="E27" s="506"/>
      <c r="F27" s="506"/>
      <c r="G27" s="507"/>
    </row>
    <row r="28" spans="2:11" ht="15.75" customHeight="1" thickBot="1" x14ac:dyDescent="0.3">
      <c r="B28" s="508"/>
      <c r="C28" s="509"/>
      <c r="D28" s="509"/>
      <c r="E28" s="509"/>
      <c r="F28" s="509"/>
      <c r="G28" s="510"/>
    </row>
    <row r="29" spans="2:11" ht="15.75" thickBot="1" x14ac:dyDescent="0.3"/>
    <row r="30" spans="2:11" ht="19.5" thickBot="1" x14ac:dyDescent="0.35">
      <c r="B30" s="511" t="s">
        <v>128</v>
      </c>
      <c r="C30" s="512"/>
      <c r="D30" s="276"/>
      <c r="E30" s="513" t="s">
        <v>205</v>
      </c>
      <c r="F30" s="514"/>
      <c r="G30" s="124">
        <f>(1/5)*G4</f>
        <v>-1.1664000000000001</v>
      </c>
    </row>
    <row r="31" spans="2:11" ht="15" customHeight="1" thickBot="1" x14ac:dyDescent="0.3">
      <c r="B31" s="120" t="s">
        <v>167</v>
      </c>
      <c r="C31" s="197" t="s">
        <v>308</v>
      </c>
      <c r="D31" s="276"/>
    </row>
    <row r="32" spans="2:11" ht="15" customHeight="1" x14ac:dyDescent="0.25">
      <c r="B32" s="121" t="s">
        <v>129</v>
      </c>
      <c r="C32" s="6">
        <v>4</v>
      </c>
      <c r="D32" s="276"/>
      <c r="E32" s="515" t="s">
        <v>303</v>
      </c>
      <c r="F32" s="516"/>
      <c r="G32" s="517"/>
      <c r="H32" s="331"/>
    </row>
    <row r="33" spans="2:11" ht="18" x14ac:dyDescent="0.25">
      <c r="B33" s="121" t="s">
        <v>200</v>
      </c>
      <c r="C33" s="123">
        <f>50/Entradas2!C18</f>
        <v>43.478260869565219</v>
      </c>
      <c r="D33" s="276"/>
      <c r="E33" s="518"/>
      <c r="F33" s="519"/>
      <c r="G33" s="520"/>
      <c r="H33" s="331"/>
    </row>
    <row r="34" spans="2:11" ht="15.75" thickBot="1" x14ac:dyDescent="0.3">
      <c r="B34" s="122" t="s">
        <v>136</v>
      </c>
      <c r="C34" s="8">
        <f>C8</f>
        <v>23</v>
      </c>
      <c r="D34" s="276"/>
      <c r="E34" s="522">
        <f>D100</f>
        <v>20</v>
      </c>
      <c r="F34" s="523"/>
      <c r="G34" s="524"/>
      <c r="H34" s="331"/>
    </row>
    <row r="35" spans="2:11" ht="15.75" thickBot="1" x14ac:dyDescent="0.3">
      <c r="D35" s="276"/>
      <c r="E35" s="331"/>
      <c r="F35" s="331"/>
      <c r="G35" s="331"/>
      <c r="H35" s="331"/>
    </row>
    <row r="36" spans="2:11" ht="15.75" customHeight="1" thickBot="1" x14ac:dyDescent="0.3">
      <c r="B36" s="521" t="s">
        <v>214</v>
      </c>
      <c r="C36" s="465"/>
      <c r="D36" s="276"/>
      <c r="E36" s="489" t="s">
        <v>305</v>
      </c>
      <c r="F36" s="491"/>
      <c r="G36" s="125">
        <f>ROUNDUP((((2*'1 Estaca'!J6)-(2*C32))/20),0)</f>
        <v>3</v>
      </c>
    </row>
    <row r="37" spans="2:11" ht="15.75" thickBot="1" x14ac:dyDescent="0.3">
      <c r="B37" s="122" t="s">
        <v>204</v>
      </c>
      <c r="C37" s="8">
        <v>0.7</v>
      </c>
      <c r="D37" s="276"/>
      <c r="E37" s="529" t="s">
        <v>306</v>
      </c>
      <c r="F37" s="530"/>
      <c r="G37" s="533">
        <f>((2*'1 Estaca'!J6)-(2*C32)-('1 Est Arm'!E34:G34*'1 Est Arm'!G36))/'1 Est Arm'!G36</f>
        <v>15</v>
      </c>
    </row>
    <row r="38" spans="2:11" ht="15.75" thickBot="1" x14ac:dyDescent="0.3">
      <c r="D38" s="276"/>
      <c r="E38" s="531"/>
      <c r="F38" s="532"/>
      <c r="G38" s="534"/>
    </row>
    <row r="39" spans="2:11" ht="15.75" thickBot="1" x14ac:dyDescent="0.3">
      <c r="B39" s="521" t="s">
        <v>215</v>
      </c>
      <c r="C39" s="465"/>
      <c r="D39" s="276"/>
    </row>
    <row r="40" spans="2:11" ht="18.75" thickBot="1" x14ac:dyDescent="0.3">
      <c r="B40" s="122" t="s">
        <v>201</v>
      </c>
      <c r="C40" s="8">
        <v>2.25</v>
      </c>
      <c r="D40" s="276"/>
      <c r="E40" s="535" t="s">
        <v>141</v>
      </c>
      <c r="F40" s="536"/>
      <c r="G40" s="537"/>
      <c r="H40" s="489" t="s">
        <v>210</v>
      </c>
      <c r="I40" s="490"/>
      <c r="J40" s="491"/>
      <c r="K40" s="276"/>
    </row>
    <row r="41" spans="2:11" ht="15.75" thickBot="1" x14ac:dyDescent="0.3">
      <c r="D41" s="276"/>
      <c r="E41" s="492" t="s">
        <v>143</v>
      </c>
      <c r="F41" s="493"/>
      <c r="G41" s="198">
        <f>ROUNDUP(G42,0)</f>
        <v>6</v>
      </c>
      <c r="H41" s="494" t="str">
        <f>IF(G42&lt;=G41,"Verificação Atendida","Aumentar o Diâmetro da Barra ou fck do Concreto")</f>
        <v>Verificação Atendida</v>
      </c>
      <c r="I41" s="495"/>
      <c r="J41" s="496"/>
      <c r="K41" s="276"/>
    </row>
    <row r="42" spans="2:11" ht="15.75" thickBot="1" x14ac:dyDescent="0.3">
      <c r="B42" s="521" t="s">
        <v>216</v>
      </c>
      <c r="C42" s="465"/>
      <c r="D42" s="276"/>
      <c r="E42" s="500" t="s">
        <v>142</v>
      </c>
      <c r="F42" s="501"/>
      <c r="G42" s="142">
        <f>C37*S15*1</f>
        <v>5.2735907677913225</v>
      </c>
      <c r="H42" s="497"/>
      <c r="I42" s="498"/>
      <c r="J42" s="499"/>
      <c r="K42" s="276"/>
    </row>
    <row r="43" spans="2:11" ht="18.75" thickBot="1" x14ac:dyDescent="0.3">
      <c r="B43" s="122" t="s">
        <v>202</v>
      </c>
      <c r="C43" s="8">
        <v>1</v>
      </c>
      <c r="D43" s="276"/>
      <c r="E43" s="502" t="s">
        <v>180</v>
      </c>
      <c r="F43" s="503"/>
      <c r="G43" s="504"/>
      <c r="H43" s="2"/>
      <c r="I43" s="2"/>
      <c r="J43" s="2"/>
      <c r="K43" s="276"/>
    </row>
    <row r="44" spans="2:11" ht="15.75" thickBot="1" x14ac:dyDescent="0.3">
      <c r="D44" s="276"/>
      <c r="E44" s="143"/>
      <c r="F44" s="538" t="s">
        <v>181</v>
      </c>
      <c r="G44" s="539"/>
      <c r="H44" s="2"/>
      <c r="I44" s="2"/>
      <c r="J44" s="2"/>
      <c r="K44" s="276"/>
    </row>
    <row r="45" spans="2:11" ht="15.75" thickBot="1" x14ac:dyDescent="0.3">
      <c r="B45" s="521" t="s">
        <v>217</v>
      </c>
      <c r="C45" s="465"/>
      <c r="D45" s="276"/>
      <c r="E45" s="144"/>
      <c r="F45" s="540" t="s">
        <v>182</v>
      </c>
      <c r="G45" s="501"/>
      <c r="H45" s="2"/>
      <c r="I45" s="2"/>
      <c r="J45" s="2"/>
      <c r="K45" s="276"/>
    </row>
    <row r="46" spans="2:11" ht="18.75" thickBot="1" x14ac:dyDescent="0.3">
      <c r="B46" s="122" t="s">
        <v>203</v>
      </c>
      <c r="C46" s="8">
        <v>1</v>
      </c>
      <c r="D46" s="276"/>
      <c r="K46" s="276"/>
    </row>
    <row r="47" spans="2:11" x14ac:dyDescent="0.25">
      <c r="D47" s="276"/>
      <c r="E47" s="515" t="s">
        <v>150</v>
      </c>
      <c r="F47" s="517"/>
      <c r="G47" s="549">
        <f>IF(D100=20,8*D100,5*D100)</f>
        <v>160</v>
      </c>
      <c r="K47" s="276"/>
    </row>
    <row r="48" spans="2:11" ht="15.75" thickBot="1" x14ac:dyDescent="0.3">
      <c r="B48" s="103"/>
      <c r="E48" s="525"/>
      <c r="F48" s="526"/>
      <c r="G48" s="550"/>
      <c r="K48" s="276"/>
    </row>
    <row r="49" spans="5:11" x14ac:dyDescent="0.25">
      <c r="E49" s="529" t="s">
        <v>151</v>
      </c>
      <c r="F49" s="530"/>
      <c r="G49" s="546" t="s">
        <v>308</v>
      </c>
      <c r="K49" s="276"/>
    </row>
    <row r="50" spans="5:11" ht="15.75" thickBot="1" x14ac:dyDescent="0.3">
      <c r="E50" s="531"/>
      <c r="F50" s="532"/>
      <c r="G50" s="547"/>
      <c r="H50" s="111"/>
      <c r="K50" s="276"/>
    </row>
    <row r="51" spans="5:11" x14ac:dyDescent="0.25">
      <c r="K51" s="276"/>
    </row>
    <row r="99" spans="1:5" x14ac:dyDescent="0.25">
      <c r="A99" s="381"/>
      <c r="B99" s="381"/>
      <c r="C99" s="381"/>
      <c r="D99" s="381"/>
      <c r="E99" s="381"/>
    </row>
    <row r="100" spans="1:5" x14ac:dyDescent="0.25">
      <c r="A100" s="381"/>
      <c r="B100" s="381">
        <v>7</v>
      </c>
      <c r="C100" s="381" t="s">
        <v>312</v>
      </c>
      <c r="D100" s="381">
        <f>IF(B100=1,5,IF(B100=2,6.3,IF(B100=3,8,IF(B100=4,10,IF(B100=5,12.5,IF(B100=6,16,IF(B100=7,20)))))))</f>
        <v>20</v>
      </c>
      <c r="E100" s="381"/>
    </row>
    <row r="101" spans="1:5" x14ac:dyDescent="0.25">
      <c r="A101" s="381"/>
      <c r="B101" s="381">
        <v>5</v>
      </c>
      <c r="C101" s="381"/>
      <c r="D101" s="381"/>
      <c r="E101" s="381"/>
    </row>
    <row r="102" spans="1:5" x14ac:dyDescent="0.25">
      <c r="A102" s="381"/>
      <c r="B102" s="381">
        <v>6.3</v>
      </c>
      <c r="C102" s="381"/>
      <c r="D102" s="381"/>
      <c r="E102" s="381"/>
    </row>
    <row r="103" spans="1:5" x14ac:dyDescent="0.25">
      <c r="A103" s="381"/>
      <c r="B103" s="381">
        <v>8</v>
      </c>
      <c r="C103" s="381"/>
      <c r="D103" s="381"/>
      <c r="E103" s="381"/>
    </row>
    <row r="104" spans="1:5" x14ac:dyDescent="0.25">
      <c r="A104" s="381"/>
      <c r="B104" s="381">
        <v>10</v>
      </c>
      <c r="C104" s="381"/>
      <c r="D104" s="381"/>
      <c r="E104" s="381"/>
    </row>
    <row r="105" spans="1:5" x14ac:dyDescent="0.25">
      <c r="A105" s="381"/>
      <c r="B105" s="381">
        <v>12.5</v>
      </c>
      <c r="C105" s="381"/>
      <c r="D105" s="381"/>
      <c r="E105" s="381"/>
    </row>
    <row r="106" spans="1:5" x14ac:dyDescent="0.25">
      <c r="A106" s="381"/>
      <c r="B106" s="381">
        <v>16</v>
      </c>
      <c r="C106" s="381"/>
      <c r="D106" s="381"/>
      <c r="E106" s="381"/>
    </row>
    <row r="107" spans="1:5" x14ac:dyDescent="0.25">
      <c r="A107" s="381"/>
      <c r="B107" s="381">
        <v>20</v>
      </c>
      <c r="C107" s="381"/>
      <c r="D107" s="381"/>
      <c r="E107" s="381"/>
    </row>
  </sheetData>
  <mergeCells count="56">
    <mergeCell ref="R10:S10"/>
    <mergeCell ref="R11:S11"/>
    <mergeCell ref="R8:S8"/>
    <mergeCell ref="R5:S5"/>
    <mergeCell ref="R6:S6"/>
    <mergeCell ref="R7:S7"/>
    <mergeCell ref="R4:S4"/>
    <mergeCell ref="E49:F50"/>
    <mergeCell ref="G49:G50"/>
    <mergeCell ref="E34:G34"/>
    <mergeCell ref="M3:N3"/>
    <mergeCell ref="H41:J42"/>
    <mergeCell ref="B27:G28"/>
    <mergeCell ref="B30:C30"/>
    <mergeCell ref="E30:F30"/>
    <mergeCell ref="E32:G33"/>
    <mergeCell ref="B36:C36"/>
    <mergeCell ref="E36:F36"/>
    <mergeCell ref="E37:F38"/>
    <mergeCell ref="G37:G38"/>
    <mergeCell ref="E47:F48"/>
    <mergeCell ref="G47:G48"/>
    <mergeCell ref="E41:F41"/>
    <mergeCell ref="B42:C42"/>
    <mergeCell ref="E42:F42"/>
    <mergeCell ref="E43:G43"/>
    <mergeCell ref="B45:C45"/>
    <mergeCell ref="F45:G45"/>
    <mergeCell ref="F44:G44"/>
    <mergeCell ref="B39:C39"/>
    <mergeCell ref="E40:G40"/>
    <mergeCell ref="H40:J40"/>
    <mergeCell ref="E23:F24"/>
    <mergeCell ref="G23:G24"/>
    <mergeCell ref="E21:F22"/>
    <mergeCell ref="G21:G22"/>
    <mergeCell ref="E11:F12"/>
    <mergeCell ref="G11:G12"/>
    <mergeCell ref="B13:C13"/>
    <mergeCell ref="B16:C16"/>
    <mergeCell ref="E14:G14"/>
    <mergeCell ref="F18:G18"/>
    <mergeCell ref="B19:C19"/>
    <mergeCell ref="F19:G19"/>
    <mergeCell ref="B1:G2"/>
    <mergeCell ref="B4:C4"/>
    <mergeCell ref="E4:F4"/>
    <mergeCell ref="E6:G7"/>
    <mergeCell ref="B10:C10"/>
    <mergeCell ref="E10:F10"/>
    <mergeCell ref="E8:G8"/>
    <mergeCell ref="H14:J14"/>
    <mergeCell ref="E15:F15"/>
    <mergeCell ref="H15:J16"/>
    <mergeCell ref="E16:F16"/>
    <mergeCell ref="E17:G17"/>
  </mergeCells>
  <conditionalFormatting sqref="E41:E42 G41:G42">
    <cfRule type="expression" dxfId="131" priority="7">
      <formula>#REF!&gt;#REF!</formula>
    </cfRule>
    <cfRule type="expression" dxfId="130" priority="8">
      <formula>#REF!&lt;=#REF!</formula>
    </cfRule>
  </conditionalFormatting>
  <conditionalFormatting sqref="E15:E16 G15:G16">
    <cfRule type="expression" dxfId="129" priority="1">
      <formula>#REF!&gt;#REF!</formula>
    </cfRule>
    <cfRule type="expression" dxfId="128" priority="2">
      <formula>#REF!&lt;=#REF!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6658" r:id="rId3" name="Button 2">
              <controlPr defaultSize="0" print="0" autoFill="0" autoPict="0" macro="[0]!umaestrelatfinal">
                <anchor moveWithCells="1" sizeWithCells="1">
                  <from>
                    <xdr:col>7</xdr:col>
                    <xdr:colOff>371475</xdr:colOff>
                    <xdr:row>47</xdr:row>
                    <xdr:rowOff>85725</xdr:rowOff>
                  </from>
                  <to>
                    <xdr:col>9</xdr:col>
                    <xdr:colOff>581025</xdr:colOff>
                    <xdr:row>49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59" r:id="rId4" name="Button 3">
              <controlPr defaultSize="0" print="0" autoFill="0" autoPict="0" macro="[0]!umaestvolta">
                <anchor moveWithCells="1" sizeWithCells="1">
                  <from>
                    <xdr:col>7</xdr:col>
                    <xdr:colOff>371475</xdr:colOff>
                    <xdr:row>44</xdr:row>
                    <xdr:rowOff>123825</xdr:rowOff>
                  </from>
                  <to>
                    <xdr:col>9</xdr:col>
                    <xdr:colOff>581025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60" r:id="rId5" name="Drop Down 4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723900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69"/>
  <sheetViews>
    <sheetView showGridLines="0" showRowColHeaders="0" topLeftCell="A31" zoomScale="85" zoomScaleNormal="85" workbookViewId="0"/>
  </sheetViews>
  <sheetFormatPr defaultRowHeight="15" x14ac:dyDescent="0.25"/>
  <cols>
    <col min="2" max="2" width="7.5703125" customWidth="1"/>
    <col min="3" max="3" width="8.42578125" customWidth="1"/>
    <col min="4" max="4" width="9.7109375" customWidth="1"/>
    <col min="6" max="6" width="11.85546875" customWidth="1"/>
    <col min="7" max="7" width="9.5703125" customWidth="1"/>
    <col min="8" max="8" width="7.28515625" customWidth="1"/>
    <col min="9" max="9" width="7" customWidth="1"/>
    <col min="10" max="10" width="10.140625" customWidth="1"/>
    <col min="11" max="11" width="7.140625" customWidth="1"/>
    <col min="12" max="12" width="3.7109375" customWidth="1"/>
    <col min="15" max="15" width="7.5703125" customWidth="1"/>
    <col min="16" max="16" width="7.7109375" customWidth="1"/>
    <col min="17" max="17" width="9.85546875" customWidth="1"/>
    <col min="18" max="18" width="7.5703125" customWidth="1"/>
    <col min="19" max="19" width="5.28515625" customWidth="1"/>
    <col min="20" max="20" width="32.5703125" bestFit="1" customWidth="1"/>
    <col min="21" max="21" width="9.5703125" bestFit="1" customWidth="1"/>
    <col min="25" max="25" width="13.42578125" bestFit="1" customWidth="1"/>
    <col min="26" max="26" width="14.28515625" bestFit="1" customWidth="1"/>
    <col min="27" max="27" width="18.85546875" bestFit="1" customWidth="1"/>
    <col min="28" max="28" width="11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  <c r="U2" s="557"/>
    </row>
    <row r="3" spans="2:21" ht="15.75" thickBot="1" x14ac:dyDescent="0.3"/>
    <row r="4" spans="2:21" x14ac:dyDescent="0.25">
      <c r="B4" s="20"/>
      <c r="C4" s="320"/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113" t="s">
        <v>184</v>
      </c>
      <c r="U4" s="117" t="str">
        <f>'1 Estaca'!J4</f>
        <v>Estaca E1</v>
      </c>
    </row>
    <row r="5" spans="2:21" x14ac:dyDescent="0.25">
      <c r="B5" s="41"/>
      <c r="C5" s="334"/>
      <c r="D5" s="334"/>
      <c r="E5" s="334"/>
      <c r="F5" s="334"/>
      <c r="G5" s="334"/>
      <c r="H5" s="334"/>
      <c r="I5" s="334"/>
      <c r="J5" s="334"/>
      <c r="K5" s="334"/>
      <c r="L5" s="342"/>
      <c r="M5" s="334"/>
      <c r="N5" s="334"/>
      <c r="O5" s="334"/>
      <c r="P5" s="334"/>
      <c r="Q5" s="334"/>
      <c r="R5" s="334"/>
      <c r="S5" s="334"/>
      <c r="T5" s="114" t="s">
        <v>185</v>
      </c>
      <c r="U5" s="118">
        <f>'1 Estaca'!J13</f>
        <v>500</v>
      </c>
    </row>
    <row r="6" spans="2:21" ht="18" x14ac:dyDescent="0.35">
      <c r="B6" s="41"/>
      <c r="C6" s="334"/>
      <c r="D6" s="334"/>
      <c r="E6" s="334"/>
      <c r="F6" s="334"/>
      <c r="G6" s="334"/>
      <c r="H6" s="334"/>
      <c r="I6" s="334"/>
      <c r="J6" s="334"/>
      <c r="K6" s="334"/>
      <c r="L6" s="342"/>
      <c r="M6" s="334"/>
      <c r="N6" s="334"/>
      <c r="O6" s="334"/>
      <c r="P6" s="334"/>
      <c r="Q6" s="334"/>
      <c r="R6" s="334"/>
      <c r="S6" s="334"/>
      <c r="T6" s="114" t="s">
        <v>326</v>
      </c>
      <c r="U6" s="118">
        <f>'1 Estaca'!M7</f>
        <v>2800</v>
      </c>
    </row>
    <row r="7" spans="2:21" ht="18" x14ac:dyDescent="0.35">
      <c r="B7" s="41"/>
      <c r="C7" s="334"/>
      <c r="D7" s="334"/>
      <c r="E7" s="334"/>
      <c r="F7" s="334"/>
      <c r="G7" s="334"/>
      <c r="H7" s="334"/>
      <c r="I7" s="334"/>
      <c r="J7" s="334"/>
      <c r="K7" s="334"/>
      <c r="L7" s="342"/>
      <c r="M7" s="334"/>
      <c r="N7" s="334"/>
      <c r="O7" s="334"/>
      <c r="P7" s="334"/>
      <c r="Q7" s="334"/>
      <c r="R7" s="334"/>
      <c r="S7" s="334"/>
      <c r="T7" s="114" t="s">
        <v>328</v>
      </c>
      <c r="U7" s="118">
        <f>'1 Estaca'!M8</f>
        <v>58928.571428571428</v>
      </c>
    </row>
    <row r="8" spans="2:21" ht="18" x14ac:dyDescent="0.35">
      <c r="B8" s="41"/>
      <c r="C8" s="334"/>
      <c r="D8" s="334"/>
      <c r="E8" s="334"/>
      <c r="F8" s="334"/>
      <c r="G8" s="334"/>
      <c r="H8" s="334"/>
      <c r="I8" s="334"/>
      <c r="J8" s="334"/>
      <c r="K8" s="334"/>
      <c r="L8" s="342"/>
      <c r="M8" s="334"/>
      <c r="N8" s="334"/>
      <c r="O8" s="334"/>
      <c r="P8" s="334"/>
      <c r="Q8" s="334"/>
      <c r="R8" s="334"/>
      <c r="S8" s="334"/>
      <c r="T8" s="114" t="s">
        <v>349</v>
      </c>
      <c r="U8" s="118">
        <f>'1 Estaca'!M9</f>
        <v>-1059.1304347826085</v>
      </c>
    </row>
    <row r="9" spans="2:21" ht="18" x14ac:dyDescent="0.35">
      <c r="B9" s="41"/>
      <c r="C9" s="334"/>
      <c r="D9" s="334"/>
      <c r="E9" s="334"/>
      <c r="F9" s="334"/>
      <c r="G9" s="334"/>
      <c r="H9" s="334"/>
      <c r="I9" s="334"/>
      <c r="J9" s="334"/>
      <c r="K9" s="334"/>
      <c r="L9" s="342"/>
      <c r="M9" s="334"/>
      <c r="N9" s="334"/>
      <c r="O9" s="334"/>
      <c r="P9" s="334"/>
      <c r="Q9" s="334"/>
      <c r="R9" s="334"/>
      <c r="S9" s="334"/>
      <c r="T9" s="114" t="s">
        <v>350</v>
      </c>
      <c r="U9" s="118">
        <f>'1 Estaca'!M10</f>
        <v>-1059.1304347826085</v>
      </c>
    </row>
    <row r="10" spans="2:21" ht="18" x14ac:dyDescent="0.35">
      <c r="B10" s="41"/>
      <c r="C10" s="334"/>
      <c r="D10" s="334"/>
      <c r="E10" s="334"/>
      <c r="F10" s="334"/>
      <c r="G10" s="334"/>
      <c r="H10" s="334"/>
      <c r="I10" s="334"/>
      <c r="J10" s="334"/>
      <c r="K10" s="334"/>
      <c r="L10" s="342"/>
      <c r="M10" s="334"/>
      <c r="N10" s="334"/>
      <c r="O10" s="334"/>
      <c r="P10" s="334"/>
      <c r="Q10" s="334"/>
      <c r="R10" s="334"/>
      <c r="S10" s="334"/>
      <c r="T10" s="114" t="s">
        <v>351</v>
      </c>
      <c r="U10" s="118">
        <f>'1 Estaca'!M11</f>
        <v>-238.30434782608697</v>
      </c>
    </row>
    <row r="11" spans="2:21" ht="18" x14ac:dyDescent="0.35">
      <c r="B11" s="41"/>
      <c r="C11" s="334"/>
      <c r="D11" s="334"/>
      <c r="E11" s="334"/>
      <c r="F11" s="334"/>
      <c r="G11" s="334"/>
      <c r="H11" s="334"/>
      <c r="I11" s="334"/>
      <c r="J11" s="334"/>
      <c r="K11" s="334"/>
      <c r="L11" s="342"/>
      <c r="M11" s="334"/>
      <c r="N11" s="334"/>
      <c r="O11" s="334"/>
      <c r="P11" s="334"/>
      <c r="Q11" s="334"/>
      <c r="R11" s="334"/>
      <c r="S11" s="334"/>
      <c r="T11" s="114" t="s">
        <v>352</v>
      </c>
      <c r="U11" s="118">
        <f>'1 Estaca'!M12</f>
        <v>-238.30434782608697</v>
      </c>
    </row>
    <row r="12" spans="2:21" x14ac:dyDescent="0.25">
      <c r="B12" s="41"/>
      <c r="C12" s="334"/>
      <c r="D12" s="334"/>
      <c r="E12" s="334"/>
      <c r="F12" s="334"/>
      <c r="G12" s="334"/>
      <c r="H12" s="334"/>
      <c r="I12" s="334"/>
      <c r="J12" s="334"/>
      <c r="K12" s="334"/>
      <c r="L12" s="342"/>
      <c r="M12" s="334"/>
      <c r="N12" s="334"/>
      <c r="O12" s="334"/>
      <c r="P12" s="334"/>
      <c r="Q12" s="334"/>
      <c r="R12" s="334"/>
      <c r="S12" s="334"/>
      <c r="T12" s="114" t="s">
        <v>187</v>
      </c>
      <c r="U12" s="118">
        <f>'1 Estaca'!M5</f>
        <v>0.45</v>
      </c>
    </row>
    <row r="13" spans="2:21" x14ac:dyDescent="0.25">
      <c r="B13" s="41"/>
      <c r="C13" s="334"/>
      <c r="D13" s="334"/>
      <c r="E13" s="334"/>
      <c r="F13" s="334"/>
      <c r="G13" s="334"/>
      <c r="H13" s="334"/>
      <c r="I13" s="334"/>
      <c r="J13" s="334"/>
      <c r="K13" s="334"/>
      <c r="L13" s="342"/>
      <c r="M13" s="334"/>
      <c r="N13" s="334"/>
      <c r="O13" s="334"/>
      <c r="P13" s="334"/>
      <c r="Q13" s="334"/>
      <c r="R13" s="334"/>
      <c r="S13" s="334"/>
      <c r="T13" s="114" t="s">
        <v>188</v>
      </c>
      <c r="U13" s="118">
        <f>'1 Estaca'!M6</f>
        <v>0.55000000000000004</v>
      </c>
    </row>
    <row r="14" spans="2:21" x14ac:dyDescent="0.25">
      <c r="B14" s="41"/>
      <c r="C14" s="334"/>
      <c r="D14" s="334"/>
      <c r="E14" s="334"/>
      <c r="F14" s="334"/>
      <c r="G14" s="334"/>
      <c r="H14" s="334"/>
      <c r="I14" s="334"/>
      <c r="J14" s="334"/>
      <c r="K14" s="334"/>
      <c r="L14" s="342"/>
      <c r="M14" s="334"/>
      <c r="N14" s="334"/>
      <c r="O14" s="334"/>
      <c r="P14" s="334"/>
      <c r="Q14" s="334"/>
      <c r="R14" s="334"/>
      <c r="S14" s="334"/>
      <c r="T14" s="114" t="s">
        <v>69</v>
      </c>
      <c r="U14" s="118">
        <f>'1 Estaca'!J6</f>
        <v>26.5</v>
      </c>
    </row>
    <row r="15" spans="2:21" ht="18" x14ac:dyDescent="0.35">
      <c r="B15" s="41"/>
      <c r="C15" s="334"/>
      <c r="D15" s="334"/>
      <c r="E15" s="334"/>
      <c r="F15" s="334"/>
      <c r="G15" s="334"/>
      <c r="H15" s="334"/>
      <c r="I15" s="334"/>
      <c r="J15" s="334"/>
      <c r="K15" s="334"/>
      <c r="L15" s="342"/>
      <c r="M15" s="334"/>
      <c r="N15" s="334"/>
      <c r="O15" s="334"/>
      <c r="P15" s="334"/>
      <c r="Q15" s="334"/>
      <c r="R15" s="334"/>
      <c r="S15" s="334"/>
      <c r="T15" s="114" t="s">
        <v>198</v>
      </c>
      <c r="U15" s="118" t="s">
        <v>308</v>
      </c>
    </row>
    <row r="16" spans="2:21" x14ac:dyDescent="0.25">
      <c r="B16" s="41"/>
      <c r="C16" s="334"/>
      <c r="D16" s="334"/>
      <c r="E16" s="334"/>
      <c r="F16" s="334"/>
      <c r="G16" s="334"/>
      <c r="H16" s="334"/>
      <c r="I16" s="334"/>
      <c r="J16" s="334"/>
      <c r="K16" s="558"/>
      <c r="L16" s="558"/>
      <c r="M16" s="558"/>
      <c r="N16" s="334"/>
      <c r="O16" s="334"/>
      <c r="P16" s="559"/>
      <c r="Q16" s="559"/>
      <c r="R16" s="559"/>
      <c r="S16" s="334"/>
      <c r="T16" s="114" t="s">
        <v>186</v>
      </c>
      <c r="U16" s="118">
        <f>'1 Estaca'!J5</f>
        <v>23</v>
      </c>
    </row>
    <row r="17" spans="1:22" ht="18" x14ac:dyDescent="0.35">
      <c r="B17" s="41"/>
      <c r="C17" s="334"/>
      <c r="D17" s="334"/>
      <c r="E17" s="334"/>
      <c r="F17" s="334"/>
      <c r="G17" s="334"/>
      <c r="H17" s="334"/>
      <c r="I17" s="334"/>
      <c r="J17" s="334"/>
      <c r="K17" s="334"/>
      <c r="L17" s="342"/>
      <c r="M17" s="334"/>
      <c r="N17" s="334"/>
      <c r="O17" s="334"/>
      <c r="P17" s="334"/>
      <c r="Q17" s="334"/>
      <c r="R17" s="334"/>
      <c r="S17" s="334"/>
      <c r="T17" s="114" t="s">
        <v>158</v>
      </c>
      <c r="U17" s="118">
        <f>Entradas2!C13</f>
        <v>25</v>
      </c>
    </row>
    <row r="18" spans="1:22" x14ac:dyDescent="0.25">
      <c r="B18" s="41"/>
      <c r="C18" s="334"/>
      <c r="D18" s="334"/>
      <c r="E18" s="334"/>
      <c r="F18" s="334"/>
      <c r="G18" s="334"/>
      <c r="H18" s="334"/>
      <c r="I18" s="334"/>
      <c r="J18" s="334"/>
      <c r="M18" s="334"/>
      <c r="N18" s="334"/>
      <c r="O18" s="334"/>
      <c r="Q18" s="334"/>
      <c r="R18" s="334"/>
      <c r="S18" s="334"/>
      <c r="T18" s="114" t="s">
        <v>189</v>
      </c>
      <c r="U18" s="118">
        <f>(4*(U14/100)*U13)*1.05</f>
        <v>0.61215000000000008</v>
      </c>
    </row>
    <row r="19" spans="1:22" x14ac:dyDescent="0.25">
      <c r="B19" s="41"/>
      <c r="C19" s="334"/>
      <c r="D19" s="334"/>
      <c r="E19" s="334"/>
      <c r="F19" s="334"/>
      <c r="G19" s="334"/>
      <c r="H19" s="334"/>
      <c r="I19" s="334"/>
      <c r="J19" s="334"/>
      <c r="K19" s="334"/>
      <c r="L19" s="342"/>
      <c r="M19" s="334"/>
      <c r="N19" s="334"/>
      <c r="O19" s="334"/>
      <c r="P19" s="334"/>
      <c r="Q19" s="334"/>
      <c r="R19" s="334"/>
      <c r="S19" s="334"/>
      <c r="T19" s="114" t="s">
        <v>196</v>
      </c>
      <c r="U19" s="119" t="s">
        <v>197</v>
      </c>
    </row>
    <row r="20" spans="1:22" x14ac:dyDescent="0.25">
      <c r="B20" s="41"/>
      <c r="C20" s="334"/>
      <c r="D20" s="334"/>
      <c r="E20" s="334"/>
      <c r="F20" s="334"/>
      <c r="G20" s="558" t="s">
        <v>165</v>
      </c>
      <c r="H20" s="558"/>
      <c r="I20" s="558"/>
      <c r="J20" s="558"/>
      <c r="K20" s="572" t="s">
        <v>166</v>
      </c>
      <c r="L20" s="563"/>
      <c r="M20" s="563"/>
      <c r="N20" s="563"/>
      <c r="O20" s="334"/>
      <c r="P20" s="333"/>
      <c r="Q20" s="560"/>
      <c r="R20" s="333"/>
      <c r="S20" s="334"/>
      <c r="T20" s="114" t="s">
        <v>190</v>
      </c>
      <c r="U20" s="119">
        <f>'1 Est Arm'!D100</f>
        <v>20</v>
      </c>
    </row>
    <row r="21" spans="1:22" x14ac:dyDescent="0.25">
      <c r="B21" s="41"/>
      <c r="C21" s="334"/>
      <c r="D21" s="334"/>
      <c r="E21" s="334"/>
      <c r="F21" s="334"/>
      <c r="G21" s="334"/>
      <c r="H21" s="334"/>
      <c r="I21" s="112"/>
      <c r="J21" s="187"/>
      <c r="K21" s="334"/>
      <c r="L21" s="342"/>
      <c r="M21" s="334"/>
      <c r="N21" s="334"/>
      <c r="O21" s="334"/>
      <c r="P21" s="334"/>
      <c r="Q21" s="560"/>
      <c r="R21" s="333"/>
      <c r="S21" s="334"/>
      <c r="T21" s="114" t="s">
        <v>206</v>
      </c>
      <c r="U21" s="119" t="s">
        <v>308</v>
      </c>
    </row>
    <row r="22" spans="1:22" ht="18.75" thickBot="1" x14ac:dyDescent="0.4">
      <c r="B22" s="41"/>
      <c r="C22" s="334"/>
      <c r="D22" s="334"/>
      <c r="E22" s="334"/>
      <c r="F22" s="334"/>
      <c r="G22" s="334"/>
      <c r="H22" s="334"/>
      <c r="I22" s="334"/>
      <c r="J22" s="334"/>
      <c r="K22" s="334"/>
      <c r="L22" s="342"/>
      <c r="M22" s="563"/>
      <c r="N22" s="563"/>
      <c r="O22" s="563"/>
      <c r="P22" s="334"/>
      <c r="Q22" s="334"/>
      <c r="R22" s="334"/>
      <c r="S22" s="334"/>
      <c r="T22" s="127" t="s">
        <v>207</v>
      </c>
      <c r="U22" s="301">
        <f>IF(U20&lt;=10,3,(IF(U20&lt;20,5,IF(U20&gt;=20,8))))</f>
        <v>8</v>
      </c>
    </row>
    <row r="23" spans="1:22" x14ac:dyDescent="0.25">
      <c r="B23" s="41"/>
      <c r="C23" s="334"/>
      <c r="D23" s="559">
        <f>((2*U14-2*'1 Est Arm'!C6))</f>
        <v>45</v>
      </c>
      <c r="E23" s="559"/>
      <c r="F23" s="559"/>
      <c r="G23" s="334"/>
      <c r="H23" s="334"/>
      <c r="I23" s="334"/>
      <c r="J23" s="335">
        <f>ROUNDUP(((2*U14-2*'1 Est Arm'!C6)/3),0)</f>
        <v>15</v>
      </c>
      <c r="K23" s="334"/>
      <c r="L23" s="342"/>
      <c r="M23" s="334"/>
      <c r="O23" s="551">
        <f>O32</f>
        <v>41</v>
      </c>
      <c r="P23" s="551"/>
      <c r="Q23" s="551"/>
      <c r="R23" s="334"/>
      <c r="S23" s="334"/>
    </row>
    <row r="24" spans="1:22" x14ac:dyDescent="0.25">
      <c r="B24" s="41"/>
      <c r="C24" s="334"/>
      <c r="D24" s="334"/>
      <c r="E24" s="334"/>
      <c r="F24" s="334"/>
      <c r="G24" s="334"/>
      <c r="H24" s="334"/>
      <c r="I24" s="334"/>
      <c r="J24" s="334"/>
      <c r="K24" s="295"/>
      <c r="L24" s="295"/>
      <c r="M24" s="295"/>
      <c r="N24" s="295"/>
      <c r="O24" s="295"/>
      <c r="P24" s="295"/>
      <c r="Q24" s="334"/>
      <c r="R24" s="334"/>
      <c r="S24" s="334"/>
      <c r="U24" s="42"/>
    </row>
    <row r="25" spans="1:22" x14ac:dyDescent="0.25">
      <c r="B25" s="41"/>
      <c r="C25" s="334"/>
      <c r="D25" s="334"/>
      <c r="E25" s="334"/>
      <c r="F25" s="334"/>
      <c r="G25" s="334"/>
      <c r="H25" s="334"/>
      <c r="I25" s="334"/>
      <c r="J25" s="334"/>
      <c r="K25" s="334"/>
      <c r="L25" s="342"/>
      <c r="M25" s="334"/>
      <c r="N25" s="334"/>
      <c r="O25" s="334"/>
      <c r="P25" s="334"/>
      <c r="Q25" s="334"/>
      <c r="R25" s="334"/>
      <c r="S25" s="334"/>
      <c r="T25" s="334"/>
      <c r="U25" s="42"/>
    </row>
    <row r="26" spans="1:22" x14ac:dyDescent="0.25">
      <c r="B26" s="41"/>
      <c r="C26" s="560">
        <f>ROUNDUP((2*U14-2*'1 Est Arm'!C6)-((2*U14-2*'1 Est Arm'!C6)/3),0)</f>
        <v>30</v>
      </c>
      <c r="D26" s="334"/>
      <c r="E26" s="334"/>
      <c r="F26" s="334"/>
      <c r="G26" s="563">
        <f>C26</f>
        <v>30</v>
      </c>
      <c r="H26" s="334"/>
      <c r="I26" s="334"/>
      <c r="J26" s="334"/>
      <c r="K26" s="334"/>
      <c r="L26" s="342"/>
      <c r="M26" s="563">
        <f>R26</f>
        <v>47</v>
      </c>
      <c r="N26" s="334"/>
      <c r="O26" s="334"/>
      <c r="P26" s="334"/>
      <c r="Q26" s="334"/>
      <c r="R26" s="563">
        <f>'1 Estaca'!S6-(4+10)-2*(U20/10)</f>
        <v>47</v>
      </c>
      <c r="S26" s="295"/>
      <c r="T26" s="295"/>
      <c r="U26" s="42"/>
    </row>
    <row r="27" spans="1:22" x14ac:dyDescent="0.25">
      <c r="B27" s="41"/>
      <c r="C27" s="560"/>
      <c r="D27" s="334"/>
      <c r="E27" s="334"/>
      <c r="F27" s="334"/>
      <c r="G27" s="563"/>
      <c r="H27" s="334"/>
      <c r="M27" s="563"/>
      <c r="R27" s="563"/>
      <c r="S27" s="342"/>
      <c r="T27" s="342"/>
      <c r="U27" s="42"/>
    </row>
    <row r="28" spans="1:22" x14ac:dyDescent="0.25">
      <c r="B28" s="41"/>
      <c r="C28" s="334"/>
      <c r="D28" s="334"/>
      <c r="E28" s="334"/>
      <c r="F28" s="334"/>
      <c r="G28" s="334"/>
      <c r="H28" s="334"/>
      <c r="I28" s="562">
        <f>K28</f>
        <v>45</v>
      </c>
      <c r="K28" s="562">
        <f>(2*U14-2*4)</f>
        <v>45</v>
      </c>
      <c r="L28" s="340"/>
      <c r="M28" s="563"/>
      <c r="R28" s="563"/>
      <c r="S28" s="342"/>
      <c r="T28" s="342"/>
      <c r="U28" s="42"/>
    </row>
    <row r="29" spans="1:22" x14ac:dyDescent="0.25">
      <c r="A29" s="42"/>
      <c r="B29" s="342"/>
      <c r="C29" s="334"/>
      <c r="D29" s="334"/>
      <c r="E29" s="334"/>
      <c r="F29" s="334"/>
      <c r="G29" s="334"/>
      <c r="H29" s="334"/>
      <c r="I29" s="562"/>
      <c r="K29" s="562"/>
      <c r="L29" s="340"/>
      <c r="M29" s="112"/>
      <c r="S29" s="334"/>
      <c r="T29" s="334"/>
      <c r="U29" s="42"/>
    </row>
    <row r="30" spans="1:22" x14ac:dyDescent="0.25">
      <c r="A30" s="42"/>
      <c r="B30" s="342"/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N30" s="342"/>
      <c r="O30" s="342"/>
      <c r="P30" s="342"/>
      <c r="Q30" s="342"/>
      <c r="R30" s="342"/>
      <c r="S30" s="342"/>
      <c r="T30" s="342"/>
      <c r="U30" s="42"/>
      <c r="V30" s="342"/>
    </row>
    <row r="31" spans="1:22" x14ac:dyDescent="0.25">
      <c r="A31" s="42"/>
      <c r="B31" s="342"/>
      <c r="C31" s="342"/>
      <c r="D31" s="559">
        <f>D23</f>
        <v>45</v>
      </c>
      <c r="E31" s="559"/>
      <c r="F31" s="559"/>
      <c r="G31" s="342"/>
      <c r="H31" s="342"/>
      <c r="I31" s="342"/>
      <c r="J31" s="342"/>
      <c r="K31" s="342"/>
      <c r="L31" s="342"/>
      <c r="M31" s="342"/>
      <c r="N31" s="342"/>
      <c r="O31" s="342"/>
      <c r="P31" s="342"/>
      <c r="Q31" s="342"/>
      <c r="R31" s="342"/>
      <c r="S31" s="342"/>
      <c r="T31" s="342"/>
      <c r="U31" s="42"/>
      <c r="V31" s="342"/>
    </row>
    <row r="32" spans="1:22" x14ac:dyDescent="0.25">
      <c r="A32" s="42"/>
      <c r="B32" s="342"/>
      <c r="D32" s="561" t="str">
        <f>CONCATENATE('1 Est Arm'!G10," φ ",U20, "mm", " c/ ",(ROUNDUP(D23+C26+G26+D31+(3*5*U20/10)+IF(U20&lt;=10,3,(IF(U20&lt;20,5,IF(U20&gt;=20,8))))*(U20/10)*PI(),2))," cm")</f>
        <v>3 φ 20mm c/ 230,27 cm</v>
      </c>
      <c r="E32" s="561"/>
      <c r="F32" s="561"/>
      <c r="O32" s="551">
        <f>(2*U14)-(2*4)-(2*U20/10)</f>
        <v>41</v>
      </c>
      <c r="P32" s="551"/>
      <c r="Q32" s="551"/>
      <c r="U32" s="42"/>
    </row>
    <row r="33" spans="1:21" x14ac:dyDescent="0.25">
      <c r="A33" s="42"/>
      <c r="B33" s="342"/>
      <c r="N33" s="551" t="str">
        <f>CONCATENATE('1 Est Arm'!G10," φ ",U20, "mm", " c/ ",(ROUNDUP(M26+O23+R26+O32+(2*10*U20/10)+IF(U20&lt;=10,3,(IF(U20&lt;20,5,IF(U20&gt;=20,8))))*(U20/10)*PI()*(5/4),2))," cm")</f>
        <v>3 φ 20mm c/ 278,84 cm</v>
      </c>
      <c r="O33" s="551"/>
      <c r="P33" s="551"/>
      <c r="Q33" s="551"/>
      <c r="U33" s="42"/>
    </row>
    <row r="34" spans="1:21" x14ac:dyDescent="0.25">
      <c r="A34" s="42"/>
      <c r="B34" s="342"/>
      <c r="H34" s="103"/>
      <c r="U34" s="42"/>
    </row>
    <row r="35" spans="1:21" x14ac:dyDescent="0.25">
      <c r="A35" s="42"/>
      <c r="B35" s="342"/>
      <c r="D35" s="551">
        <f>((2*U14-2*'1 Est Arm'!C6))</f>
        <v>45</v>
      </c>
      <c r="E35" s="551"/>
      <c r="F35" s="551"/>
      <c r="J35" s="340">
        <f>J23</f>
        <v>15</v>
      </c>
      <c r="O35" s="551">
        <f>(2*U14)-(2*4)</f>
        <v>45</v>
      </c>
      <c r="P35" s="551"/>
      <c r="Q35" s="551"/>
      <c r="U35" s="42"/>
    </row>
    <row r="36" spans="1:21" x14ac:dyDescent="0.25">
      <c r="A36" s="42"/>
      <c r="B36" s="342"/>
      <c r="I36" s="551" t="str">
        <f>CONCATENATE('1 Est Arm'!G10," φ ",U20, "mm", " c/ ",(ROUNDUP(J23+I28+K28+J35+(3*5*U20/10)+IF(U20&lt;=10,3,(IF(U20&lt;20,5,IF(U20&gt;=20,8))))*(U20/10)*PI(),2))," cm")</f>
        <v>3 φ 20mm c/ 200,27 cm</v>
      </c>
      <c r="J36" s="551"/>
      <c r="K36" s="551"/>
      <c r="L36" s="341"/>
      <c r="U36" s="42"/>
    </row>
    <row r="37" spans="1:21" x14ac:dyDescent="0.25">
      <c r="A37" s="42"/>
      <c r="B37" s="342"/>
      <c r="U37" s="42"/>
    </row>
    <row r="38" spans="1:21" x14ac:dyDescent="0.25">
      <c r="A38" s="42"/>
      <c r="B38" s="342"/>
      <c r="C38" s="562">
        <f>C26</f>
        <v>30</v>
      </c>
      <c r="G38" s="562">
        <f>G26</f>
        <v>30</v>
      </c>
      <c r="M38" s="562">
        <f>R38</f>
        <v>51</v>
      </c>
      <c r="R38" s="562">
        <f>'1 Estaca'!S6-(4+10)</f>
        <v>51</v>
      </c>
      <c r="U38" s="42"/>
    </row>
    <row r="39" spans="1:21" x14ac:dyDescent="0.25">
      <c r="A39" s="42"/>
      <c r="B39" s="342"/>
      <c r="C39" s="562"/>
      <c r="G39" s="562"/>
      <c r="M39" s="562"/>
      <c r="R39" s="562"/>
      <c r="U39" s="42"/>
    </row>
    <row r="40" spans="1:21" x14ac:dyDescent="0.25">
      <c r="A40" s="42"/>
      <c r="B40" s="342"/>
      <c r="M40" s="562"/>
      <c r="R40" s="562"/>
      <c r="U40" s="42"/>
    </row>
    <row r="41" spans="1:21" x14ac:dyDescent="0.25">
      <c r="A41" s="42"/>
      <c r="B41" s="342"/>
      <c r="U41" s="42"/>
    </row>
    <row r="42" spans="1:21" x14ac:dyDescent="0.25">
      <c r="A42" s="42"/>
      <c r="B42" s="342"/>
      <c r="U42" s="42"/>
    </row>
    <row r="43" spans="1:21" x14ac:dyDescent="0.25">
      <c r="A43" s="42"/>
      <c r="B43" s="342"/>
      <c r="D43" s="551">
        <f>D35</f>
        <v>45</v>
      </c>
      <c r="E43" s="551"/>
      <c r="F43" s="551"/>
      <c r="U43" s="42"/>
    </row>
    <row r="44" spans="1:21" x14ac:dyDescent="0.25">
      <c r="A44" s="42"/>
      <c r="B44" s="342"/>
      <c r="D44" s="551" t="str">
        <f>CONCATENATE('1 Est Arm'!G10," φ ",U20, "mm", " c/ ",(ROUNDUP(D43+C38+D35+G38+(3*5*U20/10)+IF(U20&lt;=10,3,(IF(U20&lt;20,5,IF(U20&gt;=20,8))))*(U20/10)*PI(),2))," cm")</f>
        <v>3 φ 20mm c/ 230,27 cm</v>
      </c>
      <c r="E44" s="551"/>
      <c r="F44" s="551"/>
      <c r="O44" s="551">
        <f>(2*U14)-(2*4)</f>
        <v>45</v>
      </c>
      <c r="P44" s="551"/>
      <c r="Q44" s="551"/>
      <c r="U44" s="42"/>
    </row>
    <row r="45" spans="1:21" x14ac:dyDescent="0.25">
      <c r="A45" s="42"/>
      <c r="B45" s="342"/>
      <c r="N45" s="562" t="str">
        <f>CONCATENATE('1 Est Arm'!G10," φ ",U20,"mm"," c/ ",(ROUNDUP(M38+R38+O44+O35+(2*10*U20/10)+IF(U20&lt;=10,3,(IF(U20&lt;20,5,IF(U20&gt;=20,8))))*(U20/10)*PI()*(5/4),2))," cm ")</f>
        <v xml:space="preserve">3 φ 20mm c/ 294,84 cm </v>
      </c>
      <c r="O45" s="562"/>
      <c r="P45" s="562"/>
      <c r="Q45" s="562"/>
      <c r="U45" s="42"/>
    </row>
    <row r="46" spans="1:21" x14ac:dyDescent="0.25">
      <c r="A46" s="42"/>
      <c r="B46" s="342"/>
      <c r="U46" s="42"/>
    </row>
    <row r="47" spans="1:21" x14ac:dyDescent="0.25">
      <c r="A47" s="42"/>
      <c r="B47" s="342"/>
      <c r="U47" s="42"/>
    </row>
    <row r="48" spans="1:21" ht="15.75" thickBot="1" x14ac:dyDescent="0.3">
      <c r="A48" s="42"/>
      <c r="B48" s="342"/>
      <c r="U48" s="42"/>
    </row>
    <row r="49" spans="1:21" ht="15.75" thickBot="1" x14ac:dyDescent="0.3">
      <c r="A49" s="42"/>
      <c r="B49" s="342"/>
      <c r="C49" s="566" t="s">
        <v>320</v>
      </c>
      <c r="D49" s="567"/>
      <c r="E49" s="567"/>
      <c r="F49" s="567"/>
      <c r="G49" s="567"/>
      <c r="H49" s="567"/>
      <c r="I49" s="567"/>
      <c r="J49" s="567"/>
      <c r="K49" s="568"/>
      <c r="L49" s="337"/>
      <c r="U49" s="42"/>
    </row>
    <row r="50" spans="1:21" ht="18" x14ac:dyDescent="0.35">
      <c r="A50" s="42"/>
      <c r="B50" s="342"/>
      <c r="C50" s="569" t="s">
        <v>194</v>
      </c>
      <c r="D50" s="570"/>
      <c r="E50" s="570" t="s">
        <v>193</v>
      </c>
      <c r="F50" s="570"/>
      <c r="G50" s="570" t="s">
        <v>192</v>
      </c>
      <c r="H50" s="570"/>
      <c r="I50" s="570" t="s">
        <v>191</v>
      </c>
      <c r="J50" s="570"/>
      <c r="K50" s="571"/>
      <c r="L50" s="336"/>
      <c r="U50" s="42"/>
    </row>
    <row r="51" spans="1:21" ht="15.75" thickBot="1" x14ac:dyDescent="0.3">
      <c r="A51" s="42"/>
      <c r="B51" s="342"/>
      <c r="C51" s="573">
        <f>U20</f>
        <v>20</v>
      </c>
      <c r="D51" s="486"/>
      <c r="E51" s="564">
        <f>(T60+T61)/100</f>
        <v>6.6080999999999994</v>
      </c>
      <c r="F51" s="564"/>
      <c r="G51" s="486">
        <f>IF(U20=6.3,0.245,IF(U20=8,0.395,IF(U20=10,0.617,IF(U20=12.5,0.963,IF(U20=16,1.578,IF(U20=20,2.466))))))</f>
        <v>2.4660000000000002</v>
      </c>
      <c r="H51" s="486"/>
      <c r="I51" s="564">
        <f>(G51*E51)*1.1</f>
        <v>17.925132059999999</v>
      </c>
      <c r="J51" s="564"/>
      <c r="K51" s="565"/>
      <c r="L51" s="343"/>
      <c r="U51" s="42"/>
    </row>
    <row r="52" spans="1:21" ht="15.75" thickBot="1" x14ac:dyDescent="0.3">
      <c r="A52" s="42"/>
      <c r="B52" s="342"/>
      <c r="U52" s="42"/>
    </row>
    <row r="53" spans="1:21" ht="15.75" thickBot="1" x14ac:dyDescent="0.3">
      <c r="A53" s="42"/>
      <c r="B53" s="342"/>
      <c r="C53" s="566" t="s">
        <v>321</v>
      </c>
      <c r="D53" s="567"/>
      <c r="E53" s="567"/>
      <c r="F53" s="567"/>
      <c r="G53" s="567"/>
      <c r="H53" s="567"/>
      <c r="I53" s="567"/>
      <c r="J53" s="567"/>
      <c r="K53" s="568"/>
      <c r="U53" s="42"/>
    </row>
    <row r="54" spans="1:21" ht="18" x14ac:dyDescent="0.35">
      <c r="A54" s="42"/>
      <c r="B54" s="342"/>
      <c r="C54" s="569" t="s">
        <v>194</v>
      </c>
      <c r="D54" s="570"/>
      <c r="E54" s="570" t="s">
        <v>193</v>
      </c>
      <c r="F54" s="570"/>
      <c r="G54" s="570" t="s">
        <v>192</v>
      </c>
      <c r="H54" s="570"/>
      <c r="I54" s="570" t="s">
        <v>191</v>
      </c>
      <c r="J54" s="570"/>
      <c r="K54" s="571"/>
      <c r="U54" s="42"/>
    </row>
    <row r="55" spans="1:21" ht="15.75" thickBot="1" x14ac:dyDescent="0.3">
      <c r="A55" s="42"/>
      <c r="B55" s="342"/>
      <c r="C55" s="573">
        <f>U20</f>
        <v>20</v>
      </c>
      <c r="D55" s="486"/>
      <c r="E55" s="564">
        <f>(T62+T63)/100</f>
        <v>5.7367999999999997</v>
      </c>
      <c r="F55" s="564"/>
      <c r="G55" s="486">
        <f>IF(U20=6.3,0.245,IF(U20=8,0.395,IF(U20=10,0.617,IF(U20=12.5,0.963,IF(U20=16,1.578,IF(U20=20,2.466))))))</f>
        <v>2.4660000000000002</v>
      </c>
      <c r="H55" s="486"/>
      <c r="I55" s="564">
        <f>(G55*E55)*1.1</f>
        <v>15.561643680000001</v>
      </c>
      <c r="J55" s="564"/>
      <c r="K55" s="565"/>
      <c r="U55" s="42"/>
    </row>
    <row r="56" spans="1:21" ht="15.75" thickBot="1" x14ac:dyDescent="0.3">
      <c r="A56" s="42"/>
      <c r="B56" s="338"/>
      <c r="C56" s="321"/>
      <c r="D56" s="321"/>
      <c r="E56" s="321"/>
      <c r="F56" s="321"/>
      <c r="G56" s="321"/>
      <c r="H56" s="321"/>
      <c r="I56" s="321"/>
      <c r="J56" s="321"/>
      <c r="K56" s="321"/>
      <c r="L56" s="321"/>
      <c r="M56" s="321"/>
      <c r="N56" s="321"/>
      <c r="O56" s="321"/>
      <c r="P56" s="321"/>
      <c r="Q56" s="321"/>
      <c r="R56" s="321"/>
      <c r="S56" s="321"/>
      <c r="T56" s="321"/>
      <c r="U56" s="339"/>
    </row>
    <row r="59" spans="1:21" x14ac:dyDescent="0.25">
      <c r="T59" s="381"/>
      <c r="U59" s="381"/>
    </row>
    <row r="60" spans="1:21" x14ac:dyDescent="0.25">
      <c r="T60" s="381">
        <f>2*(ROUNDUP(D23+C26+G26+D31+(3*5*U20/10)+IF(U20&lt;=10,3,(IF(U20&lt;20,5,IF(U20&gt;=20,8))))*(U20/10)*PI(),2))</f>
        <v>460.53999999999996</v>
      </c>
      <c r="U60" s="381"/>
    </row>
    <row r="61" spans="1:21" x14ac:dyDescent="0.25">
      <c r="T61" s="381">
        <f>(ROUNDUP(J23+I28+K28+J35+(3*5*U20/10)+IF(U20&lt;=10,3,(IF(U20&lt;20,5,IF(U20&gt;=20,8))))*(U20/10)*PI(),2))</f>
        <v>200.26999999999998</v>
      </c>
      <c r="U61" s="381"/>
    </row>
    <row r="62" spans="1:21" x14ac:dyDescent="0.25">
      <c r="T62" s="381">
        <f>(ROUNDUP(M26+O23+R26+O32+(2*10*U20/10)+IF(U20&lt;=10,3,(IF(U20&lt;20,5,IF(U20&gt;=20,8))))*(U20/10)*PI()*(5/4),2))</f>
        <v>278.83999999999997</v>
      </c>
      <c r="U62" s="381"/>
    </row>
    <row r="63" spans="1:21" x14ac:dyDescent="0.25">
      <c r="T63" s="381">
        <f>(ROUNDUP(M38+R38+O44+O35+(2*10*U20/10)+IF(U20&lt;=10,3,(IF(U20&lt;20,5,IF(U20&gt;=20,8))))*(U20/10)*PI()*(5/4),2))</f>
        <v>294.83999999999997</v>
      </c>
      <c r="U63" s="381"/>
    </row>
    <row r="64" spans="1:21" x14ac:dyDescent="0.25">
      <c r="T64" s="381"/>
      <c r="U64" s="381"/>
    </row>
    <row r="69" spans="6:6" x14ac:dyDescent="0.25">
      <c r="F69" s="381">
        <f>'[1]2 Estacas'!K7</f>
        <v>96</v>
      </c>
    </row>
  </sheetData>
  <mergeCells count="48">
    <mergeCell ref="C54:D54"/>
    <mergeCell ref="E54:F54"/>
    <mergeCell ref="G54:H54"/>
    <mergeCell ref="I54:K54"/>
    <mergeCell ref="C55:D55"/>
    <mergeCell ref="E55:F55"/>
    <mergeCell ref="G55:H55"/>
    <mergeCell ref="I55:K55"/>
    <mergeCell ref="N45:Q45"/>
    <mergeCell ref="G20:J20"/>
    <mergeCell ref="K20:N20"/>
    <mergeCell ref="C53:K53"/>
    <mergeCell ref="I36:K36"/>
    <mergeCell ref="O32:Q32"/>
    <mergeCell ref="M22:O22"/>
    <mergeCell ref="D23:F23"/>
    <mergeCell ref="C26:C27"/>
    <mergeCell ref="G26:G27"/>
    <mergeCell ref="D31:F31"/>
    <mergeCell ref="I28:I29"/>
    <mergeCell ref="K28:K29"/>
    <mergeCell ref="G38:G39"/>
    <mergeCell ref="D43:F43"/>
    <mergeCell ref="C51:D51"/>
    <mergeCell ref="E51:F51"/>
    <mergeCell ref="G51:H51"/>
    <mergeCell ref="I51:K51"/>
    <mergeCell ref="C49:K49"/>
    <mergeCell ref="C50:D50"/>
    <mergeCell ref="E50:F50"/>
    <mergeCell ref="G50:H50"/>
    <mergeCell ref="I50:K50"/>
    <mergeCell ref="D44:F44"/>
    <mergeCell ref="B1:U2"/>
    <mergeCell ref="K16:M16"/>
    <mergeCell ref="P16:R16"/>
    <mergeCell ref="Q20:Q21"/>
    <mergeCell ref="D32:F32"/>
    <mergeCell ref="D35:F35"/>
    <mergeCell ref="C38:C39"/>
    <mergeCell ref="R26:R28"/>
    <mergeCell ref="M26:M28"/>
    <mergeCell ref="O23:Q23"/>
    <mergeCell ref="N33:Q33"/>
    <mergeCell ref="M38:M40"/>
    <mergeCell ref="R38:R40"/>
    <mergeCell ref="O35:Q35"/>
    <mergeCell ref="O44:Q44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371719" r:id="rId3">
          <objectPr defaultSize="0" autoPict="0" r:id="rId4">
            <anchor moveWithCells="1">
              <from>
                <xdr:col>6</xdr:col>
                <xdr:colOff>342900</xdr:colOff>
                <xdr:row>3</xdr:row>
                <xdr:rowOff>66675</xdr:rowOff>
              </from>
              <to>
                <xdr:col>9</xdr:col>
                <xdr:colOff>466725</xdr:colOff>
                <xdr:row>18</xdr:row>
                <xdr:rowOff>171450</xdr:rowOff>
              </to>
            </anchor>
          </objectPr>
        </oleObject>
      </mc:Choice>
      <mc:Fallback>
        <oleObject progId="AutoCAD.Drawing.18" shapeId="371719" r:id="rId3"/>
      </mc:Fallback>
    </mc:AlternateContent>
    <mc:AlternateContent xmlns:mc="http://schemas.openxmlformats.org/markup-compatibility/2006">
      <mc:Choice Requires="x14">
        <oleObject progId="AutoCAD.Drawing.18" shapeId="371720" r:id="rId5">
          <objectPr defaultSize="0" autoPict="0" r:id="rId6">
            <anchor moveWithCells="1">
              <from>
                <xdr:col>9</xdr:col>
                <xdr:colOff>542925</xdr:colOff>
                <xdr:row>3</xdr:row>
                <xdr:rowOff>76200</xdr:rowOff>
              </from>
              <to>
                <xdr:col>13</xdr:col>
                <xdr:colOff>371475</xdr:colOff>
                <xdr:row>18</xdr:row>
                <xdr:rowOff>171450</xdr:rowOff>
              </to>
            </anchor>
          </objectPr>
        </oleObject>
      </mc:Choice>
      <mc:Fallback>
        <oleObject progId="AutoCAD.Drawing.18" shapeId="371720" r:id="rId5"/>
      </mc:Fallback>
    </mc:AlternateContent>
    <mc:AlternateContent xmlns:mc="http://schemas.openxmlformats.org/markup-compatibility/2006">
      <mc:Choice Requires="x14">
        <oleObject progId="AutoCAD.Drawing.18" shapeId="371722" r:id="rId7">
          <objectPr defaultSize="0" autoPict="0" r:id="rId8">
            <anchor moveWithCells="1">
              <from>
                <xdr:col>13</xdr:col>
                <xdr:colOff>0</xdr:colOff>
                <xdr:row>34</xdr:row>
                <xdr:rowOff>161925</xdr:rowOff>
              </from>
              <to>
                <xdr:col>17</xdr:col>
                <xdr:colOff>38100</xdr:colOff>
                <xdr:row>42</xdr:row>
                <xdr:rowOff>123825</xdr:rowOff>
              </to>
            </anchor>
          </objectPr>
        </oleObject>
      </mc:Choice>
      <mc:Fallback>
        <oleObject progId="AutoCAD.Drawing.18" shapeId="371722" r:id="rId7"/>
      </mc:Fallback>
    </mc:AlternateContent>
    <mc:AlternateContent xmlns:mc="http://schemas.openxmlformats.org/markup-compatibility/2006">
      <mc:Choice Requires="x14">
        <oleObject progId="AutoCAD.Drawing.18" shapeId="371723" r:id="rId9">
          <objectPr defaultSize="0" autoPict="0" r:id="rId8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17</xdr:col>
                <xdr:colOff>0</xdr:colOff>
                <xdr:row>30</xdr:row>
                <xdr:rowOff>123825</xdr:rowOff>
              </to>
            </anchor>
          </objectPr>
        </oleObject>
      </mc:Choice>
      <mc:Fallback>
        <oleObject progId="AutoCAD.Drawing.18" shapeId="371723" r:id="rId9"/>
      </mc:Fallback>
    </mc:AlternateContent>
    <mc:AlternateContent xmlns:mc="http://schemas.openxmlformats.org/markup-compatibility/2006">
      <mc:Choice Requires="x14">
        <oleObject progId="AutoCAD.Drawing.18" shapeId="371724" r:id="rId10">
          <objectPr defaultSize="0" autoPict="0" r:id="rId11">
            <anchor moveWithCells="1">
              <from>
                <xdr:col>9</xdr:col>
                <xdr:colOff>104775</xdr:colOff>
                <xdr:row>23</xdr:row>
                <xdr:rowOff>38100</xdr:rowOff>
              </from>
              <to>
                <xdr:col>9</xdr:col>
                <xdr:colOff>581025</xdr:colOff>
                <xdr:row>33</xdr:row>
                <xdr:rowOff>133350</xdr:rowOff>
              </to>
            </anchor>
          </objectPr>
        </oleObject>
      </mc:Choice>
      <mc:Fallback>
        <oleObject progId="AutoCAD.Drawing.18" shapeId="371724" r:id="rId10"/>
      </mc:Fallback>
    </mc:AlternateContent>
    <mc:AlternateContent xmlns:mc="http://schemas.openxmlformats.org/markup-compatibility/2006">
      <mc:Choice Requires="x14">
        <oleObject progId="AutoCAD.Drawing.18" shapeId="371726" r:id="rId12">
          <objectPr defaultSize="0" autoPict="0" r:id="rId13">
            <anchor moveWithCells="1">
              <from>
                <xdr:col>2</xdr:col>
                <xdr:colOff>552450</xdr:colOff>
                <xdr:row>23</xdr:row>
                <xdr:rowOff>19050</xdr:rowOff>
              </from>
              <to>
                <xdr:col>5</xdr:col>
                <xdr:colOff>762000</xdr:colOff>
                <xdr:row>29</xdr:row>
                <xdr:rowOff>85725</xdr:rowOff>
              </to>
            </anchor>
          </objectPr>
        </oleObject>
      </mc:Choice>
      <mc:Fallback>
        <oleObject progId="AutoCAD.Drawing.18" shapeId="371726" r:id="rId12"/>
      </mc:Fallback>
    </mc:AlternateContent>
    <mc:AlternateContent xmlns:mc="http://schemas.openxmlformats.org/markup-compatibility/2006">
      <mc:Choice Requires="x14">
        <oleObject progId="AutoCAD.Drawing.18" shapeId="371727" r:id="rId14">
          <objectPr defaultSize="0" autoPict="0" r:id="rId15">
            <anchor moveWithCells="1">
              <from>
                <xdr:col>3</xdr:col>
                <xdr:colOff>38100</xdr:colOff>
                <xdr:row>35</xdr:row>
                <xdr:rowOff>19050</xdr:rowOff>
              </from>
              <to>
                <xdr:col>5</xdr:col>
                <xdr:colOff>762000</xdr:colOff>
                <xdr:row>41</xdr:row>
                <xdr:rowOff>104775</xdr:rowOff>
              </to>
            </anchor>
          </objectPr>
        </oleObject>
      </mc:Choice>
      <mc:Fallback>
        <oleObject progId="AutoCAD.Drawing.18" shapeId="371727" r:id="rId14"/>
      </mc:Fallback>
    </mc:AlternateContent>
    <mc:AlternateContent xmlns:mc="http://schemas.openxmlformats.org/markup-compatibility/2006">
      <mc:Choice Requires="x14">
        <oleObject progId="AutoCAD.Drawing.18" shapeId="371729" r:id="rId16">
          <objectPr defaultSize="0" autoPict="0" r:id="rId17">
            <anchor moveWithCells="1">
              <from>
                <xdr:col>1</xdr:col>
                <xdr:colOff>76200</xdr:colOff>
                <xdr:row>3</xdr:row>
                <xdr:rowOff>57150</xdr:rowOff>
              </from>
              <to>
                <xdr:col>5</xdr:col>
                <xdr:colOff>771525</xdr:colOff>
                <xdr:row>18</xdr:row>
                <xdr:rowOff>161925</xdr:rowOff>
              </to>
            </anchor>
          </objectPr>
        </oleObject>
      </mc:Choice>
      <mc:Fallback>
        <oleObject progId="AutoCAD.Drawing.18" shapeId="371729" r:id="rId1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6" r:id="rId18" name="Button 4">
              <controlPr defaultSize="0" print="0" autoFill="0" autoPict="0" macro="[0]!MACRO12">
                <anchor moveWithCells="1" sizeWithCells="1">
                  <from>
                    <xdr:col>19</xdr:col>
                    <xdr:colOff>0</xdr:colOff>
                    <xdr:row>47</xdr:row>
                    <xdr:rowOff>57150</xdr:rowOff>
                  </from>
                  <to>
                    <xdr:col>20</xdr:col>
                    <xdr:colOff>9525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AB41"/>
  <sheetViews>
    <sheetView showGridLines="0" showRowColHeaders="0" zoomScale="85" zoomScaleNormal="85" workbookViewId="0">
      <selection activeCell="W15" sqref="W15"/>
    </sheetView>
  </sheetViews>
  <sheetFormatPr defaultRowHeight="15" x14ac:dyDescent="0.25"/>
  <cols>
    <col min="1" max="1" width="9.140625" customWidth="1"/>
    <col min="8" max="8" width="11.85546875" customWidth="1"/>
    <col min="10" max="10" width="20.42578125" bestFit="1" customWidth="1"/>
    <col min="11" max="11" width="14.28515625" bestFit="1" customWidth="1"/>
    <col min="13" max="13" width="7" customWidth="1"/>
    <col min="14" max="14" width="20.85546875" bestFit="1" customWidth="1"/>
    <col min="15" max="15" width="11.7109375" customWidth="1"/>
    <col min="16" max="16" width="19" customWidth="1"/>
    <col min="17" max="17" width="12" bestFit="1" customWidth="1"/>
    <col min="18" max="20" width="9.140625" style="363"/>
    <col min="21" max="21" width="9.140625" style="364"/>
    <col min="22" max="22" width="21.42578125" style="364" bestFit="1" customWidth="1"/>
    <col min="23" max="23" width="12" style="364" bestFit="1" customWidth="1"/>
    <col min="24" max="24" width="12.5703125" style="364" bestFit="1" customWidth="1"/>
    <col min="25" max="25" width="12" style="364" bestFit="1" customWidth="1"/>
    <col min="26" max="26" width="6" style="364" bestFit="1" customWidth="1"/>
    <col min="27" max="27" width="9.140625" style="364"/>
    <col min="28" max="28" width="9.140625" style="363"/>
  </cols>
  <sheetData>
    <row r="1" spans="2:28" ht="15.75" thickBot="1" x14ac:dyDescent="0.3">
      <c r="T1" s="190"/>
      <c r="U1" s="350"/>
      <c r="V1" s="350"/>
      <c r="W1" s="350"/>
      <c r="X1" s="350"/>
      <c r="Y1" s="350"/>
      <c r="Z1" s="350"/>
      <c r="AA1" s="350"/>
      <c r="AB1" s="190"/>
    </row>
    <row r="2" spans="2:28" ht="15.75" thickBot="1" x14ac:dyDescent="0.3">
      <c r="N2" s="461" t="s">
        <v>170</v>
      </c>
      <c r="O2" s="462"/>
      <c r="T2" s="190"/>
      <c r="U2" s="350"/>
      <c r="V2" s="350"/>
      <c r="W2" s="350"/>
      <c r="X2" s="350"/>
      <c r="Y2" s="350"/>
      <c r="Z2" s="350"/>
      <c r="AA2" s="350"/>
      <c r="AB2" s="190"/>
    </row>
    <row r="3" spans="2:28" ht="15.75" thickBot="1" x14ac:dyDescent="0.3">
      <c r="B3" s="20"/>
      <c r="C3" s="92"/>
      <c r="D3" s="92"/>
      <c r="E3" s="92"/>
      <c r="F3" s="92"/>
      <c r="G3" s="92"/>
      <c r="H3" s="21"/>
      <c r="N3" s="463"/>
      <c r="O3" s="464"/>
      <c r="T3" s="190"/>
      <c r="U3" s="350"/>
      <c r="V3" s="350" t="s">
        <v>60</v>
      </c>
      <c r="W3" s="350">
        <f>Blocos!L1</f>
        <v>2</v>
      </c>
      <c r="X3" s="350"/>
      <c r="Y3" s="350"/>
      <c r="Z3" s="350"/>
      <c r="AA3" s="350"/>
      <c r="AB3" s="190"/>
    </row>
    <row r="4" spans="2:28" ht="15.75" thickBot="1" x14ac:dyDescent="0.3">
      <c r="B4" s="41"/>
      <c r="C4" s="34"/>
      <c r="D4" s="34"/>
      <c r="E4" s="34"/>
      <c r="F4" s="34"/>
      <c r="G4" s="34"/>
      <c r="H4" s="42"/>
      <c r="K4" s="64" t="s">
        <v>77</v>
      </c>
      <c r="L4" s="65" t="s">
        <v>78</v>
      </c>
      <c r="T4" s="190"/>
      <c r="U4" s="350"/>
      <c r="V4" s="351" t="s">
        <v>86</v>
      </c>
      <c r="W4" s="351">
        <f>Entradas2!C12</f>
        <v>45</v>
      </c>
      <c r="X4" s="351"/>
      <c r="Y4" s="351" t="s">
        <v>108</v>
      </c>
      <c r="Z4" s="351">
        <f>Entradas2!C9*X6/100</f>
        <v>0</v>
      </c>
      <c r="AA4" s="350"/>
      <c r="AB4" s="190"/>
    </row>
    <row r="5" spans="2:28" x14ac:dyDescent="0.25">
      <c r="B5" s="41"/>
      <c r="C5" s="34"/>
      <c r="D5" s="34"/>
      <c r="E5" s="34"/>
      <c r="F5" s="34"/>
      <c r="G5" s="34"/>
      <c r="H5" s="42"/>
      <c r="J5" s="72" t="s">
        <v>73</v>
      </c>
      <c r="K5" s="81">
        <f>Entradas2!C22</f>
        <v>23</v>
      </c>
      <c r="L5" s="67">
        <f>K5</f>
        <v>23</v>
      </c>
      <c r="N5" s="106" t="s">
        <v>172</v>
      </c>
      <c r="O5" s="132">
        <f>X6/100</f>
        <v>0.3</v>
      </c>
      <c r="P5" s="579" t="s">
        <v>210</v>
      </c>
      <c r="T5" s="190"/>
      <c r="U5" s="350"/>
      <c r="V5" s="351" t="s">
        <v>102</v>
      </c>
      <c r="W5" s="351">
        <f>SQRT((K8)^2)*100</f>
        <v>28.749999999999996</v>
      </c>
      <c r="X5" s="351"/>
      <c r="Y5" s="351" t="s">
        <v>109</v>
      </c>
      <c r="Z5" s="351">
        <f>Entradas2!C8*X6/100</f>
        <v>0</v>
      </c>
      <c r="AA5" s="350"/>
      <c r="AB5" s="190"/>
    </row>
    <row r="6" spans="2:28" ht="15.75" thickBot="1" x14ac:dyDescent="0.3">
      <c r="B6" s="41"/>
      <c r="C6" s="34"/>
      <c r="D6" s="34"/>
      <c r="E6" s="34"/>
      <c r="F6" s="34"/>
      <c r="G6" s="34"/>
      <c r="H6" s="42"/>
      <c r="J6" s="73" t="s">
        <v>69</v>
      </c>
      <c r="K6" s="80">
        <f>K5/2+15</f>
        <v>26.5</v>
      </c>
      <c r="L6" s="51">
        <f>K6</f>
        <v>26.5</v>
      </c>
      <c r="N6" s="133" t="s">
        <v>173</v>
      </c>
      <c r="O6" s="134">
        <f>W7/100</f>
        <v>0.4</v>
      </c>
      <c r="P6" s="580"/>
      <c r="T6" s="190"/>
      <c r="U6" s="350"/>
      <c r="V6" s="351" t="s">
        <v>103</v>
      </c>
      <c r="W6" s="351">
        <f>W5*(TAN(RADIANS(W4)))</f>
        <v>28.749999999999993</v>
      </c>
      <c r="X6" s="351">
        <f>CEILING(W6,5)</f>
        <v>30</v>
      </c>
      <c r="Y6" s="350"/>
      <c r="Z6" s="350"/>
      <c r="AA6" s="350"/>
      <c r="AB6" s="190"/>
    </row>
    <row r="7" spans="2:28" ht="18" x14ac:dyDescent="0.35">
      <c r="B7" s="41"/>
      <c r="C7" s="34"/>
      <c r="D7" s="34"/>
      <c r="E7" s="34"/>
      <c r="F7" s="34"/>
      <c r="G7" s="34"/>
      <c r="H7" s="42"/>
      <c r="J7" s="73" t="s">
        <v>171</v>
      </c>
      <c r="K7" s="80">
        <f>Entradas2!C22*Entradas2!L21</f>
        <v>57.5</v>
      </c>
      <c r="L7" s="51">
        <f>Entradas2!C22*Entradas2!L21</f>
        <v>57.5</v>
      </c>
      <c r="N7" s="106" t="s">
        <v>174</v>
      </c>
      <c r="O7" s="132">
        <f>W17</f>
        <v>35864.605635870394</v>
      </c>
      <c r="P7" s="577" t="str">
        <f>IF(O7&gt;O8,"Opção: Aumentar o fck do Concreto","Verificação Atendida")</f>
        <v>Opção: Aumentar o fck do Concreto</v>
      </c>
      <c r="T7" s="190"/>
      <c r="U7" s="350"/>
      <c r="V7" s="351" t="s">
        <v>104</v>
      </c>
      <c r="W7" s="351">
        <f>10+X6</f>
        <v>40</v>
      </c>
      <c r="X7" s="351"/>
      <c r="Y7" s="350"/>
      <c r="Z7" s="350"/>
      <c r="AA7" s="350"/>
      <c r="AB7" s="190"/>
    </row>
    <row r="8" spans="2:28" ht="18.75" thickBot="1" x14ac:dyDescent="0.4">
      <c r="B8" s="41"/>
      <c r="C8" s="34"/>
      <c r="D8" s="34"/>
      <c r="E8" s="34"/>
      <c r="F8" s="34"/>
      <c r="G8" s="34"/>
      <c r="H8" s="42"/>
      <c r="J8" s="73" t="s">
        <v>98</v>
      </c>
      <c r="K8" s="80">
        <f>(-K7/2)/100</f>
        <v>-0.28749999999999998</v>
      </c>
      <c r="L8" s="51">
        <f>(L7/2)/100</f>
        <v>0.28749999999999998</v>
      </c>
      <c r="N8" s="135" t="s">
        <v>212</v>
      </c>
      <c r="O8" s="136">
        <f>W14</f>
        <v>9642.8571428571449</v>
      </c>
      <c r="P8" s="578"/>
      <c r="T8" s="190"/>
      <c r="U8" s="350"/>
      <c r="V8" s="351" t="s">
        <v>87</v>
      </c>
      <c r="W8" s="351">
        <f>(PI()*(K5^2)/4)/10000</f>
        <v>4.154756284372501E-2</v>
      </c>
      <c r="X8" s="351"/>
      <c r="Y8" s="350"/>
      <c r="Z8" s="350"/>
      <c r="AA8" s="350"/>
      <c r="AB8" s="190"/>
    </row>
    <row r="9" spans="2:28" ht="18" x14ac:dyDescent="0.35">
      <c r="B9" s="41"/>
      <c r="C9" s="34"/>
      <c r="D9" s="34"/>
      <c r="E9" s="34"/>
      <c r="F9" s="34"/>
      <c r="G9" s="34"/>
      <c r="H9" s="42"/>
      <c r="J9" s="73" t="s">
        <v>101</v>
      </c>
      <c r="K9" s="80">
        <v>0</v>
      </c>
      <c r="L9" s="51">
        <v>0</v>
      </c>
      <c r="N9" s="106" t="s">
        <v>175</v>
      </c>
      <c r="O9" s="132">
        <f>W23</f>
        <v>11920.695652173916</v>
      </c>
      <c r="P9" s="577" t="str">
        <f>IF(O9&gt;O10,"Opção: Aumentar a Sessão do Pilar","Verificação Atendida")</f>
        <v>Verificação Atendida</v>
      </c>
      <c r="T9" s="190"/>
      <c r="U9" s="350"/>
      <c r="V9" s="351" t="s">
        <v>88</v>
      </c>
      <c r="W9" s="351">
        <f>W8*SIN(RADIANS(W4))</f>
        <v>2.9378563428572192E-2</v>
      </c>
      <c r="X9" s="351"/>
      <c r="Y9" s="350"/>
      <c r="Z9" s="350"/>
      <c r="AA9" s="350"/>
      <c r="AB9" s="190"/>
    </row>
    <row r="10" spans="2:28" ht="18.75" thickBot="1" x14ac:dyDescent="0.4">
      <c r="B10" s="41"/>
      <c r="C10" s="34"/>
      <c r="D10" s="34"/>
      <c r="E10" s="34"/>
      <c r="F10" s="34"/>
      <c r="G10" s="34"/>
      <c r="H10" s="42"/>
      <c r="J10" s="73" t="s">
        <v>163</v>
      </c>
      <c r="K10" s="80">
        <f>SUMSQ(K8:L8)</f>
        <v>0.16531249999999997</v>
      </c>
      <c r="L10" s="51">
        <f>K10</f>
        <v>0.16531249999999997</v>
      </c>
      <c r="N10" s="135" t="s">
        <v>176</v>
      </c>
      <c r="O10" s="136">
        <f>W28</f>
        <v>15178.571428571429</v>
      </c>
      <c r="P10" s="578"/>
      <c r="T10" s="190"/>
      <c r="U10" s="350"/>
      <c r="V10" s="350"/>
      <c r="W10" s="350"/>
      <c r="X10" s="350"/>
      <c r="Y10" s="350"/>
      <c r="Z10" s="350"/>
      <c r="AA10" s="350"/>
      <c r="AB10" s="190"/>
    </row>
    <row r="11" spans="2:28" ht="18" x14ac:dyDescent="0.35">
      <c r="B11" s="41"/>
      <c r="C11" s="34"/>
      <c r="D11" s="34"/>
      <c r="E11" s="34"/>
      <c r="F11" s="34"/>
      <c r="G11" s="34"/>
      <c r="H11" s="42"/>
      <c r="J11" s="73" t="s">
        <v>164</v>
      </c>
      <c r="K11" s="80">
        <f>SUMSQ(K9:L9)</f>
        <v>0</v>
      </c>
      <c r="L11" s="51">
        <f>K11</f>
        <v>0</v>
      </c>
      <c r="N11" s="139" t="s">
        <v>177</v>
      </c>
      <c r="O11" s="132">
        <f>W32</f>
        <v>5368.1492460622258</v>
      </c>
      <c r="P11" s="577" t="str">
        <f>IF(O11&gt;O12,"Opção: Aumentar o Diâmetro da Estaca","Verificação Atendida")</f>
        <v>Opção: Aumentar o Diâmetro da Estaca</v>
      </c>
      <c r="T11" s="190"/>
      <c r="U11" s="350"/>
      <c r="V11" s="352" t="s">
        <v>90</v>
      </c>
      <c r="W11" s="351">
        <f>(L15)/(W9*SIN(RADIANS(W4)))</f>
        <v>24905.976136021109</v>
      </c>
      <c r="X11" s="350"/>
      <c r="Y11" s="350"/>
      <c r="Z11" s="350"/>
      <c r="AA11" s="350"/>
      <c r="AB11" s="190"/>
    </row>
    <row r="12" spans="2:28" ht="18.75" thickBot="1" x14ac:dyDescent="0.4">
      <c r="B12" s="41"/>
      <c r="C12" s="34"/>
      <c r="D12" s="34"/>
      <c r="E12" s="34"/>
      <c r="F12" s="34"/>
      <c r="G12" s="34"/>
      <c r="H12" s="42"/>
      <c r="J12" s="74" t="s">
        <v>76</v>
      </c>
      <c r="K12" s="82">
        <f>(Entradas2!C5/Entradas2!F5)-((Z5+Entradas2!C7)*(ABS(K8))/K10)</f>
        <v>482.60869565217394</v>
      </c>
      <c r="L12" s="53">
        <f>(Entradas2!C5/Entradas2!F5)+((Z5+Entradas2!C7)*(ABS(L8))/L10)</f>
        <v>517.39130434782612</v>
      </c>
      <c r="N12" s="140" t="s">
        <v>178</v>
      </c>
      <c r="O12" s="136">
        <f>W35</f>
        <v>2564.9639200150441</v>
      </c>
      <c r="P12" s="578"/>
      <c r="T12" s="190"/>
      <c r="U12" s="350"/>
      <c r="V12" s="350"/>
      <c r="W12" s="350"/>
      <c r="X12" s="350"/>
      <c r="Y12" s="350"/>
      <c r="Z12" s="350"/>
      <c r="AA12" s="350"/>
      <c r="AB12" s="190"/>
    </row>
    <row r="13" spans="2:28" ht="18.75" thickBot="1" x14ac:dyDescent="0.4">
      <c r="B13" s="41"/>
      <c r="C13" s="34"/>
      <c r="D13" s="34"/>
      <c r="E13" s="34"/>
      <c r="F13" s="34"/>
      <c r="G13" s="34"/>
      <c r="H13" s="42"/>
      <c r="J13" s="47"/>
      <c r="N13" s="137" t="s">
        <v>179</v>
      </c>
      <c r="O13" s="138">
        <f>W38</f>
        <v>745.04347826086973</v>
      </c>
      <c r="T13" s="190"/>
      <c r="U13" s="350"/>
      <c r="V13" s="352" t="s">
        <v>208</v>
      </c>
      <c r="W13" s="351">
        <f>0.6*(1-Entradas2!C13/250)*W26</f>
        <v>9.6428571428571441</v>
      </c>
      <c r="X13" s="351" t="s">
        <v>113</v>
      </c>
      <c r="Y13" s="351">
        <f>L15/(SIN(RADIANS(W4)))</f>
        <v>731.7017996626015</v>
      </c>
      <c r="Z13" s="350"/>
      <c r="AA13" s="350"/>
      <c r="AB13" s="190"/>
    </row>
    <row r="14" spans="2:28" ht="15.75" thickBot="1" x14ac:dyDescent="0.3">
      <c r="B14" s="22"/>
      <c r="C14" s="93"/>
      <c r="D14" s="93"/>
      <c r="E14" s="93"/>
      <c r="F14" s="93"/>
      <c r="G14" s="93"/>
      <c r="H14" s="23"/>
      <c r="J14" s="574" t="s">
        <v>183</v>
      </c>
      <c r="K14" s="575"/>
      <c r="L14" s="576"/>
      <c r="T14" s="190"/>
      <c r="U14" s="350"/>
      <c r="V14" s="352" t="s">
        <v>211</v>
      </c>
      <c r="W14" s="351">
        <f>W13*1000</f>
        <v>9642.8571428571449</v>
      </c>
      <c r="X14" s="351" t="s">
        <v>114</v>
      </c>
      <c r="Y14" s="351">
        <f>Y13*Entradas2!C16*Entradas2!C19</f>
        <v>1053.6505915141461</v>
      </c>
      <c r="Z14" s="350"/>
      <c r="AA14" s="350"/>
      <c r="AB14" s="190"/>
    </row>
    <row r="15" spans="2:28" ht="15.75" thickBot="1" x14ac:dyDescent="0.3">
      <c r="J15" s="129" t="str">
        <f>IF(L12&gt;K12,"Estaca E2","Estaca E1")</f>
        <v>Estaca E2</v>
      </c>
      <c r="K15" s="130" t="s">
        <v>75</v>
      </c>
      <c r="L15" s="131">
        <f>LARGE(K12:L12,1)</f>
        <v>517.39130434782612</v>
      </c>
      <c r="N15" s="469" t="s">
        <v>180</v>
      </c>
      <c r="O15" s="470"/>
      <c r="P15" s="471"/>
      <c r="T15" s="190"/>
      <c r="U15" s="350"/>
      <c r="V15" s="351" t="s">
        <v>91</v>
      </c>
      <c r="W15" s="351">
        <f>L15*Entradas2!C16*Entradas2!C19</f>
        <v>745.04347826086962</v>
      </c>
      <c r="X15" s="350"/>
      <c r="Y15" s="350"/>
      <c r="Z15" s="350"/>
      <c r="AA15" s="350"/>
      <c r="AB15" s="190"/>
    </row>
    <row r="16" spans="2:28" x14ac:dyDescent="0.25">
      <c r="J16" s="107" t="s">
        <v>99</v>
      </c>
      <c r="K16" s="108">
        <f>IF((J15="Estaca E2"),L8,IF(J15="Estaca E1",K8))</f>
        <v>0.28749999999999998</v>
      </c>
      <c r="N16" s="105"/>
      <c r="O16" s="484" t="s">
        <v>181</v>
      </c>
      <c r="P16" s="485"/>
      <c r="T16" s="190"/>
      <c r="U16" s="350"/>
      <c r="V16" s="350"/>
      <c r="W16" s="350"/>
      <c r="X16" s="350"/>
      <c r="Y16" s="350"/>
      <c r="Z16" s="350"/>
      <c r="AA16" s="350"/>
      <c r="AB16" s="190"/>
    </row>
    <row r="17" spans="2:28" ht="15.75" thickBot="1" x14ac:dyDescent="0.3">
      <c r="J17" s="109" t="s">
        <v>100</v>
      </c>
      <c r="K17" s="110">
        <f>IF((J15="Estaca E2"),L9,IF(J15="Estaca E1",K9))</f>
        <v>0</v>
      </c>
      <c r="N17" s="104"/>
      <c r="O17" s="486" t="s">
        <v>182</v>
      </c>
      <c r="P17" s="487"/>
      <c r="T17" s="190"/>
      <c r="U17" s="350"/>
      <c r="V17" s="352" t="s">
        <v>92</v>
      </c>
      <c r="W17" s="351">
        <f>(W15)/(W9*SIN(RADIANS(W4)))</f>
        <v>35864.605635870394</v>
      </c>
      <c r="X17" s="350"/>
      <c r="Y17" s="350"/>
      <c r="Z17" s="350"/>
      <c r="AA17" s="350"/>
      <c r="AB17" s="190"/>
    </row>
    <row r="18" spans="2:28" ht="15.75" thickBot="1" x14ac:dyDescent="0.3">
      <c r="T18" s="190"/>
      <c r="U18" s="350"/>
      <c r="V18" s="350"/>
      <c r="W18" s="350"/>
      <c r="X18" s="350" t="s">
        <v>117</v>
      </c>
      <c r="Y18" s="350">
        <f>W15/(SIN(RADIANS(W4)))</f>
        <v>1053.6505915141461</v>
      </c>
      <c r="Z18" s="350"/>
      <c r="AA18" s="350"/>
      <c r="AB18" s="190"/>
    </row>
    <row r="19" spans="2:28" x14ac:dyDescent="0.25">
      <c r="B19" s="472" t="str">
        <f>IF(W3=2,"Bloco Selecionado está Correto","Bloco Selecionado Incorreto")</f>
        <v>Bloco Selecionado está Correto</v>
      </c>
      <c r="C19" s="473"/>
      <c r="D19" s="473"/>
      <c r="E19" s="473"/>
      <c r="F19" s="473"/>
      <c r="G19" s="473"/>
      <c r="H19" s="474"/>
      <c r="J19" s="478" t="str">
        <f>IF(L15&gt;Entradas2!$C$24,"ATENÇÃO: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K19" s="479"/>
      <c r="L19" s="480"/>
      <c r="T19" s="190"/>
      <c r="U19" s="350"/>
      <c r="V19" s="351" t="s">
        <v>93</v>
      </c>
      <c r="W19" s="351">
        <f>Entradas2!C10*Entradas2!C11</f>
        <v>2500</v>
      </c>
      <c r="X19" s="350"/>
      <c r="Y19" s="350"/>
      <c r="Z19" s="350"/>
      <c r="AA19" s="350"/>
      <c r="AB19" s="190"/>
    </row>
    <row r="20" spans="2:28" ht="15.75" thickBot="1" x14ac:dyDescent="0.3">
      <c r="B20" s="475"/>
      <c r="C20" s="476"/>
      <c r="D20" s="476"/>
      <c r="E20" s="476"/>
      <c r="F20" s="476"/>
      <c r="G20" s="476"/>
      <c r="H20" s="477"/>
      <c r="J20" s="481"/>
      <c r="K20" s="482"/>
      <c r="L20" s="483"/>
      <c r="T20" s="190"/>
      <c r="U20" s="350"/>
      <c r="V20" s="351" t="s">
        <v>94</v>
      </c>
      <c r="W20" s="351">
        <f>W19/10000</f>
        <v>0.25</v>
      </c>
      <c r="X20" s="350"/>
      <c r="Y20" s="350"/>
      <c r="Z20" s="350"/>
      <c r="AA20" s="350"/>
      <c r="AB20" s="190"/>
    </row>
    <row r="21" spans="2:28" x14ac:dyDescent="0.25">
      <c r="T21" s="190"/>
      <c r="U21" s="350"/>
      <c r="V21" s="351" t="s">
        <v>95</v>
      </c>
      <c r="W21" s="351">
        <f>(W20*SIN(RADIANS(W4)))/Entradas2!F5</f>
        <v>8.8388347648318433E-2</v>
      </c>
      <c r="X21" s="350"/>
      <c r="Y21" s="350"/>
      <c r="Z21" s="350"/>
      <c r="AA21" s="350"/>
      <c r="AB21" s="190"/>
    </row>
    <row r="22" spans="2:28" x14ac:dyDescent="0.25">
      <c r="T22" s="190"/>
      <c r="U22" s="350"/>
      <c r="V22" s="350"/>
      <c r="W22" s="350"/>
      <c r="X22" s="350"/>
      <c r="Y22" s="350"/>
      <c r="Z22" s="350"/>
      <c r="AA22" s="350"/>
      <c r="AB22" s="190"/>
    </row>
    <row r="23" spans="2:28" x14ac:dyDescent="0.25">
      <c r="T23" s="190"/>
      <c r="U23" s="350"/>
      <c r="V23" s="351" t="s">
        <v>110</v>
      </c>
      <c r="W23" s="351">
        <f>Y18/W21</f>
        <v>11920.695652173916</v>
      </c>
      <c r="X23" s="350"/>
      <c r="Y23" s="350"/>
      <c r="Z23" s="350"/>
      <c r="AA23" s="350"/>
      <c r="AB23" s="190"/>
    </row>
    <row r="24" spans="2:28" x14ac:dyDescent="0.25">
      <c r="T24" s="190"/>
      <c r="U24" s="350"/>
      <c r="V24" s="350"/>
      <c r="W24" s="350"/>
      <c r="X24" s="350"/>
      <c r="Y24" s="350"/>
      <c r="Z24" s="350"/>
      <c r="AA24" s="350"/>
      <c r="AB24" s="190"/>
    </row>
    <row r="25" spans="2:28" x14ac:dyDescent="0.25">
      <c r="T25" s="190"/>
      <c r="U25" s="350"/>
      <c r="V25" s="350"/>
      <c r="W25" s="350"/>
      <c r="X25" s="350"/>
      <c r="Y25" s="350"/>
      <c r="Z25" s="350"/>
      <c r="AA25" s="350"/>
      <c r="AB25" s="190"/>
    </row>
    <row r="26" spans="2:28" x14ac:dyDescent="0.25">
      <c r="T26" s="190"/>
      <c r="U26" s="350"/>
      <c r="V26" s="351" t="s">
        <v>105</v>
      </c>
      <c r="W26" s="351">
        <f>Entradas2!C13/Entradas2!C17</f>
        <v>17.857142857142858</v>
      </c>
      <c r="X26" s="351"/>
      <c r="Y26" s="351" t="s">
        <v>106</v>
      </c>
      <c r="Z26" s="351">
        <f>W26*1000</f>
        <v>17857.142857142859</v>
      </c>
      <c r="AA26" s="350"/>
      <c r="AB26" s="190"/>
    </row>
    <row r="27" spans="2:28" x14ac:dyDescent="0.25">
      <c r="T27" s="190"/>
      <c r="U27" s="350"/>
      <c r="V27" s="353"/>
      <c r="W27" s="353"/>
      <c r="X27" s="353"/>
      <c r="Y27" s="353"/>
      <c r="Z27" s="353"/>
      <c r="AA27" s="350"/>
      <c r="AB27" s="190"/>
    </row>
    <row r="28" spans="2:28" x14ac:dyDescent="0.25">
      <c r="T28" s="190"/>
      <c r="U28" s="350"/>
      <c r="V28" s="352" t="s">
        <v>96</v>
      </c>
      <c r="W28" s="351">
        <f>0.85*Z26</f>
        <v>15178.571428571429</v>
      </c>
      <c r="X28" s="353"/>
      <c r="Y28" s="353"/>
      <c r="Z28" s="353"/>
      <c r="AA28" s="350"/>
      <c r="AB28" s="190"/>
    </row>
    <row r="29" spans="2:28" x14ac:dyDescent="0.25">
      <c r="T29" s="190"/>
      <c r="U29" s="350"/>
      <c r="V29" s="353"/>
      <c r="W29" s="353"/>
      <c r="X29" s="353"/>
      <c r="Y29" s="353"/>
      <c r="Z29" s="353"/>
      <c r="AA29" s="350"/>
      <c r="AB29" s="190"/>
    </row>
    <row r="30" spans="2:28" x14ac:dyDescent="0.25">
      <c r="T30" s="190"/>
      <c r="U30" s="350"/>
      <c r="V30" s="351" t="s">
        <v>111</v>
      </c>
      <c r="W30" s="351">
        <f>(W21+W9)/2</f>
        <v>5.888345553844531E-2</v>
      </c>
      <c r="X30" s="350"/>
      <c r="Y30" s="350"/>
      <c r="Z30" s="350"/>
      <c r="AA30" s="350"/>
      <c r="AB30" s="190"/>
    </row>
    <row r="31" spans="2:28" x14ac:dyDescent="0.25">
      <c r="T31" s="190"/>
      <c r="U31" s="350"/>
      <c r="V31" s="350"/>
      <c r="W31" s="350"/>
      <c r="X31" s="350"/>
      <c r="Y31" s="350"/>
      <c r="Z31" s="350"/>
      <c r="AA31" s="350"/>
      <c r="AB31" s="190"/>
    </row>
    <row r="32" spans="2:28" x14ac:dyDescent="0.25">
      <c r="T32" s="190"/>
      <c r="U32" s="350"/>
      <c r="V32" s="352" t="s">
        <v>112</v>
      </c>
      <c r="W32" s="351">
        <f>(0.3*Y14)/W30</f>
        <v>5368.1492460622258</v>
      </c>
      <c r="X32" s="350"/>
      <c r="Y32" s="350"/>
      <c r="Z32" s="350"/>
      <c r="AA32" s="350"/>
      <c r="AB32" s="190"/>
    </row>
    <row r="33" spans="20:28" x14ac:dyDescent="0.25">
      <c r="T33" s="190"/>
      <c r="U33" s="350"/>
      <c r="V33" s="350"/>
      <c r="W33" s="350"/>
      <c r="X33" s="350"/>
      <c r="Y33" s="350"/>
      <c r="Z33" s="350"/>
      <c r="AA33" s="350"/>
      <c r="AB33" s="190"/>
    </row>
    <row r="34" spans="20:28" x14ac:dyDescent="0.25">
      <c r="T34" s="190"/>
      <c r="U34" s="350"/>
      <c r="V34" s="352" t="s">
        <v>116</v>
      </c>
      <c r="W34" s="351" t="s">
        <v>119</v>
      </c>
      <c r="X34" s="351">
        <f>0.3*((Entradas2!C13)^(2/3))</f>
        <v>2.5649639200150443</v>
      </c>
      <c r="Y34" s="350"/>
      <c r="Z34" s="350"/>
      <c r="AA34" s="350"/>
      <c r="AB34" s="190"/>
    </row>
    <row r="35" spans="20:28" x14ac:dyDescent="0.25">
      <c r="T35" s="190"/>
      <c r="U35" s="350"/>
      <c r="V35" s="352" t="s">
        <v>115</v>
      </c>
      <c r="W35" s="351">
        <f>X34*1000</f>
        <v>2564.9639200150441</v>
      </c>
      <c r="X35" s="351"/>
      <c r="Y35" s="350"/>
      <c r="Z35" s="350"/>
      <c r="AA35" s="350"/>
      <c r="AB35" s="190"/>
    </row>
    <row r="36" spans="20:28" x14ac:dyDescent="0.25">
      <c r="T36" s="190"/>
      <c r="U36" s="350"/>
      <c r="V36" s="350"/>
      <c r="W36" s="350"/>
      <c r="X36" s="350"/>
      <c r="Y36" s="350"/>
      <c r="Z36" s="350"/>
      <c r="AA36" s="350"/>
      <c r="AB36" s="190"/>
    </row>
    <row r="37" spans="20:28" x14ac:dyDescent="0.25">
      <c r="T37" s="190"/>
      <c r="U37" s="350"/>
      <c r="V37" s="350"/>
      <c r="W37" s="350"/>
      <c r="X37" s="350"/>
      <c r="Y37" s="350"/>
      <c r="Z37" s="350"/>
      <c r="AA37" s="350"/>
      <c r="AB37" s="190"/>
    </row>
    <row r="38" spans="20:28" x14ac:dyDescent="0.25">
      <c r="T38" s="190"/>
      <c r="U38" s="350"/>
      <c r="V38" s="351" t="s">
        <v>121</v>
      </c>
      <c r="W38" s="351">
        <f>Y18*COS(RADIANS(W4))</f>
        <v>745.04347826086973</v>
      </c>
      <c r="X38" s="350"/>
      <c r="Y38" s="350"/>
      <c r="Z38" s="350"/>
      <c r="AA38" s="350"/>
      <c r="AB38" s="190"/>
    </row>
    <row r="39" spans="20:28" x14ac:dyDescent="0.25">
      <c r="T39" s="190"/>
      <c r="U39" s="350"/>
      <c r="V39" s="350"/>
      <c r="W39" s="350"/>
      <c r="X39" s="350"/>
      <c r="Y39" s="350"/>
      <c r="Z39" s="350"/>
      <c r="AA39" s="350"/>
      <c r="AB39" s="190"/>
    </row>
    <row r="40" spans="20:28" x14ac:dyDescent="0.25">
      <c r="T40" s="190"/>
      <c r="U40" s="350"/>
      <c r="V40" s="350" t="s">
        <v>209</v>
      </c>
      <c r="W40" s="350">
        <f>Entradas2!C24</f>
        <v>670</v>
      </c>
      <c r="X40" s="350"/>
      <c r="Y40" s="350"/>
      <c r="Z40" s="350"/>
      <c r="AA40" s="350"/>
      <c r="AB40" s="190"/>
    </row>
    <row r="41" spans="20:28" x14ac:dyDescent="0.25">
      <c r="T41" s="190"/>
      <c r="U41" s="350"/>
      <c r="V41" s="350"/>
      <c r="W41" s="350"/>
      <c r="X41" s="350"/>
      <c r="Y41" s="350"/>
      <c r="Z41" s="350"/>
      <c r="AA41" s="350"/>
      <c r="AB41" s="190"/>
    </row>
  </sheetData>
  <mergeCells count="11">
    <mergeCell ref="N2:O3"/>
    <mergeCell ref="O16:P16"/>
    <mergeCell ref="O17:P17"/>
    <mergeCell ref="N15:P15"/>
    <mergeCell ref="B19:H20"/>
    <mergeCell ref="J14:L14"/>
    <mergeCell ref="J19:L20"/>
    <mergeCell ref="P9:P10"/>
    <mergeCell ref="P7:P8"/>
    <mergeCell ref="P11:P12"/>
    <mergeCell ref="P5:P6"/>
  </mergeCells>
  <conditionalFormatting sqref="N9:O10">
    <cfRule type="expression" dxfId="127" priority="19">
      <formula>$O$10&lt;$O$9</formula>
    </cfRule>
    <cfRule type="expression" dxfId="126" priority="20">
      <formula>$O$10&gt;=$O$9</formula>
    </cfRule>
  </conditionalFormatting>
  <conditionalFormatting sqref="N11:O12">
    <cfRule type="expression" dxfId="125" priority="13">
      <formula>$O$12&lt;$O$11</formula>
    </cfRule>
    <cfRule type="expression" dxfId="124" priority="14">
      <formula>$O$12&gt;=$O$11</formula>
    </cfRule>
  </conditionalFormatting>
  <conditionalFormatting sqref="B19:H20">
    <cfRule type="expression" dxfId="123" priority="11">
      <formula>$W$3=2</formula>
    </cfRule>
    <cfRule type="expression" dxfId="122" priority="12">
      <formula>$W$3&lt;&gt;2</formula>
    </cfRule>
  </conditionalFormatting>
  <conditionalFormatting sqref="J19:L20">
    <cfRule type="expression" dxfId="121" priority="1">
      <formula>$L$15&gt;$W$40</formula>
    </cfRule>
    <cfRule type="expression" dxfId="120" priority="2">
      <formula>$L$15&lt;=$W$40</formula>
    </cfRule>
  </conditionalFormatting>
  <conditionalFormatting sqref="N7:O8">
    <cfRule type="expression" dxfId="119" priority="21">
      <formula>$O$7&gt;$O$8</formula>
    </cfRule>
    <cfRule type="expression" dxfId="118" priority="21">
      <formula>$O$8&gt;=$O$7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5122" r:id="rId3">
          <objectPr defaultSize="0" autoPict="0" r:id="rId4">
            <anchor moveWithCells="1">
              <from>
                <xdr:col>1</xdr:col>
                <xdr:colOff>19050</xdr:colOff>
                <xdr:row>2</xdr:row>
                <xdr:rowOff>19050</xdr:rowOff>
              </from>
              <to>
                <xdr:col>7</xdr:col>
                <xdr:colOff>771525</xdr:colOff>
                <xdr:row>12</xdr:row>
                <xdr:rowOff>114300</xdr:rowOff>
              </to>
            </anchor>
          </objectPr>
        </oleObject>
      </mc:Choice>
      <mc:Fallback>
        <oleObject progId="AutoCAD.Drawing.18" shapeId="5122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antes2">
                <anchor moveWithCells="1" sizeWithCells="1">
                  <from>
                    <xdr:col>11</xdr:col>
                    <xdr:colOff>104775</xdr:colOff>
                    <xdr:row>21</xdr:row>
                    <xdr:rowOff>28575</xdr:rowOff>
                  </from>
                  <to>
                    <xdr:col>13</xdr:col>
                    <xdr:colOff>762000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rm2est">
                <anchor moveWithCells="1" sizeWithCells="1">
                  <from>
                    <xdr:col>13</xdr:col>
                    <xdr:colOff>990600</xdr:colOff>
                    <xdr:row>21</xdr:row>
                    <xdr:rowOff>9525</xdr:rowOff>
                  </from>
                  <to>
                    <xdr:col>15</xdr:col>
                    <xdr:colOff>828675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V53"/>
  <sheetViews>
    <sheetView showGridLines="0" showRowColHeaders="0" zoomScale="85" zoomScaleNormal="85" workbookViewId="0">
      <selection activeCell="C5" sqref="C5"/>
    </sheetView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2" width="9.140625" style="190"/>
  </cols>
  <sheetData>
    <row r="1" spans="2:20" ht="19.5" customHeight="1" x14ac:dyDescent="0.25">
      <c r="B1" s="505" t="s">
        <v>127</v>
      </c>
      <c r="C1" s="506"/>
      <c r="D1" s="506"/>
      <c r="E1" s="506"/>
      <c r="F1" s="506"/>
      <c r="G1" s="507"/>
    </row>
    <row r="2" spans="2:20" ht="19.5" customHeight="1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17.136000000000003</v>
      </c>
      <c r="Q4" s="190" t="s">
        <v>130</v>
      </c>
      <c r="R4" s="190">
        <f>(PI()*(E46/10)^2)/4</f>
        <v>0.78539816339744828</v>
      </c>
    </row>
    <row r="5" spans="2:20" ht="18.75" thickBot="1" x14ac:dyDescent="0.3">
      <c r="B5" s="120" t="s">
        <v>167</v>
      </c>
      <c r="C5" s="197">
        <f>'2 Estacas'!O13</f>
        <v>745.04347826086973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21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Q7" s="190" t="s">
        <v>133</v>
      </c>
      <c r="R7" s="190">
        <f>G4/R4</f>
        <v>21.818232838581753</v>
      </c>
    </row>
    <row r="8" spans="2:20" ht="18.75" customHeight="1" thickBot="1" x14ac:dyDescent="0.3">
      <c r="B8" s="122" t="s">
        <v>136</v>
      </c>
      <c r="C8" s="8">
        <f>Entradas2!C22</f>
        <v>23</v>
      </c>
      <c r="E8" s="22"/>
      <c r="F8" s="93"/>
      <c r="G8" s="23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22</v>
      </c>
      <c r="R10" s="190">
        <f>E46</f>
        <v>10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((C8)-G10*(E46/10))/T6</f>
        <v>4.7619047619047616E-2</v>
      </c>
    </row>
    <row r="13" spans="2:20" ht="15.75" thickBot="1" x14ac:dyDescent="0.3">
      <c r="B13" s="521" t="s">
        <v>215</v>
      </c>
      <c r="C13" s="465"/>
    </row>
    <row r="14" spans="2:20" ht="18.75" customHeight="1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17.27875959474386</v>
      </c>
    </row>
    <row r="15" spans="2:20" ht="15.75" thickBot="1" x14ac:dyDescent="0.3">
      <c r="E15" s="492" t="s">
        <v>143</v>
      </c>
      <c r="F15" s="493"/>
      <c r="G15" s="141">
        <f>'2 Estacas'!K6-C6+C8/2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26.150098015242317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IF(E46=20,8*E46,5*E46)</f>
        <v>50</v>
      </c>
      <c r="Q21" s="190" t="s">
        <v>148</v>
      </c>
      <c r="R21" s="190">
        <f>(E46/10)*(C7/U19)/4</f>
        <v>37.668505484223736</v>
      </c>
    </row>
    <row r="22" spans="2:21" ht="15" customHeight="1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IF(E46=20,CEILING(R24,1),CEILING(R23,1))</f>
        <v>126</v>
      </c>
      <c r="Q23" s="190" t="s">
        <v>152</v>
      </c>
      <c r="R23" s="190">
        <f>'2 Estacas'!K7+2*('2 Estacas'!K6-C6-(G21/10)/2+(PI())*(G21/10)/4+10*(E46/10))</f>
        <v>125.35398163397448</v>
      </c>
    </row>
    <row r="24" spans="2:21" ht="15.75" thickBot="1" x14ac:dyDescent="0.3">
      <c r="E24" s="531"/>
      <c r="F24" s="532"/>
      <c r="G24" s="547"/>
      <c r="H24" s="190">
        <f>ROUNDUP(G23,0)</f>
        <v>126</v>
      </c>
      <c r="Q24" s="190" t="s">
        <v>153</v>
      </c>
      <c r="R24" s="190">
        <f>'2 Estacas'!K7+2*('2 Estacas'!K6-C6-(G21/10)/2+PI()*(G21/10)/2+2*(E46/10))</f>
        <v>117.20796326794897</v>
      </c>
    </row>
    <row r="25" spans="2:21" x14ac:dyDescent="0.25">
      <c r="P25" s="190"/>
    </row>
    <row r="26" spans="2:21" x14ac:dyDescent="0.25"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190"/>
    </row>
    <row r="27" spans="2:21" x14ac:dyDescent="0.25">
      <c r="B27" s="363"/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190"/>
      <c r="Q27" s="190" t="s">
        <v>168</v>
      </c>
      <c r="R27" s="190">
        <f>2*E46/10</f>
        <v>2</v>
      </c>
    </row>
    <row r="28" spans="2:21" x14ac:dyDescent="0.25"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190"/>
      <c r="Q28" s="354" t="s">
        <v>169</v>
      </c>
      <c r="R28" s="190">
        <f>E46</f>
        <v>10</v>
      </c>
    </row>
    <row r="29" spans="2:21" x14ac:dyDescent="0.25">
      <c r="B29" s="363"/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190"/>
    </row>
    <row r="30" spans="2:21" x14ac:dyDescent="0.25">
      <c r="B30" s="363"/>
      <c r="C30" s="190"/>
      <c r="D30" s="190"/>
      <c r="E30" s="190"/>
      <c r="F30" s="190"/>
      <c r="G30" s="190"/>
      <c r="H30" s="190"/>
      <c r="I30" s="190"/>
      <c r="J30" s="190"/>
      <c r="K30" s="363"/>
      <c r="L30" s="363"/>
      <c r="M30" s="363"/>
      <c r="N30" s="363"/>
      <c r="O30" s="363"/>
      <c r="P30" s="190"/>
    </row>
    <row r="31" spans="2:21" x14ac:dyDescent="0.25">
      <c r="B31" s="363"/>
      <c r="C31" s="190"/>
      <c r="D31" s="190"/>
      <c r="E31" s="190"/>
      <c r="F31" s="190"/>
      <c r="G31" s="190"/>
      <c r="H31" s="190"/>
      <c r="I31" s="190"/>
      <c r="J31" s="190"/>
      <c r="K31" s="363"/>
      <c r="L31" s="363"/>
      <c r="M31" s="363"/>
      <c r="N31" s="363"/>
      <c r="O31" s="363"/>
      <c r="P31" s="190"/>
    </row>
    <row r="32" spans="2:21" x14ac:dyDescent="0.25">
      <c r="B32" s="363"/>
      <c r="C32" s="190"/>
      <c r="D32" s="190"/>
      <c r="E32" s="190"/>
      <c r="F32" s="190"/>
      <c r="G32" s="190"/>
      <c r="H32" s="190"/>
      <c r="I32" s="190"/>
      <c r="J32" s="190"/>
      <c r="K32" s="363"/>
      <c r="L32" s="363"/>
      <c r="M32" s="363"/>
      <c r="N32" s="363"/>
      <c r="O32" s="363"/>
      <c r="P32" s="190"/>
    </row>
    <row r="33" spans="1:18" x14ac:dyDescent="0.25">
      <c r="B33" s="363"/>
      <c r="C33" s="190"/>
      <c r="D33" s="190"/>
      <c r="E33" s="190"/>
      <c r="F33" s="190"/>
      <c r="G33" s="190"/>
      <c r="H33" s="190"/>
      <c r="I33" s="190"/>
      <c r="J33" s="190"/>
      <c r="K33" s="363"/>
      <c r="L33" s="363"/>
      <c r="M33" s="363"/>
      <c r="N33" s="363"/>
      <c r="O33" s="363"/>
      <c r="P33" s="363"/>
      <c r="Q33" s="363"/>
      <c r="R33" s="363"/>
    </row>
    <row r="34" spans="1:18" x14ac:dyDescent="0.25">
      <c r="B34" s="363"/>
      <c r="C34" s="190"/>
      <c r="D34" s="190"/>
      <c r="E34" s="190"/>
      <c r="F34" s="190"/>
      <c r="G34" s="190"/>
      <c r="H34" s="190"/>
      <c r="I34" s="190"/>
      <c r="J34" s="190"/>
      <c r="K34" s="363"/>
      <c r="L34" s="363"/>
      <c r="M34" s="363"/>
      <c r="N34" s="363"/>
      <c r="O34" s="363"/>
      <c r="P34" s="363"/>
      <c r="Q34" s="363"/>
      <c r="R34" s="363"/>
    </row>
    <row r="35" spans="1:18" ht="18" x14ac:dyDescent="0.35">
      <c r="B35" s="363"/>
      <c r="C35" s="190"/>
      <c r="D35" s="190"/>
      <c r="E35" s="190"/>
      <c r="F35" s="190"/>
      <c r="G35" s="190"/>
      <c r="H35" s="190"/>
      <c r="I35" s="190" t="s">
        <v>213</v>
      </c>
      <c r="J35" s="190"/>
      <c r="K35" s="363"/>
      <c r="L35" s="363"/>
      <c r="M35" s="363"/>
      <c r="N35" s="363"/>
      <c r="O35" s="363"/>
      <c r="P35" s="363"/>
      <c r="Q35" s="363"/>
      <c r="R35" s="363"/>
    </row>
    <row r="36" spans="1:18" x14ac:dyDescent="0.25">
      <c r="B36" s="363"/>
      <c r="C36" s="190"/>
      <c r="D36" s="190"/>
      <c r="E36" s="190"/>
      <c r="F36" s="190"/>
      <c r="G36" s="190"/>
      <c r="H36" s="190"/>
      <c r="I36" s="190"/>
      <c r="J36" s="190"/>
      <c r="K36" s="363"/>
      <c r="L36" s="363"/>
      <c r="M36" s="363"/>
      <c r="N36" s="363"/>
      <c r="O36" s="363"/>
      <c r="P36" s="363"/>
      <c r="Q36" s="363"/>
      <c r="R36" s="363"/>
    </row>
    <row r="37" spans="1:18" x14ac:dyDescent="0.25">
      <c r="B37" s="363"/>
      <c r="C37" s="190"/>
      <c r="D37" s="190"/>
      <c r="E37" s="190"/>
      <c r="F37" s="190"/>
      <c r="G37" s="190"/>
      <c r="H37" s="190"/>
      <c r="I37" s="190"/>
      <c r="J37" s="190"/>
      <c r="K37" s="363"/>
      <c r="L37" s="363"/>
      <c r="M37" s="363"/>
      <c r="N37" s="363"/>
      <c r="O37" s="363"/>
      <c r="P37" s="363"/>
      <c r="Q37" s="363"/>
      <c r="R37" s="363"/>
    </row>
    <row r="38" spans="1:18" x14ac:dyDescent="0.25">
      <c r="B38" s="363"/>
      <c r="C38" s="190"/>
      <c r="D38" s="190"/>
      <c r="E38" s="190"/>
      <c r="F38" s="190"/>
      <c r="G38" s="190"/>
      <c r="H38" s="190"/>
      <c r="I38" s="190"/>
      <c r="J38" s="190"/>
      <c r="K38" s="363"/>
      <c r="L38" s="363"/>
      <c r="M38" s="363"/>
      <c r="N38" s="363"/>
      <c r="O38" s="363"/>
      <c r="P38" s="363"/>
      <c r="Q38" s="363"/>
      <c r="R38" s="363"/>
    </row>
    <row r="39" spans="1:18" x14ac:dyDescent="0.25">
      <c r="B39" s="363"/>
      <c r="C39" s="190"/>
      <c r="D39" s="190"/>
      <c r="E39" s="190"/>
      <c r="F39" s="190"/>
      <c r="G39" s="190"/>
      <c r="H39" s="190"/>
      <c r="I39" s="190"/>
      <c r="J39" s="190"/>
      <c r="K39" s="363"/>
      <c r="L39" s="363"/>
      <c r="M39" s="363"/>
      <c r="N39" s="363"/>
      <c r="O39" s="363"/>
      <c r="P39" s="363"/>
      <c r="Q39" s="363"/>
      <c r="R39" s="363"/>
    </row>
    <row r="40" spans="1:18" x14ac:dyDescent="0.25">
      <c r="B40" s="363"/>
      <c r="C40" s="190"/>
      <c r="D40" s="190"/>
      <c r="E40" s="190"/>
      <c r="F40" s="190"/>
      <c r="G40" s="190"/>
      <c r="H40" s="190"/>
      <c r="I40" s="190"/>
      <c r="J40" s="190"/>
      <c r="K40" s="363"/>
      <c r="L40" s="363"/>
      <c r="M40" s="363"/>
      <c r="N40" s="363"/>
      <c r="O40" s="363"/>
      <c r="P40" s="363"/>
      <c r="Q40" s="363"/>
      <c r="R40" s="363"/>
    </row>
    <row r="41" spans="1:18" x14ac:dyDescent="0.25">
      <c r="B41" s="363"/>
      <c r="C41" s="190"/>
      <c r="D41" s="190"/>
      <c r="E41" s="190"/>
      <c r="F41" s="190"/>
      <c r="G41" s="190"/>
      <c r="H41" s="190"/>
      <c r="I41" s="190"/>
      <c r="J41" s="190"/>
      <c r="K41" s="363"/>
      <c r="L41" s="363"/>
      <c r="M41" s="363"/>
      <c r="N41" s="363"/>
      <c r="O41" s="363"/>
      <c r="P41" s="363"/>
      <c r="Q41" s="363"/>
      <c r="R41" s="363"/>
    </row>
    <row r="42" spans="1:18" x14ac:dyDescent="0.25">
      <c r="B42" s="363"/>
      <c r="C42" s="190"/>
      <c r="D42" s="190"/>
      <c r="E42" s="190"/>
      <c r="F42" s="190"/>
      <c r="G42" s="190"/>
      <c r="H42" s="190"/>
      <c r="I42" s="190"/>
      <c r="J42" s="190"/>
      <c r="K42" s="363"/>
      <c r="L42" s="363"/>
      <c r="M42" s="363"/>
      <c r="N42" s="363"/>
      <c r="O42" s="363"/>
      <c r="P42" s="363"/>
      <c r="Q42" s="363"/>
      <c r="R42" s="363"/>
    </row>
    <row r="43" spans="1:18" x14ac:dyDescent="0.25">
      <c r="B43" s="363"/>
      <c r="C43" s="190"/>
      <c r="D43" s="190"/>
      <c r="E43" s="190"/>
      <c r="F43" s="190"/>
      <c r="G43" s="190"/>
      <c r="H43" s="190"/>
      <c r="I43" s="190"/>
      <c r="J43" s="190"/>
      <c r="K43" s="363"/>
      <c r="L43" s="363"/>
      <c r="M43" s="363"/>
      <c r="N43" s="363"/>
      <c r="O43" s="363"/>
      <c r="P43" s="363"/>
      <c r="Q43" s="363"/>
      <c r="R43" s="363"/>
    </row>
    <row r="44" spans="1:18" x14ac:dyDescent="0.25">
      <c r="A44" s="381"/>
      <c r="B44" s="382"/>
      <c r="C44" s="383"/>
      <c r="D44" s="190"/>
      <c r="E44" s="190"/>
      <c r="F44" s="190"/>
      <c r="G44" s="190"/>
      <c r="H44" s="190"/>
      <c r="I44" s="190"/>
      <c r="J44" s="190"/>
      <c r="K44" s="363"/>
      <c r="L44" s="363"/>
      <c r="M44" s="363"/>
      <c r="N44" s="363"/>
      <c r="O44" s="363"/>
      <c r="P44" s="363"/>
      <c r="Q44" s="363"/>
      <c r="R44" s="363"/>
    </row>
    <row r="45" spans="1:18" x14ac:dyDescent="0.25">
      <c r="A45" s="381"/>
      <c r="B45" s="384">
        <v>3</v>
      </c>
      <c r="C45" s="385"/>
      <c r="D45" s="356"/>
      <c r="E45" s="356"/>
      <c r="F45" s="190"/>
      <c r="G45" s="190"/>
      <c r="H45" s="190"/>
      <c r="I45" s="190"/>
      <c r="J45" s="190"/>
      <c r="K45" s="363"/>
      <c r="L45" s="363"/>
      <c r="M45" s="363"/>
      <c r="N45" s="363"/>
      <c r="O45" s="363"/>
      <c r="P45" s="363"/>
      <c r="Q45" s="363"/>
      <c r="R45" s="363"/>
    </row>
    <row r="46" spans="1:18" x14ac:dyDescent="0.25">
      <c r="A46" s="381"/>
      <c r="B46" s="386">
        <v>6.3</v>
      </c>
      <c r="C46" s="385"/>
      <c r="D46" s="356" t="s">
        <v>132</v>
      </c>
      <c r="E46" s="356">
        <f>IF(B45=1,B46,IF(B45=2,B47,IF(B45=3,B48,IF(B45=4,B49,IF(B45=5,B50,IF(B45=6,B51))))))</f>
        <v>10</v>
      </c>
      <c r="F46" s="190"/>
      <c r="G46" s="190"/>
      <c r="H46" s="190"/>
      <c r="I46" s="190"/>
      <c r="J46" s="190"/>
      <c r="K46" s="363"/>
      <c r="L46" s="363"/>
      <c r="M46" s="363"/>
      <c r="N46" s="363"/>
      <c r="O46" s="363"/>
      <c r="P46" s="363"/>
      <c r="Q46" s="363"/>
      <c r="R46" s="363"/>
    </row>
    <row r="47" spans="1:18" x14ac:dyDescent="0.25">
      <c r="A47" s="381"/>
      <c r="B47" s="386">
        <v>8</v>
      </c>
      <c r="C47" s="385"/>
      <c r="D47" s="356"/>
      <c r="E47" s="356"/>
      <c r="F47" s="190"/>
      <c r="G47" s="190"/>
      <c r="H47" s="190"/>
      <c r="I47" s="190"/>
      <c r="J47" s="190"/>
      <c r="K47" s="363"/>
      <c r="L47" s="363"/>
      <c r="M47" s="363"/>
      <c r="N47" s="363"/>
      <c r="O47" s="363"/>
      <c r="P47" s="363"/>
      <c r="Q47" s="363"/>
      <c r="R47" s="363"/>
    </row>
    <row r="48" spans="1:18" x14ac:dyDescent="0.25">
      <c r="A48" s="381"/>
      <c r="B48" s="386">
        <v>10</v>
      </c>
      <c r="C48" s="385"/>
      <c r="D48" s="356"/>
      <c r="E48" s="356"/>
      <c r="F48" s="190"/>
      <c r="G48" s="190"/>
      <c r="H48" s="190"/>
      <c r="I48" s="190"/>
      <c r="J48" s="190"/>
      <c r="K48" s="363"/>
      <c r="L48" s="363"/>
      <c r="M48" s="363"/>
      <c r="N48" s="363"/>
      <c r="O48" s="363"/>
      <c r="P48" s="363"/>
      <c r="Q48" s="363"/>
      <c r="R48" s="363"/>
    </row>
    <row r="49" spans="1:18" x14ac:dyDescent="0.25">
      <c r="A49" s="381"/>
      <c r="B49" s="386">
        <v>12.5</v>
      </c>
      <c r="C49" s="384"/>
      <c r="D49" s="367"/>
      <c r="E49" s="367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</row>
    <row r="50" spans="1:18" x14ac:dyDescent="0.25">
      <c r="A50" s="381"/>
      <c r="B50" s="386">
        <v>16</v>
      </c>
      <c r="C50" s="384"/>
      <c r="D50" s="367"/>
      <c r="E50" s="367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</row>
    <row r="51" spans="1:18" x14ac:dyDescent="0.25">
      <c r="A51" s="381"/>
      <c r="B51" s="386">
        <v>20</v>
      </c>
      <c r="C51" s="384"/>
      <c r="D51" s="367"/>
      <c r="E51" s="367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</row>
    <row r="52" spans="1:18" x14ac:dyDescent="0.25">
      <c r="A52" s="381"/>
      <c r="B52" s="383"/>
      <c r="C52" s="383"/>
      <c r="D52" s="190"/>
      <c r="E52" s="190"/>
    </row>
    <row r="53" spans="1:18" x14ac:dyDescent="0.25">
      <c r="B53" s="190"/>
      <c r="C53" s="190"/>
      <c r="D53" s="190"/>
      <c r="E53" s="190"/>
    </row>
  </sheetData>
  <mergeCells count="23">
    <mergeCell ref="H14:J14"/>
    <mergeCell ref="B10:C10"/>
    <mergeCell ref="B13:C13"/>
    <mergeCell ref="B19:C19"/>
    <mergeCell ref="B16:C16"/>
    <mergeCell ref="E11:F12"/>
    <mergeCell ref="G11:G12"/>
    <mergeCell ref="E14:G14"/>
    <mergeCell ref="G23:G24"/>
    <mergeCell ref="E23:F24"/>
    <mergeCell ref="E21:F22"/>
    <mergeCell ref="G21:G22"/>
    <mergeCell ref="H15:J16"/>
    <mergeCell ref="F19:G19"/>
    <mergeCell ref="E15:F15"/>
    <mergeCell ref="E16:F16"/>
    <mergeCell ref="E17:G17"/>
    <mergeCell ref="F18:G18"/>
    <mergeCell ref="B1:G2"/>
    <mergeCell ref="B4:C4"/>
    <mergeCell ref="E10:F10"/>
    <mergeCell ref="E6:G7"/>
    <mergeCell ref="E4:F4"/>
  </mergeCells>
  <conditionalFormatting sqref="E15:E16 G15:G16">
    <cfRule type="expression" dxfId="117" priority="3">
      <formula>$G$16&gt;$G$15</formula>
    </cfRule>
    <cfRule type="expression" dxfId="116" priority="4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Drop Down 3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4" name="Button 5">
              <controlPr defaultSize="0" print="0" autoFill="0" autoPict="0" macro="[0]!duasestrelfin">
                <anchor moveWithCells="1" sizeWithCells="1">
                  <from>
                    <xdr:col>7</xdr:col>
                    <xdr:colOff>371475</xdr:colOff>
                    <xdr:row>21</xdr:row>
                    <xdr:rowOff>142875</xdr:rowOff>
                  </from>
                  <to>
                    <xdr:col>9</xdr:col>
                    <xdr:colOff>581025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voltest2">
                <anchor moveWithCells="1" sizeWithCells="1">
                  <from>
                    <xdr:col>7</xdr:col>
                    <xdr:colOff>361950</xdr:colOff>
                    <xdr:row>19</xdr:row>
                    <xdr:rowOff>38100</xdr:rowOff>
                  </from>
                  <to>
                    <xdr:col>9</xdr:col>
                    <xdr:colOff>571500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B1:U72"/>
  <sheetViews>
    <sheetView showGridLines="0" showRowColHeaders="0" zoomScale="85" zoomScaleNormal="85" workbookViewId="0"/>
  </sheetViews>
  <sheetFormatPr defaultRowHeight="15" x14ac:dyDescent="0.25"/>
  <cols>
    <col min="2" max="2" width="7.5703125" customWidth="1"/>
    <col min="3" max="3" width="8.42578125" customWidth="1"/>
    <col min="4" max="4" width="9.7109375" customWidth="1"/>
    <col min="7" max="7" width="9.5703125" customWidth="1"/>
    <col min="8" max="8" width="4.7109375" customWidth="1"/>
    <col min="9" max="9" width="2.85546875" customWidth="1"/>
    <col min="10" max="10" width="10.140625" customWidth="1"/>
    <col min="11" max="11" width="7.5703125" customWidth="1"/>
    <col min="14" max="14" width="7.5703125" customWidth="1"/>
    <col min="15" max="15" width="7.7109375" customWidth="1"/>
    <col min="16" max="16" width="9.85546875" customWidth="1"/>
    <col min="17" max="17" width="6.7109375" customWidth="1"/>
    <col min="18" max="18" width="5.28515625" customWidth="1"/>
    <col min="19" max="19" width="32.5703125" bestFit="1" customWidth="1"/>
    <col min="20" max="20" width="10.5703125" bestFit="1" customWidth="1"/>
    <col min="24" max="24" width="13.42578125" bestFit="1" customWidth="1"/>
    <col min="25" max="25" width="14.28515625" bestFit="1" customWidth="1"/>
    <col min="26" max="26" width="18.85546875" bestFit="1" customWidth="1"/>
    <col min="27" max="27" width="11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  <c r="U2" s="276"/>
    </row>
    <row r="3" spans="2:21" ht="15.75" thickBot="1" x14ac:dyDescent="0.3">
      <c r="U3" s="276"/>
    </row>
    <row r="4" spans="2:21" x14ac:dyDescent="0.25">
      <c r="B4" s="20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113" t="s">
        <v>184</v>
      </c>
      <c r="T4" s="117" t="str">
        <f>'2 Estacas'!J15</f>
        <v>Estaca E2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'2 Estacas'!L15</f>
        <v>517.39130434782612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'2 Estacas'!O8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'2 Estacas'!O7</f>
        <v>35864.605635870394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'2 Estacas'!O9</f>
        <v>11920.695652173916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'2 Estacas'!O10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'2 Estacas'!O11</f>
        <v>5368.1492460622258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'2 Estacas'!O12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'2 Estacas'!O13</f>
        <v>745.04347826086973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'2 Estacas'!O5</f>
        <v>0.3</v>
      </c>
      <c r="U13" s="276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'2 Estacas'!O6</f>
        <v>0.4</v>
      </c>
      <c r="U14" s="276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'2 Estacas'!K6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34"/>
      <c r="J16" s="34"/>
      <c r="K16" s="558" t="s">
        <v>165</v>
      </c>
      <c r="L16" s="558"/>
      <c r="M16" s="34"/>
      <c r="N16" s="34"/>
      <c r="O16" s="559" t="s">
        <v>166</v>
      </c>
      <c r="P16" s="559"/>
      <c r="Q16" s="559"/>
      <c r="R16" s="34"/>
      <c r="S16" s="114" t="s">
        <v>198</v>
      </c>
      <c r="T16" s="118">
        <f>'2 Estacas'!K7</f>
        <v>57.5</v>
      </c>
      <c r="U16" s="276"/>
    </row>
    <row r="17" spans="2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114" t="s">
        <v>186</v>
      </c>
      <c r="T17" s="118">
        <f>Entradas2!C22</f>
        <v>23</v>
      </c>
      <c r="U17" s="276"/>
    </row>
    <row r="18" spans="2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L18" s="34"/>
      <c r="M18" s="34"/>
      <c r="N18" s="34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2:2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((2*T15+T16)/100)*((2*T15)/100)*(T14/100)*1.05</f>
        <v>2.4597300000000002E-3</v>
      </c>
      <c r="U19" s="276"/>
    </row>
    <row r="20" spans="2:21" x14ac:dyDescent="0.25">
      <c r="B20" s="41"/>
      <c r="C20" s="34"/>
      <c r="D20" s="34"/>
      <c r="E20" s="34"/>
      <c r="F20" s="34"/>
      <c r="G20" s="34"/>
      <c r="H20" s="34"/>
      <c r="I20" s="112"/>
      <c r="J20" s="560" t="str">
        <f>CONCATENATE(IF(T21&lt;20,T21, "Dobra de 8Ф")," cm")</f>
        <v>10 cm</v>
      </c>
      <c r="K20" s="223" t="str">
        <f>CONCATENATE(IF(T21=20,2*T21/10,0)," cm")</f>
        <v>0 cm</v>
      </c>
      <c r="L20" s="34"/>
      <c r="M20" s="34"/>
      <c r="N20" s="34"/>
      <c r="O20" s="223" t="str">
        <f>CONCATENATE(IF(T21=20,2*T21/10,0)," cm")</f>
        <v>0 cm</v>
      </c>
      <c r="P20" s="560" t="str">
        <f>CONCATENATE(IF(T21&lt;20,T21, "Dobra de 8Ф")," cm")</f>
        <v>10 cm</v>
      </c>
      <c r="Q20" s="223"/>
      <c r="R20" s="34"/>
      <c r="S20" s="114" t="s">
        <v>196</v>
      </c>
      <c r="T20" s="119" t="s">
        <v>197</v>
      </c>
      <c r="U20" s="276"/>
    </row>
    <row r="21" spans="2:2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223"/>
      <c r="R21" s="34"/>
      <c r="S21" s="114" t="s">
        <v>190</v>
      </c>
      <c r="T21" s="119">
        <f>'2 Est Armadura'!E46</f>
        <v>10</v>
      </c>
      <c r="U21" s="276"/>
    </row>
    <row r="22" spans="2:21" x14ac:dyDescent="0.25">
      <c r="B22" s="41"/>
      <c r="C22" s="34"/>
      <c r="D22" s="34"/>
      <c r="E22" s="34"/>
      <c r="F22" s="34"/>
      <c r="G22" s="34"/>
      <c r="H22" s="34"/>
      <c r="I22" s="34"/>
      <c r="J22" s="34"/>
      <c r="K22" s="34"/>
      <c r="L22" s="563" t="str">
        <f>CONCATENATE(T16+2*T15-2*'[1]2 Est Armadura'!C6-T23/10," cm")</f>
        <v>97,5 cm</v>
      </c>
      <c r="M22" s="563"/>
      <c r="N22" s="563"/>
      <c r="O22" s="34"/>
      <c r="P22" s="34"/>
      <c r="Q22" s="34"/>
      <c r="R22" s="34"/>
      <c r="S22" s="114" t="s">
        <v>206</v>
      </c>
      <c r="T22" s="235">
        <f>'2 Est Armadura'!G11</f>
        <v>2.2800000000000002</v>
      </c>
    </row>
    <row r="23" spans="2:21" ht="18.75" thickBot="1" x14ac:dyDescent="0.4">
      <c r="B23" s="41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127" t="s">
        <v>207</v>
      </c>
      <c r="T23" s="372">
        <f>'2 Est Armadura'!G21</f>
        <v>50</v>
      </c>
    </row>
    <row r="24" spans="2:21" x14ac:dyDescent="0.25">
      <c r="B24" s="41"/>
      <c r="C24" s="34"/>
      <c r="D24" s="34"/>
      <c r="E24" s="34"/>
      <c r="F24" s="34"/>
      <c r="G24" s="34"/>
      <c r="H24" s="34"/>
      <c r="I24" s="34"/>
      <c r="J24" s="34"/>
      <c r="K24" s="559" t="str">
        <f>CONCATENATE('[1]2 Est Armadura'!G10," Ф ",T21," mm"," c/ ",'[1]2 Est Armadura'!H24," cm.")</f>
        <v>5 Ф 10 mm c/ 179 cm.</v>
      </c>
      <c r="L24" s="559"/>
      <c r="M24" s="559"/>
      <c r="N24" s="559"/>
      <c r="O24" s="559"/>
      <c r="P24" s="34"/>
      <c r="Q24" s="34"/>
      <c r="R24" s="34"/>
      <c r="T24" s="371"/>
    </row>
    <row r="25" spans="2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42"/>
    </row>
    <row r="26" spans="2:21" ht="15.75" thickBot="1" x14ac:dyDescent="0.3">
      <c r="B26" s="41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42"/>
    </row>
    <row r="27" spans="2:21" ht="15.75" thickBot="1" x14ac:dyDescent="0.3">
      <c r="B27" s="41"/>
      <c r="C27" s="34"/>
      <c r="D27" s="34"/>
      <c r="E27" s="34"/>
      <c r="F27" s="34"/>
      <c r="G27" s="34"/>
      <c r="H27" s="34"/>
      <c r="I27" s="566" t="s">
        <v>195</v>
      </c>
      <c r="J27" s="567"/>
      <c r="K27" s="567"/>
      <c r="L27" s="567"/>
      <c r="M27" s="567"/>
      <c r="N27" s="567"/>
      <c r="O27" s="567"/>
      <c r="P27" s="567"/>
      <c r="Q27" s="568"/>
      <c r="R27" s="34"/>
      <c r="S27" s="34"/>
      <c r="T27" s="42"/>
    </row>
    <row r="28" spans="2:21" ht="18" x14ac:dyDescent="0.35">
      <c r="B28" s="41"/>
      <c r="C28" s="34"/>
      <c r="D28" s="34"/>
      <c r="E28" s="34"/>
      <c r="F28" s="34"/>
      <c r="G28" s="34"/>
      <c r="H28" s="34"/>
      <c r="I28" s="569" t="s">
        <v>194</v>
      </c>
      <c r="J28" s="570"/>
      <c r="K28" s="570" t="s">
        <v>193</v>
      </c>
      <c r="L28" s="570"/>
      <c r="M28" s="570" t="s">
        <v>192</v>
      </c>
      <c r="N28" s="570"/>
      <c r="O28" s="570" t="s">
        <v>191</v>
      </c>
      <c r="P28" s="570"/>
      <c r="Q28" s="571"/>
      <c r="R28" s="34"/>
      <c r="S28" s="34"/>
      <c r="T28" s="42"/>
    </row>
    <row r="29" spans="2:21" ht="15.75" thickBot="1" x14ac:dyDescent="0.3">
      <c r="B29" s="41"/>
      <c r="C29" s="34"/>
      <c r="D29" s="34"/>
      <c r="E29" s="34"/>
      <c r="F29" s="34"/>
      <c r="G29" s="34"/>
      <c r="H29" s="34"/>
      <c r="I29" s="573">
        <f>T21</f>
        <v>10</v>
      </c>
      <c r="J29" s="486"/>
      <c r="K29" s="486">
        <f>('[1]2 Est Armadura'!G23/100)*'[1]2 Est Armadura'!G10</f>
        <v>8.9499999999999993</v>
      </c>
      <c r="L29" s="486"/>
      <c r="M29" s="486">
        <f>IF(T21=6.3,0.245,IF(T21=8,0.395,IF(T21=10,0.617,IF(T21=12.5,0.963,IF(T21=16,1.578,IF(T21=20,2.466))))))</f>
        <v>0.61699999999999999</v>
      </c>
      <c r="N29" s="486"/>
      <c r="O29" s="564">
        <f>(M29*K29)*1.1</f>
        <v>6.0743650000000002</v>
      </c>
      <c r="P29" s="564"/>
      <c r="Q29" s="565"/>
      <c r="R29" s="34"/>
      <c r="S29" s="34"/>
      <c r="T29" s="42"/>
    </row>
    <row r="30" spans="2:21" ht="15.75" thickBot="1" x14ac:dyDescent="0.3">
      <c r="B30" s="225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  <c r="O30" s="226"/>
      <c r="P30" s="226"/>
      <c r="Q30" s="226"/>
      <c r="R30" s="226"/>
      <c r="S30" s="226"/>
      <c r="T30" s="227"/>
    </row>
    <row r="66" spans="6:7" x14ac:dyDescent="0.25">
      <c r="F66" s="381"/>
      <c r="G66" s="381"/>
    </row>
    <row r="67" spans="6:7" x14ac:dyDescent="0.25">
      <c r="F67" s="381"/>
      <c r="G67" s="381"/>
    </row>
    <row r="68" spans="6:7" x14ac:dyDescent="0.25">
      <c r="F68" s="381"/>
      <c r="G68" s="381"/>
    </row>
    <row r="69" spans="6:7" x14ac:dyDescent="0.25">
      <c r="F69" s="381">
        <f>'[1]2 Estacas'!K7</f>
        <v>96</v>
      </c>
      <c r="G69" s="381"/>
    </row>
    <row r="70" spans="6:7" x14ac:dyDescent="0.25">
      <c r="F70" s="381"/>
      <c r="G70" s="381"/>
    </row>
    <row r="71" spans="6:7" x14ac:dyDescent="0.25">
      <c r="F71" s="381"/>
      <c r="G71" s="381"/>
    </row>
    <row r="72" spans="6:7" x14ac:dyDescent="0.25">
      <c r="F72" s="381"/>
      <c r="G72" s="381"/>
    </row>
  </sheetData>
  <mergeCells count="16">
    <mergeCell ref="I29:J29"/>
    <mergeCell ref="K29:L29"/>
    <mergeCell ref="M29:N29"/>
    <mergeCell ref="O29:Q29"/>
    <mergeCell ref="K24:O24"/>
    <mergeCell ref="I27:Q27"/>
    <mergeCell ref="I28:J28"/>
    <mergeCell ref="K28:L28"/>
    <mergeCell ref="M28:N28"/>
    <mergeCell ref="O28:Q28"/>
    <mergeCell ref="L22:N22"/>
    <mergeCell ref="B1:T2"/>
    <mergeCell ref="K16:L16"/>
    <mergeCell ref="O16:Q16"/>
    <mergeCell ref="J20:J21"/>
    <mergeCell ref="P20:P21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03425" r:id="rId3">
          <objectPr defaultSize="0" autoPict="0" r:id="rId4">
            <anchor moveWithCells="1">
              <from>
                <xdr:col>1</xdr:col>
                <xdr:colOff>19050</xdr:colOff>
                <xdr:row>3</xdr:row>
                <xdr:rowOff>19050</xdr:rowOff>
              </from>
              <to>
                <xdr:col>7</xdr:col>
                <xdr:colOff>190500</xdr:colOff>
                <xdr:row>15</xdr:row>
                <xdr:rowOff>57150</xdr:rowOff>
              </to>
            </anchor>
          </objectPr>
        </oleObject>
      </mc:Choice>
      <mc:Fallback>
        <oleObject progId="AutoCAD.Drawing.18" shapeId="103425" r:id="rId3"/>
      </mc:Fallback>
    </mc:AlternateContent>
    <mc:AlternateContent xmlns:mc="http://schemas.openxmlformats.org/markup-compatibility/2006">
      <mc:Choice Requires="x14">
        <oleObject progId="AutoCAD.Drawing.18" shapeId="103426" r:id="rId5">
          <objectPr defaultSize="0" autoPict="0" r:id="rId6">
            <anchor moveWithCells="1">
              <from>
                <xdr:col>8</xdr:col>
                <xdr:colOff>38100</xdr:colOff>
                <xdr:row>3</xdr:row>
                <xdr:rowOff>19050</xdr:rowOff>
              </from>
              <to>
                <xdr:col>16</xdr:col>
                <xdr:colOff>247650</xdr:colOff>
                <xdr:row>15</xdr:row>
                <xdr:rowOff>47625</xdr:rowOff>
              </to>
            </anchor>
          </objectPr>
        </oleObject>
      </mc:Choice>
      <mc:Fallback>
        <oleObject progId="AutoCAD.Drawing.18" shapeId="103426" r:id="rId5"/>
      </mc:Fallback>
    </mc:AlternateContent>
    <mc:AlternateContent xmlns:mc="http://schemas.openxmlformats.org/markup-compatibility/2006">
      <mc:Choice Requires="x14">
        <oleObject progId="AutoCAD.Drawing.18" shapeId="103427" r:id="rId7">
          <objectPr defaultSize="0" autoPict="0" r:id="rId8">
            <anchor moveWithCells="1">
              <from>
                <xdr:col>8</xdr:col>
                <xdr:colOff>38100</xdr:colOff>
                <xdr:row>15</xdr:row>
                <xdr:rowOff>123825</xdr:rowOff>
              </from>
              <to>
                <xdr:col>16</xdr:col>
                <xdr:colOff>266700</xdr:colOff>
                <xdr:row>22</xdr:row>
                <xdr:rowOff>209550</xdr:rowOff>
              </to>
            </anchor>
          </objectPr>
        </oleObject>
      </mc:Choice>
      <mc:Fallback>
        <oleObject progId="AutoCAD.Drawing.18" shapeId="103427" r:id="rId7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9" name="Button 4">
              <controlPr defaultSize="0" print="0" autoFill="0" autoPict="0" macro="[0]!MACRO12">
                <anchor moveWithCells="1" sizeWithCells="1">
                  <from>
                    <xdr:col>18</xdr:col>
                    <xdr:colOff>257175</xdr:colOff>
                    <xdr:row>27</xdr:row>
                    <xdr:rowOff>9525</xdr:rowOff>
                  </from>
                  <to>
                    <xdr:col>19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AK40"/>
  <sheetViews>
    <sheetView showGridLines="0" showRowColHeaders="0" zoomScale="85" zoomScaleNormal="85" workbookViewId="0"/>
  </sheetViews>
  <sheetFormatPr defaultRowHeight="15" x14ac:dyDescent="0.25"/>
  <cols>
    <col min="1" max="1" width="4.140625" customWidth="1"/>
    <col min="11" max="11" width="11.42578125" customWidth="1"/>
    <col min="13" max="13" width="11.7109375" bestFit="1" customWidth="1"/>
    <col min="14" max="14" width="10.7109375" bestFit="1" customWidth="1"/>
    <col min="18" max="18" width="19.28515625" customWidth="1"/>
    <col min="19" max="19" width="11.28515625" customWidth="1"/>
    <col min="20" max="20" width="19.7109375" bestFit="1" customWidth="1"/>
    <col min="21" max="21" width="12.5703125" bestFit="1" customWidth="1"/>
    <col min="29" max="29" width="9.140625" style="350"/>
    <col min="30" max="30" width="21.42578125" style="350" bestFit="1" customWidth="1"/>
    <col min="31" max="32" width="9.140625" style="350"/>
    <col min="33" max="33" width="12.5703125" style="350" bestFit="1" customWidth="1"/>
    <col min="34" max="37" width="9.140625" style="350"/>
  </cols>
  <sheetData>
    <row r="1" spans="2:36" ht="15.75" thickBot="1" x14ac:dyDescent="0.3"/>
    <row r="2" spans="2:36" x14ac:dyDescent="0.25">
      <c r="B2" s="20"/>
      <c r="C2" s="320"/>
      <c r="D2" s="320"/>
      <c r="E2" s="320"/>
      <c r="F2" s="320"/>
      <c r="G2" s="320"/>
      <c r="H2" s="320"/>
      <c r="I2" s="320"/>
      <c r="J2" s="320"/>
      <c r="K2" s="317"/>
      <c r="R2" s="461" t="s">
        <v>170</v>
      </c>
      <c r="S2" s="462"/>
      <c r="T2" s="24"/>
    </row>
    <row r="3" spans="2:36" ht="15.75" thickBot="1" x14ac:dyDescent="0.3">
      <c r="B3" s="41"/>
      <c r="C3" s="322"/>
      <c r="D3" s="322"/>
      <c r="E3" s="322"/>
      <c r="F3" s="322"/>
      <c r="G3" s="322"/>
      <c r="H3" s="322"/>
      <c r="I3" s="322"/>
      <c r="J3" s="322"/>
      <c r="K3" s="42"/>
      <c r="R3" s="463"/>
      <c r="S3" s="464"/>
      <c r="T3" s="24"/>
    </row>
    <row r="4" spans="2:36" ht="15.75" thickBot="1" x14ac:dyDescent="0.3">
      <c r="B4" s="41"/>
      <c r="C4" s="322"/>
      <c r="D4" s="322"/>
      <c r="E4" s="322"/>
      <c r="F4" s="322"/>
      <c r="G4" s="322"/>
      <c r="H4" s="322"/>
      <c r="I4" s="322"/>
      <c r="J4" s="322"/>
      <c r="K4" s="42"/>
      <c r="N4" s="64" t="s">
        <v>77</v>
      </c>
      <c r="O4" s="83" t="s">
        <v>78</v>
      </c>
      <c r="P4" s="65" t="s">
        <v>80</v>
      </c>
      <c r="R4" s="24"/>
      <c r="S4" s="24"/>
      <c r="T4" s="24"/>
      <c r="AD4" s="350" t="s">
        <v>60</v>
      </c>
      <c r="AE4" s="350">
        <f>Blocos!L1</f>
        <v>2</v>
      </c>
    </row>
    <row r="5" spans="2:36" x14ac:dyDescent="0.25">
      <c r="B5" s="41"/>
      <c r="C5" s="322"/>
      <c r="D5" s="322"/>
      <c r="E5" s="322"/>
      <c r="F5" s="322"/>
      <c r="G5" s="322"/>
      <c r="H5" s="322"/>
      <c r="I5" s="322"/>
      <c r="J5" s="322"/>
      <c r="K5" s="42"/>
      <c r="M5" s="72" t="s">
        <v>73</v>
      </c>
      <c r="N5" s="79">
        <f>Entradas2!C22</f>
        <v>23</v>
      </c>
      <c r="O5" s="61">
        <f>Entradas2!C22</f>
        <v>23</v>
      </c>
      <c r="P5" s="60">
        <f>Entradas2!C22</f>
        <v>23</v>
      </c>
      <c r="R5" s="146" t="s">
        <v>172</v>
      </c>
      <c r="S5" s="147">
        <f>AF7/100</f>
        <v>0.6</v>
      </c>
      <c r="T5" s="579" t="s">
        <v>210</v>
      </c>
      <c r="AD5" s="351" t="s">
        <v>86</v>
      </c>
      <c r="AE5" s="350">
        <f>Entradas2!C12</f>
        <v>45</v>
      </c>
      <c r="AG5" s="351" t="s">
        <v>108</v>
      </c>
      <c r="AH5" s="350">
        <f>Entradas2!C9*AF7/100</f>
        <v>0</v>
      </c>
    </row>
    <row r="6" spans="2:36" ht="15.75" thickBot="1" x14ac:dyDescent="0.3">
      <c r="B6" s="41"/>
      <c r="C6" s="322"/>
      <c r="D6" s="322"/>
      <c r="E6" s="322"/>
      <c r="F6" s="322"/>
      <c r="G6" s="322"/>
      <c r="H6" s="322"/>
      <c r="I6" s="322"/>
      <c r="J6" s="322"/>
      <c r="K6" s="42"/>
      <c r="M6" s="73" t="s">
        <v>69</v>
      </c>
      <c r="N6" s="80">
        <f>N5/2+15</f>
        <v>26.5</v>
      </c>
      <c r="O6" s="49">
        <f>O5/2+15</f>
        <v>26.5</v>
      </c>
      <c r="P6" s="51">
        <f>P5/2+15</f>
        <v>26.5</v>
      </c>
      <c r="R6" s="148" t="s">
        <v>173</v>
      </c>
      <c r="S6" s="149">
        <f>AE8/100</f>
        <v>0.7</v>
      </c>
      <c r="T6" s="580"/>
      <c r="AD6" s="351" t="s">
        <v>102</v>
      </c>
      <c r="AE6" s="350">
        <f>SQRT((N8)^2)*100</f>
        <v>57.499999999999993</v>
      </c>
      <c r="AG6" s="351" t="s">
        <v>109</v>
      </c>
      <c r="AH6" s="350">
        <f>Entradas2!C8*AF7/100</f>
        <v>0</v>
      </c>
    </row>
    <row r="7" spans="2:36" ht="18" x14ac:dyDescent="0.25">
      <c r="B7" s="41"/>
      <c r="C7" s="322"/>
      <c r="D7" s="322"/>
      <c r="E7" s="322"/>
      <c r="F7" s="322"/>
      <c r="G7" s="322"/>
      <c r="H7" s="322"/>
      <c r="I7" s="322"/>
      <c r="J7" s="322"/>
      <c r="K7" s="42"/>
      <c r="M7" s="73" t="s">
        <v>79</v>
      </c>
      <c r="N7" s="80">
        <f>Entradas2!C22*Entradas2!L21</f>
        <v>57.5</v>
      </c>
      <c r="O7" s="49">
        <f>Entradas2!C22*Entradas2!L21</f>
        <v>57.5</v>
      </c>
      <c r="P7" s="51">
        <f>Entradas2!C22*Entradas2!L21</f>
        <v>57.5</v>
      </c>
      <c r="R7" s="146" t="s">
        <v>174</v>
      </c>
      <c r="S7" s="147">
        <f>AE18</f>
        <v>35261.839154595262</v>
      </c>
      <c r="T7" s="586" t="str">
        <f>IF(S7&gt;S8,"Opção: Aumentar o fck do Concreto","Verificação Atendida")</f>
        <v>Opção: Aumentar o fck do Concreto</v>
      </c>
      <c r="AD7" s="351" t="s">
        <v>103</v>
      </c>
      <c r="AE7" s="350">
        <f>AE6*(TAN(RADIANS(AE5)))</f>
        <v>57.499999999999986</v>
      </c>
      <c r="AF7" s="350">
        <f>CEILING(AE7,5)</f>
        <v>60</v>
      </c>
    </row>
    <row r="8" spans="2:36" ht="18.75" thickBot="1" x14ac:dyDescent="0.3">
      <c r="B8" s="41"/>
      <c r="C8" s="322"/>
      <c r="D8" s="322"/>
      <c r="E8" s="322"/>
      <c r="F8" s="322"/>
      <c r="G8" s="322"/>
      <c r="H8" s="322"/>
      <c r="I8" s="322"/>
      <c r="J8" s="322"/>
      <c r="K8" s="42"/>
      <c r="M8" s="73" t="s">
        <v>98</v>
      </c>
      <c r="N8" s="80">
        <f>-N7/100</f>
        <v>-0.57499999999999996</v>
      </c>
      <c r="O8" s="49">
        <v>0</v>
      </c>
      <c r="P8" s="51">
        <f>P7/100</f>
        <v>0.57499999999999996</v>
      </c>
      <c r="R8" s="150" t="s">
        <v>212</v>
      </c>
      <c r="S8" s="151">
        <f>AE15</f>
        <v>9642.8571428571449</v>
      </c>
      <c r="T8" s="587"/>
      <c r="AD8" s="351" t="s">
        <v>104</v>
      </c>
      <c r="AE8" s="350">
        <f>10+AF7</f>
        <v>70</v>
      </c>
    </row>
    <row r="9" spans="2:36" ht="18" x14ac:dyDescent="0.25">
      <c r="B9" s="41"/>
      <c r="C9" s="322"/>
      <c r="D9" s="322"/>
      <c r="E9" s="322"/>
      <c r="F9" s="322"/>
      <c r="G9" s="322"/>
      <c r="H9" s="322"/>
      <c r="I9" s="322"/>
      <c r="J9" s="322"/>
      <c r="K9" s="42"/>
      <c r="M9" s="73" t="s">
        <v>101</v>
      </c>
      <c r="N9" s="80">
        <v>0</v>
      </c>
      <c r="O9" s="49">
        <v>0</v>
      </c>
      <c r="P9" s="51">
        <v>0</v>
      </c>
      <c r="R9" s="146" t="s">
        <v>175</v>
      </c>
      <c r="S9" s="147">
        <f>AE24</f>
        <v>11720.347826086956</v>
      </c>
      <c r="T9" s="586" t="str">
        <f>IF(S9&gt;S10,"Opção: Aumentar a Sessão do Pilar","Verificação Atendida")</f>
        <v>Verificação Atendida</v>
      </c>
      <c r="AD9" s="351" t="s">
        <v>87</v>
      </c>
      <c r="AE9" s="350">
        <f>(PI()*(N5^2)/4)/10000</f>
        <v>4.154756284372501E-2</v>
      </c>
    </row>
    <row r="10" spans="2:36" ht="18.75" thickBot="1" x14ac:dyDescent="0.3">
      <c r="B10" s="41"/>
      <c r="C10" s="322"/>
      <c r="D10" s="322"/>
      <c r="E10" s="322"/>
      <c r="F10" s="322"/>
      <c r="G10" s="322"/>
      <c r="H10" s="322"/>
      <c r="I10" s="322"/>
      <c r="J10" s="322"/>
      <c r="K10" s="42"/>
      <c r="M10" s="73" t="s">
        <v>72</v>
      </c>
      <c r="N10" s="80">
        <f>SUMSQ(N8:P8)</f>
        <v>0.66124999999999989</v>
      </c>
      <c r="O10" s="49">
        <f>SUMSQ(N8:P8)</f>
        <v>0.66124999999999989</v>
      </c>
      <c r="P10" s="51">
        <f>SUMSQ(N8:P8)</f>
        <v>0.66124999999999989</v>
      </c>
      <c r="R10" s="150" t="s">
        <v>176</v>
      </c>
      <c r="S10" s="151">
        <f>AE29</f>
        <v>15178.571428571429</v>
      </c>
      <c r="T10" s="587"/>
      <c r="AD10" s="351" t="s">
        <v>88</v>
      </c>
      <c r="AE10" s="350">
        <f>AE9*SIN(RADIANS(AE5))</f>
        <v>2.9378563428572192E-2</v>
      </c>
    </row>
    <row r="11" spans="2:36" ht="18" x14ac:dyDescent="0.25">
      <c r="B11" s="41"/>
      <c r="C11" s="322"/>
      <c r="D11" s="322"/>
      <c r="E11" s="322"/>
      <c r="F11" s="322"/>
      <c r="G11" s="322"/>
      <c r="H11" s="322"/>
      <c r="I11" s="322"/>
      <c r="J11" s="322"/>
      <c r="K11" s="42"/>
      <c r="M11" s="73" t="s">
        <v>74</v>
      </c>
      <c r="N11" s="80">
        <f>SUMSQ(N9:P9)</f>
        <v>0</v>
      </c>
      <c r="O11" s="49">
        <f>SUMSQ(N9:P9)</f>
        <v>0</v>
      </c>
      <c r="P11" s="51">
        <f>SUMSQ(N9:P9)</f>
        <v>0</v>
      </c>
      <c r="R11" s="152" t="s">
        <v>177</v>
      </c>
      <c r="S11" s="147">
        <f>AE33</f>
        <v>5277.9282503300874</v>
      </c>
      <c r="T11" s="586" t="str">
        <f>IF(S11&gt;S12,"Opção: Aumentar o Diâmetro da Estaca","Verificação Atendida")</f>
        <v>Opção: Aumentar o Diâmetro da Estaca</v>
      </c>
    </row>
    <row r="12" spans="2:36" ht="18.75" thickBot="1" x14ac:dyDescent="0.3">
      <c r="B12" s="318"/>
      <c r="C12" s="321"/>
      <c r="D12" s="321"/>
      <c r="E12" s="321"/>
      <c r="F12" s="321"/>
      <c r="G12" s="321"/>
      <c r="H12" s="321"/>
      <c r="I12" s="321"/>
      <c r="J12" s="321"/>
      <c r="K12" s="319"/>
      <c r="M12" s="158" t="s">
        <v>76</v>
      </c>
      <c r="N12" s="159">
        <f>(Entradas2!C5/Entradas2!F5)-((AH6+Entradas2!C7)*(ABS(N8))/N10)</f>
        <v>491.30434782608694</v>
      </c>
      <c r="O12" s="160">
        <f>(Entradas2!C5/Entradas2!F5)-((AH6+Entradas2!C7)*(ABS(O8))/O10)</f>
        <v>500</v>
      </c>
      <c r="P12" s="161">
        <f>(Entradas2!C5/Entradas2!F5)+((AH6+Entradas2!C7)*(ABS(P8))/P10)</f>
        <v>508.69565217391306</v>
      </c>
      <c r="R12" s="153" t="s">
        <v>178</v>
      </c>
      <c r="S12" s="151">
        <f>AE36</f>
        <v>2564.9639200150441</v>
      </c>
      <c r="T12" s="587"/>
      <c r="AD12" s="352" t="s">
        <v>90</v>
      </c>
      <c r="AE12" s="350">
        <f>(O15)/(AE10*SIN(RADIANS(AE5)))</f>
        <v>24487.388301802264</v>
      </c>
      <c r="AG12" s="351" t="s">
        <v>113</v>
      </c>
      <c r="AH12" s="350">
        <f>O15/(SIN(RADIANS(AE5)))</f>
        <v>719.40429042457447</v>
      </c>
    </row>
    <row r="13" spans="2:36" ht="18.75" thickBot="1" x14ac:dyDescent="0.3">
      <c r="B13" s="322"/>
      <c r="C13" s="322"/>
      <c r="D13" s="322"/>
      <c r="E13" s="322"/>
      <c r="F13" s="322"/>
      <c r="G13" s="322"/>
      <c r="H13" s="322"/>
      <c r="I13" s="322"/>
      <c r="J13" s="322"/>
      <c r="K13" s="322"/>
      <c r="M13" s="47"/>
      <c r="N13" s="2"/>
      <c r="O13" s="2"/>
      <c r="P13" s="2"/>
      <c r="R13" s="154" t="s">
        <v>179</v>
      </c>
      <c r="S13" s="155">
        <f>AE38</f>
        <v>732.52173913043475</v>
      </c>
      <c r="T13" s="24"/>
      <c r="AG13" s="351" t="s">
        <v>114</v>
      </c>
      <c r="AH13" s="350">
        <f>AH12*Entradas2!C16*Entradas2!C19</f>
        <v>1035.942178211387</v>
      </c>
      <c r="AJ13" s="350" t="s">
        <v>221</v>
      </c>
    </row>
    <row r="14" spans="2:36" ht="15.75" thickBot="1" x14ac:dyDescent="0.3">
      <c r="M14" s="581" t="s">
        <v>219</v>
      </c>
      <c r="N14" s="582"/>
      <c r="O14" s="583"/>
      <c r="P14" s="2"/>
      <c r="R14" s="24"/>
      <c r="S14" s="24"/>
      <c r="T14" s="24"/>
      <c r="AD14" s="352" t="s">
        <v>107</v>
      </c>
      <c r="AE14" s="350">
        <f>0.6*(1-Entradas2!C13/250)*AE27</f>
        <v>9.6428571428571441</v>
      </c>
    </row>
    <row r="15" spans="2:36" ht="15.75" customHeight="1" thickBot="1" x14ac:dyDescent="0.3">
      <c r="M15" s="171" t="str">
        <f>IF(AND(P12&gt;O12,P12&gt;N12),"Estaca E3",IF(AND(O12&gt;P12,O12&gt;N12),"Estaca E2","Estaca E1"))</f>
        <v>Estaca E3</v>
      </c>
      <c r="N15" s="172" t="s">
        <v>75</v>
      </c>
      <c r="O15" s="173">
        <f>LARGE(N12:P12,1)</f>
        <v>508.69565217391306</v>
      </c>
      <c r="P15" s="2"/>
      <c r="R15" s="502" t="s">
        <v>180</v>
      </c>
      <c r="S15" s="503"/>
      <c r="T15" s="504"/>
      <c r="AD15" s="352" t="s">
        <v>89</v>
      </c>
      <c r="AE15" s="350">
        <f>AE14*1000</f>
        <v>9642.8571428571449</v>
      </c>
    </row>
    <row r="16" spans="2:36" ht="15.75" customHeight="1" x14ac:dyDescent="0.25">
      <c r="M16" s="169" t="s">
        <v>99</v>
      </c>
      <c r="N16" s="170">
        <f>IF(M15="Estaca E1",N8,IF(M15="Estaca E2",O8,P8))</f>
        <v>0.57499999999999996</v>
      </c>
      <c r="R16" s="156"/>
      <c r="S16" s="584" t="s">
        <v>181</v>
      </c>
      <c r="T16" s="539"/>
      <c r="AD16" s="351" t="s">
        <v>91</v>
      </c>
      <c r="AE16" s="350">
        <f>O15*Entradas2!C16*Entradas2!C19</f>
        <v>732.52173913043475</v>
      </c>
    </row>
    <row r="17" spans="2:34" ht="15.75" customHeight="1" thickBot="1" x14ac:dyDescent="0.3">
      <c r="M17" s="109" t="s">
        <v>100</v>
      </c>
      <c r="N17" s="110">
        <f>IF(M15="Estaca E1",N9,IF(M15="Estaca E2",O9,P9))</f>
        <v>0</v>
      </c>
      <c r="R17" s="157"/>
      <c r="S17" s="585" t="s">
        <v>182</v>
      </c>
      <c r="T17" s="501"/>
    </row>
    <row r="18" spans="2:34" ht="15.75" customHeight="1" thickBot="1" x14ac:dyDescent="0.3">
      <c r="R18" s="24"/>
      <c r="S18" s="24"/>
      <c r="T18" s="24"/>
      <c r="AD18" s="352" t="s">
        <v>92</v>
      </c>
      <c r="AE18" s="350">
        <f>(AE16)/(AE10*SIN(RADIANS(AE5)))</f>
        <v>35261.839154595262</v>
      </c>
    </row>
    <row r="19" spans="2:34" ht="15" customHeight="1" x14ac:dyDescent="0.25">
      <c r="B19" s="472" t="str">
        <f>IF(AE4=3,"Bloco Selecionado está Correto","Bloco Selecionado Incorreto")</f>
        <v>Bloco Selecionado Incorreto</v>
      </c>
      <c r="C19" s="473"/>
      <c r="D19" s="473"/>
      <c r="E19" s="473"/>
      <c r="F19" s="473"/>
      <c r="G19" s="473"/>
      <c r="H19" s="473"/>
      <c r="I19" s="473"/>
      <c r="J19" s="473"/>
      <c r="K19" s="474"/>
      <c r="M19" s="478" t="str">
        <f>IF(O15&gt;Entradas2!$C$24,"ATENÇÃO: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N19" s="479"/>
      <c r="O19" s="479"/>
      <c r="P19" s="480"/>
    </row>
    <row r="20" spans="2:34" ht="15.75" thickBot="1" x14ac:dyDescent="0.3">
      <c r="B20" s="475"/>
      <c r="C20" s="476"/>
      <c r="D20" s="476"/>
      <c r="E20" s="476"/>
      <c r="F20" s="476"/>
      <c r="G20" s="476"/>
      <c r="H20" s="476"/>
      <c r="I20" s="476"/>
      <c r="J20" s="476"/>
      <c r="K20" s="477"/>
      <c r="M20" s="481"/>
      <c r="N20" s="482"/>
      <c r="O20" s="482"/>
      <c r="P20" s="483"/>
      <c r="AD20" s="351" t="s">
        <v>93</v>
      </c>
      <c r="AE20" s="350">
        <f>Entradas2!C10*Entradas2!C11</f>
        <v>2500</v>
      </c>
    </row>
    <row r="21" spans="2:34" x14ac:dyDescent="0.25">
      <c r="AD21" s="351" t="s">
        <v>94</v>
      </c>
      <c r="AE21" s="350">
        <f>AE20/10000</f>
        <v>0.25</v>
      </c>
    </row>
    <row r="22" spans="2:34" x14ac:dyDescent="0.25">
      <c r="AD22" s="351" t="s">
        <v>95</v>
      </c>
      <c r="AE22" s="350">
        <f>(AE21*SIN(RADIANS(AE5)))/Entradas2!F5</f>
        <v>8.8388347648318433E-2</v>
      </c>
    </row>
    <row r="24" spans="2:34" x14ac:dyDescent="0.25">
      <c r="AD24" s="351" t="s">
        <v>110</v>
      </c>
      <c r="AE24" s="350">
        <f>AH13/AE22</f>
        <v>11720.347826086956</v>
      </c>
    </row>
    <row r="27" spans="2:34" x14ac:dyDescent="0.25">
      <c r="AD27" s="351" t="s">
        <v>105</v>
      </c>
      <c r="AE27" s="350">
        <f>Entradas2!C13/Entradas2!C17</f>
        <v>17.857142857142858</v>
      </c>
      <c r="AG27" s="351" t="s">
        <v>120</v>
      </c>
      <c r="AH27" s="350">
        <f>AE27*1000</f>
        <v>17857.142857142859</v>
      </c>
    </row>
    <row r="28" spans="2:34" x14ac:dyDescent="0.25">
      <c r="AD28" s="353"/>
    </row>
    <row r="29" spans="2:34" x14ac:dyDescent="0.25">
      <c r="AD29" s="352" t="s">
        <v>96</v>
      </c>
      <c r="AE29" s="350">
        <f>0.85*AH27</f>
        <v>15178.571428571429</v>
      </c>
    </row>
    <row r="30" spans="2:34" x14ac:dyDescent="0.25">
      <c r="AD30" s="353"/>
    </row>
    <row r="31" spans="2:34" x14ac:dyDescent="0.25">
      <c r="AD31" s="351" t="s">
        <v>111</v>
      </c>
      <c r="AE31" s="350">
        <f>(AE22+AE10)/2</f>
        <v>5.888345553844531E-2</v>
      </c>
    </row>
    <row r="33" spans="30:32" x14ac:dyDescent="0.25">
      <c r="AD33" s="352" t="s">
        <v>112</v>
      </c>
      <c r="AE33" s="350">
        <f>(0.3*AH13)/AE31</f>
        <v>5277.9282503300874</v>
      </c>
    </row>
    <row r="35" spans="30:32" x14ac:dyDescent="0.25">
      <c r="AD35" s="352" t="s">
        <v>116</v>
      </c>
      <c r="AE35" s="350" t="s">
        <v>119</v>
      </c>
      <c r="AF35" s="350">
        <f>0.3*((Entradas2!C13)^(2/3))</f>
        <v>2.5649639200150443</v>
      </c>
    </row>
    <row r="36" spans="30:32" x14ac:dyDescent="0.25">
      <c r="AD36" s="352" t="s">
        <v>115</v>
      </c>
      <c r="AE36" s="350">
        <f>AF35*1000</f>
        <v>2564.9639200150441</v>
      </c>
    </row>
    <row r="38" spans="30:32" x14ac:dyDescent="0.25">
      <c r="AD38" s="352" t="s">
        <v>118</v>
      </c>
      <c r="AE38" s="350">
        <f>AH13*COS(RADIANS(AE5))</f>
        <v>732.52173913043475</v>
      </c>
    </row>
    <row r="40" spans="30:32" x14ac:dyDescent="0.25">
      <c r="AD40" s="352" t="s">
        <v>218</v>
      </c>
      <c r="AE40" s="350">
        <f>Entradas2!C24</f>
        <v>670</v>
      </c>
    </row>
  </sheetData>
  <mergeCells count="11">
    <mergeCell ref="R2:S3"/>
    <mergeCell ref="T5:T6"/>
    <mergeCell ref="T7:T8"/>
    <mergeCell ref="T9:T10"/>
    <mergeCell ref="T11:T12"/>
    <mergeCell ref="B19:K20"/>
    <mergeCell ref="M14:O14"/>
    <mergeCell ref="S16:T16"/>
    <mergeCell ref="S17:T17"/>
    <mergeCell ref="M19:P20"/>
    <mergeCell ref="R15:T15"/>
  </mergeCells>
  <conditionalFormatting sqref="R7:S8">
    <cfRule type="expression" dxfId="115" priority="16">
      <formula>$S$7&gt;$S$8</formula>
    </cfRule>
    <cfRule type="expression" dxfId="114" priority="17">
      <formula>$S$8&gt;=$S$7</formula>
    </cfRule>
  </conditionalFormatting>
  <conditionalFormatting sqref="R9:S10">
    <cfRule type="expression" dxfId="113" priority="12">
      <formula>$S$9&gt;$S$10</formula>
    </cfRule>
    <cfRule type="expression" dxfId="112" priority="13">
      <formula>$S$10&gt;=$S$9</formula>
    </cfRule>
    <cfRule type="expression" dxfId="111" priority="14">
      <formula>$S$7&gt;$S$8</formula>
    </cfRule>
    <cfRule type="expression" dxfId="110" priority="15">
      <formula>$S$8&gt;=$S$7</formula>
    </cfRule>
  </conditionalFormatting>
  <conditionalFormatting sqref="R11:S12">
    <cfRule type="expression" dxfId="109" priority="10">
      <formula>$S$11&gt;$S$12</formula>
    </cfRule>
    <cfRule type="expression" dxfId="108" priority="11">
      <formula>$S$12&gt;=$S$11</formula>
    </cfRule>
  </conditionalFormatting>
  <conditionalFormatting sqref="B19">
    <cfRule type="expression" dxfId="107" priority="6">
      <formula>$AE$4&lt;&gt;3</formula>
    </cfRule>
    <cfRule type="expression" dxfId="106" priority="7">
      <formula>$AE$4=3</formula>
    </cfRule>
  </conditionalFormatting>
  <conditionalFormatting sqref="M19">
    <cfRule type="expression" dxfId="105" priority="4">
      <formula>$L$15&gt;$W$40</formula>
    </cfRule>
    <cfRule type="expression" dxfId="104" priority="5">
      <formula>$L$15&lt;=$W$40</formula>
    </cfRule>
  </conditionalFormatting>
  <conditionalFormatting sqref="M19:P20">
    <cfRule type="expression" dxfId="103" priority="1">
      <formula>$O$15&lt;=$AE$40</formula>
    </cfRule>
    <cfRule type="expression" dxfId="102" priority="2">
      <formula>$O$15&gt;$AE$40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AutoCAD.Drawing.18" shapeId="6146" r:id="rId4">
          <objectPr defaultSize="0" autoPict="0" r:id="rId5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10</xdr:col>
                <xdr:colOff>742950</xdr:colOff>
                <xdr:row>11</xdr:row>
                <xdr:rowOff>219075</xdr:rowOff>
              </to>
            </anchor>
          </objectPr>
        </oleObject>
      </mc:Choice>
      <mc:Fallback>
        <oleObject progId="AutoCAD.Drawing.18" shapeId="614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antes2">
                <anchor moveWithCells="1" sizeWithCells="1">
                  <from>
                    <xdr:col>16</xdr:col>
                    <xdr:colOff>180975</xdr:colOff>
                    <xdr:row>18</xdr:row>
                    <xdr:rowOff>19050</xdr:rowOff>
                  </from>
                  <to>
                    <xdr:col>18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arm3est1">
                <anchor moveWithCells="1" sizeWithCells="1">
                  <from>
                    <xdr:col>18</xdr:col>
                    <xdr:colOff>257175</xdr:colOff>
                    <xdr:row>18</xdr:row>
                    <xdr:rowOff>19050</xdr:rowOff>
                  </from>
                  <to>
                    <xdr:col>20</xdr:col>
                    <xdr:colOff>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Y150"/>
  <sheetViews>
    <sheetView showGridLines="0" showRowColHeaders="0" zoomScale="85" zoomScaleNormal="85" workbookViewId="0"/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4" width="9.140625" style="182"/>
    <col min="15" max="16" width="9.140625" style="350"/>
    <col min="17" max="17" width="32.42578125" style="350" bestFit="1" customWidth="1"/>
    <col min="18" max="19" width="9.140625" style="350"/>
    <col min="20" max="20" width="12.5703125" style="350" bestFit="1" customWidth="1"/>
    <col min="21" max="23" width="9.140625" style="350"/>
    <col min="24" max="16384" width="9.140625" style="182"/>
  </cols>
  <sheetData>
    <row r="1" spans="1:25" ht="15" customHeight="1" x14ac:dyDescent="0.25">
      <c r="A1"/>
      <c r="B1" s="505" t="s">
        <v>127</v>
      </c>
      <c r="C1" s="506"/>
      <c r="D1" s="506"/>
      <c r="E1" s="506"/>
      <c r="F1" s="506"/>
      <c r="G1" s="507"/>
      <c r="H1"/>
      <c r="I1"/>
      <c r="J1"/>
      <c r="K1"/>
      <c r="L1"/>
      <c r="M1"/>
      <c r="N1"/>
      <c r="O1" s="190"/>
      <c r="P1" s="190"/>
      <c r="Q1" s="190"/>
      <c r="R1" s="190"/>
      <c r="S1" s="190"/>
      <c r="T1" s="190"/>
      <c r="U1" s="190"/>
      <c r="V1" s="190"/>
      <c r="W1" s="190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/>
      <c r="M2"/>
      <c r="N2"/>
      <c r="O2" s="190"/>
      <c r="P2" s="190"/>
      <c r="Q2" s="190"/>
      <c r="R2" s="190"/>
      <c r="S2" s="190"/>
      <c r="T2" s="190"/>
      <c r="U2" s="190"/>
      <c r="V2" s="190"/>
      <c r="W2" s="190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 s="190"/>
      <c r="P3" s="190"/>
      <c r="Q3" s="190"/>
      <c r="R3" s="190"/>
      <c r="S3" s="190"/>
      <c r="T3" s="190"/>
      <c r="U3" s="190"/>
      <c r="V3" s="190"/>
      <c r="W3" s="190"/>
      <c r="X3"/>
      <c r="Y3"/>
    </row>
    <row r="4" spans="1:25" ht="19.5" thickBot="1" x14ac:dyDescent="0.35">
      <c r="A4"/>
      <c r="B4" s="511" t="s">
        <v>128</v>
      </c>
      <c r="C4" s="512"/>
      <c r="D4"/>
      <c r="E4" s="513" t="s">
        <v>205</v>
      </c>
      <c r="F4" s="514"/>
      <c r="G4" s="281">
        <f>(C5)/(C7)</f>
        <v>16.847999999999999</v>
      </c>
      <c r="H4"/>
      <c r="I4"/>
      <c r="J4"/>
      <c r="K4"/>
      <c r="L4"/>
      <c r="M4"/>
      <c r="N4"/>
      <c r="O4" s="190"/>
      <c r="P4" s="190"/>
      <c r="Q4" s="190" t="s">
        <v>130</v>
      </c>
      <c r="R4" s="355">
        <f>(PI()*(E51/10)^2)/4</f>
        <v>0.78539816339744828</v>
      </c>
      <c r="S4" s="355"/>
      <c r="T4" s="355"/>
      <c r="U4" s="355"/>
      <c r="V4" s="190"/>
      <c r="W4" s="190"/>
      <c r="X4"/>
      <c r="Y4"/>
    </row>
    <row r="5" spans="1:25" ht="18.75" thickBot="1" x14ac:dyDescent="0.3">
      <c r="A5"/>
      <c r="B5" s="120" t="s">
        <v>167</v>
      </c>
      <c r="C5" s="277">
        <f>'3 Estacas1'!S13</f>
        <v>732.52173913043475</v>
      </c>
      <c r="D5"/>
      <c r="E5"/>
      <c r="F5"/>
      <c r="G5"/>
      <c r="H5"/>
      <c r="I5"/>
      <c r="J5"/>
      <c r="K5"/>
      <c r="L5"/>
      <c r="M5"/>
      <c r="N5"/>
      <c r="O5" s="190"/>
      <c r="P5" s="190"/>
      <c r="Q5" s="190"/>
      <c r="R5" s="355"/>
      <c r="S5" s="355"/>
      <c r="T5" s="355"/>
      <c r="U5" s="355"/>
      <c r="V5" s="190"/>
      <c r="W5" s="190"/>
      <c r="X5"/>
      <c r="Y5"/>
    </row>
    <row r="6" spans="1:25" x14ac:dyDescent="0.25">
      <c r="A6"/>
      <c r="B6" s="121" t="s">
        <v>129</v>
      </c>
      <c r="C6" s="278">
        <v>4</v>
      </c>
      <c r="D6"/>
      <c r="E6" s="515" t="s">
        <v>131</v>
      </c>
      <c r="F6" s="516"/>
      <c r="G6" s="517"/>
      <c r="H6" s="34"/>
      <c r="I6"/>
      <c r="J6"/>
      <c r="K6"/>
      <c r="L6"/>
      <c r="M6"/>
      <c r="N6"/>
      <c r="O6" s="190"/>
      <c r="P6" s="190"/>
      <c r="Q6" s="190" t="s">
        <v>135</v>
      </c>
      <c r="R6" s="355">
        <f>G10-1</f>
        <v>21</v>
      </c>
      <c r="S6" s="355"/>
      <c r="T6" s="355"/>
      <c r="U6" s="355"/>
      <c r="V6" s="190"/>
      <c r="W6" s="190"/>
      <c r="X6"/>
      <c r="Y6"/>
    </row>
    <row r="7" spans="1:25" ht="18" x14ac:dyDescent="0.25">
      <c r="A7"/>
      <c r="B7" s="121" t="s">
        <v>200</v>
      </c>
      <c r="C7" s="279">
        <f>50/Entradas2!C18</f>
        <v>43.478260869565219</v>
      </c>
      <c r="D7"/>
      <c r="E7" s="518"/>
      <c r="F7" s="519"/>
      <c r="G7" s="520"/>
      <c r="H7" s="237"/>
      <c r="I7"/>
      <c r="J7"/>
      <c r="K7"/>
      <c r="L7"/>
      <c r="M7"/>
      <c r="N7"/>
      <c r="O7" s="190"/>
      <c r="P7" s="190"/>
      <c r="Q7" s="190" t="s">
        <v>133</v>
      </c>
      <c r="R7" s="355">
        <f>G4/R4</f>
        <v>21.451539849698019</v>
      </c>
      <c r="S7" s="355"/>
      <c r="T7" s="355"/>
      <c r="U7" s="355"/>
      <c r="V7" s="190"/>
      <c r="W7" s="190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/>
      <c r="E8" s="163"/>
      <c r="F8" s="164"/>
      <c r="G8" s="165"/>
      <c r="H8" s="237"/>
      <c r="I8"/>
      <c r="J8"/>
      <c r="K8"/>
      <c r="L8"/>
      <c r="M8"/>
      <c r="N8"/>
      <c r="O8" s="190"/>
      <c r="P8" s="190"/>
      <c r="Q8" s="190" t="s">
        <v>137</v>
      </c>
      <c r="R8" s="355">
        <v>20</v>
      </c>
      <c r="S8" s="355"/>
      <c r="T8" s="355"/>
      <c r="U8" s="355"/>
      <c r="V8" s="190"/>
      <c r="W8" s="190"/>
      <c r="X8"/>
      <c r="Y8"/>
    </row>
    <row r="9" spans="1:25" ht="15.75" thickBot="1" x14ac:dyDescent="0.3">
      <c r="A9"/>
      <c r="B9"/>
      <c r="C9"/>
      <c r="D9"/>
      <c r="E9" s="34"/>
      <c r="F9" s="34"/>
      <c r="G9" s="34"/>
      <c r="H9" s="34"/>
      <c r="I9"/>
      <c r="J9"/>
      <c r="K9"/>
      <c r="L9"/>
      <c r="M9"/>
      <c r="N9"/>
      <c r="O9" s="190"/>
      <c r="P9" s="190"/>
      <c r="Q9" s="190"/>
      <c r="R9" s="355">
        <f>1.2*19</f>
        <v>22.8</v>
      </c>
      <c r="S9" s="355"/>
      <c r="T9" s="355"/>
      <c r="U9" s="355"/>
      <c r="V9" s="190"/>
      <c r="W9" s="190"/>
      <c r="X9"/>
      <c r="Y9"/>
    </row>
    <row r="10" spans="1:25" ht="15.75" thickBot="1" x14ac:dyDescent="0.3">
      <c r="A10"/>
      <c r="B10" s="521" t="s">
        <v>214</v>
      </c>
      <c r="C10" s="465"/>
      <c r="D10"/>
      <c r="E10" s="489" t="s">
        <v>134</v>
      </c>
      <c r="F10" s="491"/>
      <c r="G10" s="282">
        <f>ROUNDUP(R7,0)</f>
        <v>22</v>
      </c>
      <c r="H10"/>
      <c r="I10"/>
      <c r="J10"/>
      <c r="K10"/>
      <c r="L10"/>
      <c r="M10"/>
      <c r="N10"/>
      <c r="O10" s="190"/>
      <c r="P10" s="190"/>
      <c r="Q10" s="190"/>
      <c r="R10" s="355">
        <f>E51</f>
        <v>10</v>
      </c>
      <c r="S10" s="355"/>
      <c r="T10" s="355"/>
      <c r="U10" s="355"/>
      <c r="V10" s="190"/>
      <c r="W10" s="19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/>
      <c r="E11" s="529" t="s">
        <v>139</v>
      </c>
      <c r="F11" s="530"/>
      <c r="G11" s="588">
        <f>LARGE(R11:R12,1)</f>
        <v>2.2800000000000002</v>
      </c>
      <c r="H11"/>
      <c r="I11"/>
      <c r="J11"/>
      <c r="K11"/>
      <c r="L11"/>
      <c r="M11"/>
      <c r="N11"/>
      <c r="O11" s="190"/>
      <c r="P11" s="190"/>
      <c r="Q11" s="190" t="s">
        <v>138</v>
      </c>
      <c r="R11" s="355">
        <f>(LARGE(R8:R10,1))/10</f>
        <v>2.2800000000000002</v>
      </c>
      <c r="S11" s="355"/>
      <c r="T11" s="355"/>
      <c r="U11" s="355"/>
      <c r="V11" s="190"/>
      <c r="W11" s="190"/>
      <c r="X11"/>
      <c r="Y11"/>
    </row>
    <row r="12" spans="1:25" ht="15.75" thickBot="1" x14ac:dyDescent="0.3">
      <c r="A12"/>
      <c r="B12"/>
      <c r="C12"/>
      <c r="D12"/>
      <c r="E12" s="531"/>
      <c r="F12" s="532"/>
      <c r="G12" s="589"/>
      <c r="H12"/>
      <c r="I12"/>
      <c r="J12"/>
      <c r="K12"/>
      <c r="L12"/>
      <c r="M12"/>
      <c r="N12"/>
      <c r="O12" s="190"/>
      <c r="P12" s="190"/>
      <c r="Q12" s="190" t="s">
        <v>140</v>
      </c>
      <c r="R12" s="355">
        <f>((C8)-G10*(E51/10))/R6</f>
        <v>4.7619047619047616E-2</v>
      </c>
      <c r="S12" s="355"/>
      <c r="T12" s="355"/>
      <c r="U12" s="355"/>
      <c r="V12" s="190"/>
      <c r="W12" s="190"/>
      <c r="X12"/>
      <c r="Y12"/>
    </row>
    <row r="13" spans="1:25" ht="15.75" thickBot="1" x14ac:dyDescent="0.3">
      <c r="A13"/>
      <c r="B13" s="521" t="s">
        <v>215</v>
      </c>
      <c r="C13" s="465"/>
      <c r="D13"/>
      <c r="E13"/>
      <c r="F13"/>
      <c r="G13"/>
      <c r="H13"/>
      <c r="I13"/>
      <c r="J13"/>
      <c r="K13"/>
      <c r="L13"/>
      <c r="M13"/>
      <c r="N13"/>
      <c r="O13" s="190"/>
      <c r="P13" s="190"/>
      <c r="Q13" s="190"/>
      <c r="R13" s="355"/>
      <c r="S13" s="355"/>
      <c r="T13" s="355"/>
      <c r="U13" s="355"/>
      <c r="V13" s="190"/>
      <c r="W13" s="190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/>
      <c r="E14" s="535" t="s">
        <v>141</v>
      </c>
      <c r="F14" s="536"/>
      <c r="G14" s="537"/>
      <c r="H14" s="489" t="s">
        <v>210</v>
      </c>
      <c r="I14" s="490"/>
      <c r="J14" s="491"/>
      <c r="K14"/>
      <c r="L14"/>
      <c r="M14"/>
      <c r="N14"/>
      <c r="O14" s="190"/>
      <c r="P14" s="190"/>
      <c r="Q14" s="190" t="s">
        <v>149</v>
      </c>
      <c r="R14" s="355">
        <f>G10*R4</f>
        <v>17.27875959474386</v>
      </c>
      <c r="S14" s="355"/>
      <c r="T14" s="355"/>
      <c r="U14" s="355"/>
      <c r="V14" s="190"/>
      <c r="W14" s="190"/>
      <c r="X14"/>
      <c r="Y14"/>
    </row>
    <row r="15" spans="1:25" ht="15.75" thickBot="1" x14ac:dyDescent="0.3">
      <c r="A15"/>
      <c r="B15"/>
      <c r="C15"/>
      <c r="D15"/>
      <c r="E15" s="492" t="s">
        <v>143</v>
      </c>
      <c r="F15" s="493"/>
      <c r="G15" s="141">
        <f>'3 Estacas1'!N6-C6+C8/2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/>
      <c r="M15"/>
      <c r="N15"/>
      <c r="O15" s="190"/>
      <c r="P15" s="190"/>
      <c r="Q15" s="190"/>
      <c r="R15" s="355"/>
      <c r="S15" s="355"/>
      <c r="T15" s="355"/>
      <c r="U15" s="355"/>
      <c r="V15" s="190"/>
      <c r="W15" s="190"/>
      <c r="X15"/>
      <c r="Y15"/>
    </row>
    <row r="16" spans="1:25" ht="15.75" thickBot="1" x14ac:dyDescent="0.3">
      <c r="A16"/>
      <c r="B16" s="521" t="s">
        <v>216</v>
      </c>
      <c r="C16" s="465"/>
      <c r="D16"/>
      <c r="E16" s="500" t="s">
        <v>142</v>
      </c>
      <c r="F16" s="501"/>
      <c r="G16" s="142">
        <f>C11*R21*G4/R14</f>
        <v>25.71060056960799</v>
      </c>
      <c r="H16" s="497"/>
      <c r="I16" s="498"/>
      <c r="J16" s="499"/>
      <c r="K16" s="276"/>
      <c r="L16"/>
      <c r="M16"/>
      <c r="N16"/>
      <c r="O16" s="190"/>
      <c r="P16" s="190"/>
      <c r="Q16" s="190" t="s">
        <v>144</v>
      </c>
      <c r="R16" s="355">
        <f>0.3*0.7*Entradas2!C13^(2/3)</f>
        <v>1.795474744010531</v>
      </c>
      <c r="S16" s="355"/>
      <c r="T16" s="355"/>
      <c r="U16" s="355"/>
      <c r="V16" s="190"/>
      <c r="W16" s="190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/>
      <c r="E17" s="502" t="s">
        <v>180</v>
      </c>
      <c r="F17" s="503"/>
      <c r="G17" s="504"/>
      <c r="H17" s="2"/>
      <c r="I17" s="2"/>
      <c r="J17" s="2"/>
      <c r="K17"/>
      <c r="L17"/>
      <c r="M17"/>
      <c r="N17"/>
      <c r="O17" s="190"/>
      <c r="P17" s="190"/>
      <c r="Q17" s="190" t="s">
        <v>145</v>
      </c>
      <c r="R17" s="355">
        <f>R16/Entradas2!C17</f>
        <v>1.2824819600075221</v>
      </c>
      <c r="S17" s="355"/>
      <c r="T17" s="355"/>
      <c r="U17" s="355"/>
      <c r="V17" s="190"/>
      <c r="W17" s="190"/>
      <c r="X17"/>
      <c r="Y17"/>
    </row>
    <row r="18" spans="1:25" ht="15.75" thickBot="1" x14ac:dyDescent="0.3">
      <c r="A18"/>
      <c r="B18"/>
      <c r="C18"/>
      <c r="D18"/>
      <c r="E18" s="143"/>
      <c r="F18" s="538" t="s">
        <v>181</v>
      </c>
      <c r="G18" s="539"/>
      <c r="H18" s="2"/>
      <c r="I18" s="2"/>
      <c r="J18" s="2"/>
      <c r="K18"/>
      <c r="L18"/>
      <c r="M18"/>
      <c r="N18"/>
      <c r="O18" s="190"/>
      <c r="P18" s="190"/>
      <c r="Q18" s="190"/>
      <c r="R18" s="355"/>
      <c r="S18" s="355"/>
      <c r="T18" s="355"/>
      <c r="U18" s="355"/>
      <c r="V18" s="190"/>
      <c r="W18" s="190"/>
      <c r="X18"/>
      <c r="Y18"/>
    </row>
    <row r="19" spans="1:25" ht="15.75" thickBot="1" x14ac:dyDescent="0.3">
      <c r="A19"/>
      <c r="B19" s="521" t="s">
        <v>217</v>
      </c>
      <c r="C19" s="465"/>
      <c r="D19"/>
      <c r="E19" s="144"/>
      <c r="F19" s="540" t="s">
        <v>182</v>
      </c>
      <c r="G19" s="501"/>
      <c r="H19" s="2"/>
      <c r="I19" s="2"/>
      <c r="J19" s="2"/>
      <c r="K19"/>
      <c r="L19"/>
      <c r="M19"/>
      <c r="N19"/>
      <c r="O19" s="190"/>
      <c r="P19" s="190"/>
      <c r="Q19" s="190" t="s">
        <v>146</v>
      </c>
      <c r="R19" s="355">
        <f>C14*C17*C20*R17</f>
        <v>2.885584410016925</v>
      </c>
      <c r="S19" s="355"/>
      <c r="T19" s="355" t="s">
        <v>147</v>
      </c>
      <c r="U19" s="355">
        <f>R19/10</f>
        <v>0.28855844100169248</v>
      </c>
      <c r="V19" s="190"/>
      <c r="W19" s="190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/>
      <c r="E20"/>
      <c r="F20"/>
      <c r="G20"/>
      <c r="H20"/>
      <c r="I20"/>
      <c r="J20"/>
      <c r="K20"/>
      <c r="L20"/>
      <c r="M20"/>
      <c r="N20"/>
      <c r="O20" s="190"/>
      <c r="P20" s="190"/>
      <c r="Q20" s="190"/>
      <c r="R20" s="355"/>
      <c r="S20" s="355"/>
      <c r="T20" s="355"/>
      <c r="U20" s="355"/>
      <c r="V20" s="190"/>
      <c r="W20" s="19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IF(E51=20,8*E51,5*E51)</f>
        <v>50</v>
      </c>
      <c r="H21"/>
      <c r="I21"/>
      <c r="J21"/>
      <c r="K21"/>
      <c r="L21"/>
      <c r="M21"/>
      <c r="N21"/>
      <c r="O21" s="190"/>
      <c r="P21" s="190"/>
      <c r="Q21" s="190" t="s">
        <v>148</v>
      </c>
      <c r="R21" s="355">
        <f>(E51/10)*(C7/U19)/4</f>
        <v>37.668505484223736</v>
      </c>
      <c r="S21" s="355"/>
      <c r="T21" s="355"/>
      <c r="U21" s="355"/>
      <c r="V21" s="190"/>
      <c r="W21" s="190"/>
      <c r="X21"/>
      <c r="Y21"/>
    </row>
    <row r="22" spans="1:25" ht="15.75" thickBot="1" x14ac:dyDescent="0.3">
      <c r="A22"/>
      <c r="B22" s="103"/>
      <c r="C22"/>
      <c r="D22"/>
      <c r="E22" s="525"/>
      <c r="F22" s="526"/>
      <c r="G22" s="593"/>
      <c r="H22"/>
      <c r="I22"/>
      <c r="J22"/>
      <c r="K22"/>
      <c r="L22"/>
      <c r="M22"/>
      <c r="N22"/>
      <c r="O22" s="190"/>
      <c r="P22" s="190"/>
      <c r="Q22" s="190"/>
      <c r="R22" s="355"/>
      <c r="S22" s="355"/>
      <c r="T22" s="355"/>
      <c r="U22" s="355"/>
      <c r="V22" s="190"/>
      <c r="W22" s="190"/>
      <c r="X22"/>
      <c r="Y22"/>
    </row>
    <row r="23" spans="1:25" x14ac:dyDescent="0.25">
      <c r="A23"/>
      <c r="B23"/>
      <c r="C23"/>
      <c r="D23"/>
      <c r="E23" s="529" t="s">
        <v>151</v>
      </c>
      <c r="F23" s="530"/>
      <c r="G23" s="590">
        <f>IF(E51=20,CEILING(R24,1),CEILING(R23,1))</f>
        <v>183</v>
      </c>
      <c r="H23"/>
      <c r="I23"/>
      <c r="J23"/>
      <c r="K23"/>
      <c r="L23"/>
      <c r="M23"/>
      <c r="N23"/>
      <c r="O23" s="190"/>
      <c r="P23" s="190"/>
      <c r="Q23" s="190" t="s">
        <v>152</v>
      </c>
      <c r="R23" s="355">
        <f>2*'3 Estacas1'!N7+2*('3 Estacas1'!N6-C6-(G21/10)/2+PI()*(G21/10)/4+10*(E51/10))</f>
        <v>182.85398163397448</v>
      </c>
      <c r="S23" s="355"/>
      <c r="T23" s="355"/>
      <c r="U23" s="355"/>
      <c r="V23" s="190"/>
      <c r="W23" s="190"/>
      <c r="X23"/>
      <c r="Y23"/>
    </row>
    <row r="24" spans="1:25" ht="15.75" thickBot="1" x14ac:dyDescent="0.3">
      <c r="A24"/>
      <c r="B24"/>
      <c r="C24"/>
      <c r="D24"/>
      <c r="E24" s="531"/>
      <c r="F24" s="532"/>
      <c r="G24" s="591"/>
      <c r="H24" s="190">
        <f>ROUNDUP(G23,0)</f>
        <v>183</v>
      </c>
      <c r="I24"/>
      <c r="J24"/>
      <c r="K24"/>
      <c r="L24"/>
      <c r="M24"/>
      <c r="N24"/>
      <c r="O24" s="190"/>
      <c r="P24" s="190"/>
      <c r="Q24" s="190" t="s">
        <v>153</v>
      </c>
      <c r="R24" s="355">
        <f>2*'3 Estacas1'!N7+2*('3 Estacas1'!N6-C6-(G21/10)/2+PI()*(G21/10)/2+2*(E51/10))</f>
        <v>174.70796326794897</v>
      </c>
      <c r="S24" s="355"/>
      <c r="T24" s="355"/>
      <c r="U24" s="355"/>
      <c r="V24" s="190"/>
      <c r="W24" s="190"/>
      <c r="X24"/>
      <c r="Y24"/>
    </row>
    <row r="25" spans="1:2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 s="190"/>
      <c r="P25" s="190"/>
      <c r="Q25" s="190"/>
      <c r="R25" s="190"/>
      <c r="S25" s="190"/>
      <c r="T25" s="190"/>
      <c r="U25" s="190"/>
      <c r="V25" s="190"/>
      <c r="W25" s="190"/>
      <c r="X25"/>
      <c r="Y25"/>
    </row>
    <row r="26" spans="1:25" x14ac:dyDescent="0.25">
      <c r="A26" s="190"/>
      <c r="B26" s="190"/>
      <c r="C26" s="190"/>
      <c r="D26" s="190"/>
      <c r="E26" s="190"/>
      <c r="F26" s="190"/>
      <c r="G26" s="190"/>
      <c r="H26" s="190"/>
      <c r="I26"/>
      <c r="J26"/>
      <c r="K26"/>
      <c r="L26"/>
      <c r="M26"/>
      <c r="N26"/>
      <c r="O26" s="190"/>
      <c r="P26" s="190"/>
      <c r="Q26" s="190"/>
      <c r="R26" s="190"/>
      <c r="S26" s="190"/>
      <c r="T26" s="190"/>
      <c r="U26" s="190"/>
      <c r="V26" s="190"/>
      <c r="W26" s="190"/>
      <c r="X26"/>
      <c r="Y26"/>
    </row>
    <row r="27" spans="1:25" x14ac:dyDescent="0.25">
      <c r="A27" s="190"/>
      <c r="B27" s="190"/>
      <c r="C27" s="190"/>
      <c r="D27" s="190"/>
      <c r="E27" s="190"/>
      <c r="F27" s="190"/>
      <c r="G27" s="190"/>
      <c r="H27" s="190"/>
      <c r="I27"/>
      <c r="J27"/>
      <c r="K27"/>
      <c r="L27"/>
      <c r="M27"/>
      <c r="N27"/>
      <c r="O27" s="190"/>
      <c r="P27" s="190"/>
      <c r="Q27" s="190" t="s">
        <v>168</v>
      </c>
      <c r="R27" s="190">
        <f>2*E51/10</f>
        <v>2</v>
      </c>
      <c r="S27" s="190"/>
      <c r="T27" s="190"/>
      <c r="U27" s="190"/>
      <c r="V27" s="190"/>
      <c r="W27" s="190"/>
      <c r="X27"/>
      <c r="Y27"/>
    </row>
    <row r="28" spans="1:25" x14ac:dyDescent="0.25">
      <c r="A28" s="190"/>
      <c r="B28" s="190"/>
      <c r="C28" s="190"/>
      <c r="D28" s="190"/>
      <c r="E28" s="190"/>
      <c r="F28" s="190"/>
      <c r="G28" s="190"/>
      <c r="H28" s="190"/>
      <c r="I28"/>
      <c r="J28"/>
      <c r="K28"/>
      <c r="L28"/>
      <c r="M28"/>
      <c r="N28"/>
      <c r="O28" s="190"/>
      <c r="P28" s="190"/>
      <c r="Q28" s="354" t="s">
        <v>169</v>
      </c>
      <c r="R28" s="190">
        <f>E51</f>
        <v>10</v>
      </c>
      <c r="S28" s="190"/>
      <c r="T28" s="190"/>
      <c r="U28" s="190"/>
      <c r="V28" s="190"/>
      <c r="W28" s="190"/>
      <c r="X28"/>
      <c r="Y28"/>
    </row>
    <row r="29" spans="1:25" x14ac:dyDescent="0.25">
      <c r="A29" s="190"/>
      <c r="B29" s="190"/>
      <c r="C29" s="190"/>
      <c r="D29" s="190"/>
      <c r="E29" s="190"/>
      <c r="F29" s="190"/>
      <c r="G29" s="190"/>
      <c r="H29" s="190"/>
      <c r="I29"/>
      <c r="J29"/>
      <c r="K29"/>
      <c r="L29"/>
      <c r="M29"/>
      <c r="N29"/>
      <c r="O29" s="190"/>
      <c r="P29" s="190"/>
      <c r="Q29" s="190"/>
      <c r="R29" s="190"/>
      <c r="S29" s="190"/>
      <c r="T29" s="190"/>
      <c r="U29" s="190"/>
      <c r="V29" s="190"/>
      <c r="W29" s="190"/>
      <c r="X29"/>
      <c r="Y29"/>
    </row>
    <row r="30" spans="1:25" x14ac:dyDescent="0.25">
      <c r="A30" s="190"/>
      <c r="B30" s="350"/>
      <c r="C30" s="350"/>
      <c r="D30" s="350"/>
      <c r="E30" s="350"/>
      <c r="F30" s="190"/>
      <c r="G30" s="190"/>
      <c r="H30" s="190"/>
      <c r="I30"/>
      <c r="J30"/>
      <c r="K30"/>
      <c r="L30"/>
      <c r="M30"/>
      <c r="N30"/>
      <c r="O30" s="190"/>
      <c r="P30" s="190"/>
      <c r="Q30" s="190"/>
      <c r="R30" s="190"/>
      <c r="S30" s="190"/>
      <c r="T30" s="190"/>
      <c r="U30" s="190"/>
      <c r="V30" s="190"/>
      <c r="W30" s="190"/>
      <c r="X30"/>
      <c r="Y30"/>
    </row>
    <row r="31" spans="1:25" x14ac:dyDescent="0.25">
      <c r="A31" s="190"/>
      <c r="B31" s="350"/>
      <c r="C31" s="350"/>
      <c r="D31" s="350"/>
      <c r="E31" s="350"/>
      <c r="F31" s="190"/>
      <c r="G31" s="190"/>
      <c r="H31" s="190"/>
      <c r="I31"/>
      <c r="J31"/>
      <c r="K31"/>
      <c r="L31"/>
      <c r="M31"/>
      <c r="N31"/>
      <c r="O31" s="190"/>
      <c r="P31" s="190"/>
      <c r="Q31" s="190"/>
      <c r="R31" s="190"/>
      <c r="S31" s="190"/>
      <c r="T31" s="190"/>
      <c r="U31" s="190"/>
      <c r="V31" s="190"/>
      <c r="W31" s="190"/>
      <c r="X31"/>
      <c r="Y31"/>
    </row>
    <row r="32" spans="1:25" x14ac:dyDescent="0.25">
      <c r="A32" s="190"/>
      <c r="B32" s="350"/>
      <c r="C32" s="350"/>
      <c r="D32" s="350"/>
      <c r="E32" s="350"/>
      <c r="F32" s="190"/>
      <c r="G32" s="190"/>
      <c r="H32" s="190"/>
      <c r="I32"/>
      <c r="J32"/>
      <c r="K32"/>
      <c r="L32"/>
      <c r="M32"/>
      <c r="N32"/>
      <c r="O32" s="190"/>
      <c r="P32" s="190"/>
      <c r="Q32" s="190"/>
      <c r="R32" s="190"/>
      <c r="S32" s="190"/>
      <c r="T32" s="190"/>
      <c r="U32" s="190"/>
      <c r="V32" s="190"/>
      <c r="W32" s="190"/>
      <c r="X32"/>
      <c r="Y32"/>
    </row>
    <row r="33" spans="1:25" x14ac:dyDescent="0.25">
      <c r="A33" s="190"/>
      <c r="B33" s="350"/>
      <c r="C33" s="350"/>
      <c r="D33" s="350"/>
      <c r="E33" s="350"/>
      <c r="F33" s="190"/>
      <c r="G33" s="190"/>
      <c r="H33" s="190"/>
      <c r="I33"/>
      <c r="J33"/>
      <c r="K33"/>
      <c r="L33"/>
      <c r="M33"/>
      <c r="N33"/>
      <c r="O33" s="190"/>
      <c r="P33" s="190"/>
      <c r="Q33" s="190"/>
      <c r="R33" s="190"/>
      <c r="S33" s="190"/>
      <c r="T33" s="190"/>
      <c r="U33" s="190"/>
      <c r="V33" s="190"/>
      <c r="W33" s="190"/>
      <c r="X33"/>
      <c r="Y33"/>
    </row>
    <row r="34" spans="1:25" x14ac:dyDescent="0.25">
      <c r="A34" s="190"/>
      <c r="B34" s="350"/>
      <c r="C34" s="350"/>
      <c r="D34" s="350"/>
      <c r="E34" s="350"/>
      <c r="F34" s="190"/>
      <c r="G34" s="190"/>
      <c r="H34" s="190"/>
      <c r="I34"/>
      <c r="J34"/>
      <c r="K34"/>
      <c r="L34"/>
      <c r="M34"/>
      <c r="N34"/>
      <c r="O34" s="190"/>
      <c r="P34" s="190"/>
      <c r="Q34" s="190"/>
      <c r="R34" s="190"/>
      <c r="S34" s="190"/>
      <c r="T34" s="190"/>
      <c r="U34" s="190"/>
      <c r="V34" s="190"/>
      <c r="W34" s="190"/>
      <c r="X34"/>
      <c r="Y34"/>
    </row>
    <row r="35" spans="1:25" ht="18" x14ac:dyDescent="0.35">
      <c r="A35" s="190"/>
      <c r="B35" s="350"/>
      <c r="C35" s="350"/>
      <c r="D35" s="350"/>
      <c r="E35" s="350"/>
      <c r="F35" s="190"/>
      <c r="G35" s="190"/>
      <c r="H35" s="190"/>
      <c r="I35" s="190" t="s">
        <v>213</v>
      </c>
      <c r="J35"/>
      <c r="K35"/>
      <c r="L35"/>
      <c r="M35"/>
      <c r="N35"/>
      <c r="O35" s="190"/>
      <c r="P35" s="190"/>
      <c r="Q35" s="190"/>
      <c r="R35" s="190"/>
      <c r="S35" s="190"/>
      <c r="T35" s="190"/>
      <c r="U35" s="190"/>
      <c r="V35" s="190"/>
      <c r="W35" s="190"/>
      <c r="X35"/>
      <c r="Y35"/>
    </row>
    <row r="36" spans="1:25" x14ac:dyDescent="0.25">
      <c r="A36" s="190"/>
      <c r="B36" s="350"/>
      <c r="C36" s="350"/>
      <c r="D36" s="350"/>
      <c r="E36" s="350"/>
      <c r="F36" s="190"/>
      <c r="G36" s="190"/>
      <c r="H36" s="190"/>
      <c r="I36"/>
      <c r="J36"/>
      <c r="K36"/>
      <c r="L36"/>
      <c r="M36"/>
      <c r="N36"/>
      <c r="O36" s="190"/>
      <c r="P36" s="190"/>
      <c r="Q36" s="190"/>
      <c r="R36" s="190"/>
      <c r="S36" s="190"/>
      <c r="T36" s="190"/>
      <c r="U36" s="190"/>
      <c r="V36" s="190"/>
      <c r="W36" s="190"/>
      <c r="X36"/>
      <c r="Y36"/>
    </row>
    <row r="37" spans="1:25" x14ac:dyDescent="0.25">
      <c r="A37" s="190"/>
      <c r="B37" s="190"/>
      <c r="C37" s="190"/>
      <c r="D37" s="190"/>
      <c r="E37" s="190"/>
      <c r="F37" s="190"/>
      <c r="G37" s="190"/>
      <c r="H37" s="190"/>
      <c r="I37"/>
      <c r="J37"/>
      <c r="K37"/>
      <c r="L37"/>
      <c r="M37"/>
      <c r="N37"/>
      <c r="O37" s="190"/>
      <c r="P37" s="190"/>
      <c r="Q37" s="190"/>
      <c r="R37" s="190"/>
      <c r="S37" s="190"/>
      <c r="T37" s="190"/>
      <c r="U37" s="190"/>
      <c r="V37" s="190"/>
      <c r="W37" s="190"/>
      <c r="X37"/>
      <c r="Y37"/>
    </row>
    <row r="38" spans="1:25" x14ac:dyDescent="0.25">
      <c r="A38" s="190"/>
      <c r="B38" s="190"/>
      <c r="C38" s="190"/>
      <c r="D38" s="190"/>
      <c r="E38" s="190"/>
      <c r="F38" s="190"/>
      <c r="G38" s="190"/>
      <c r="H38" s="190"/>
      <c r="I38"/>
      <c r="J38"/>
      <c r="K38"/>
      <c r="L38"/>
      <c r="M38"/>
      <c r="N38"/>
      <c r="O38" s="190"/>
      <c r="P38" s="190"/>
      <c r="Q38" s="190"/>
      <c r="R38" s="190"/>
      <c r="S38" s="190"/>
      <c r="T38" s="190"/>
      <c r="U38" s="190"/>
      <c r="V38" s="190"/>
      <c r="W38" s="190"/>
      <c r="X38"/>
      <c r="Y38"/>
    </row>
    <row r="39" spans="1:25" x14ac:dyDescent="0.25">
      <c r="A39" s="190"/>
      <c r="B39" s="190"/>
      <c r="C39" s="190"/>
      <c r="D39" s="190"/>
      <c r="E39" s="190"/>
      <c r="F39" s="190"/>
      <c r="G39" s="190"/>
      <c r="H39" s="190"/>
      <c r="I39"/>
      <c r="J39"/>
      <c r="K39"/>
      <c r="L39"/>
      <c r="M39"/>
      <c r="N39"/>
      <c r="O39" s="190"/>
      <c r="P39" s="190"/>
      <c r="Q39" s="190"/>
      <c r="R39" s="190"/>
      <c r="S39" s="190"/>
      <c r="T39" s="190"/>
      <c r="U39" s="190"/>
      <c r="V39" s="190"/>
      <c r="W39" s="190"/>
      <c r="X39"/>
      <c r="Y39"/>
    </row>
    <row r="40" spans="1:25" x14ac:dyDescent="0.25">
      <c r="A40" s="190"/>
      <c r="B40" s="190"/>
      <c r="C40" s="190"/>
      <c r="D40" s="190"/>
      <c r="E40" s="190"/>
      <c r="F40" s="190"/>
      <c r="G40" s="190"/>
      <c r="H40" s="190"/>
      <c r="I40"/>
      <c r="J40"/>
      <c r="K40"/>
      <c r="L40"/>
      <c r="M40"/>
      <c r="N40"/>
      <c r="O40" s="190"/>
      <c r="P40" s="190"/>
      <c r="Q40" s="190"/>
      <c r="R40" s="190"/>
      <c r="S40" s="190"/>
      <c r="T40" s="190"/>
      <c r="U40" s="190"/>
      <c r="V40" s="190"/>
      <c r="W40" s="190"/>
      <c r="X40"/>
      <c r="Y40"/>
    </row>
    <row r="41" spans="1:25" x14ac:dyDescent="0.25">
      <c r="A41" s="190"/>
      <c r="B41" s="190"/>
      <c r="C41" s="190"/>
      <c r="D41" s="190"/>
      <c r="E41" s="190"/>
      <c r="F41" s="190"/>
      <c r="G41" s="190"/>
      <c r="H41" s="190"/>
      <c r="I41"/>
      <c r="J41"/>
      <c r="K41"/>
      <c r="L41"/>
      <c r="M41"/>
      <c r="N41"/>
      <c r="O41" s="190"/>
      <c r="P41" s="190"/>
      <c r="Q41" s="190"/>
      <c r="R41" s="190"/>
      <c r="S41" s="190"/>
      <c r="T41" s="190"/>
      <c r="U41" s="190"/>
      <c r="V41" s="190"/>
      <c r="W41" s="190"/>
      <c r="X41"/>
      <c r="Y41"/>
    </row>
    <row r="42" spans="1:25" x14ac:dyDescent="0.25">
      <c r="A42" s="190"/>
      <c r="B42" s="190"/>
      <c r="C42" s="190"/>
      <c r="D42" s="190"/>
      <c r="E42" s="190"/>
      <c r="F42" s="190"/>
      <c r="G42" s="190"/>
      <c r="H42" s="190"/>
      <c r="I42"/>
      <c r="J42"/>
      <c r="K42"/>
      <c r="L42"/>
      <c r="M42"/>
      <c r="N42"/>
      <c r="O42" s="190"/>
      <c r="P42" s="190"/>
      <c r="Q42" s="190"/>
      <c r="R42" s="190"/>
      <c r="S42" s="190"/>
      <c r="T42" s="190"/>
      <c r="U42" s="190"/>
      <c r="V42" s="190"/>
      <c r="W42" s="190"/>
      <c r="X42"/>
      <c r="Y42"/>
    </row>
    <row r="43" spans="1:25" x14ac:dyDescent="0.25">
      <c r="A43" s="190"/>
      <c r="B43" s="190"/>
      <c r="C43" s="190"/>
      <c r="D43" s="190"/>
      <c r="E43" s="190"/>
      <c r="F43" s="190"/>
      <c r="G43" s="190"/>
      <c r="H43" s="190"/>
      <c r="I43"/>
      <c r="J43"/>
      <c r="K43"/>
      <c r="L43"/>
      <c r="M43"/>
      <c r="N43"/>
      <c r="O43" s="190"/>
      <c r="P43" s="190"/>
      <c r="Q43" s="190"/>
      <c r="R43" s="190"/>
      <c r="S43" s="190"/>
      <c r="T43" s="190"/>
      <c r="U43" s="190"/>
      <c r="V43" s="190"/>
      <c r="W43" s="190"/>
      <c r="X43"/>
      <c r="Y43"/>
    </row>
    <row r="44" spans="1:25" x14ac:dyDescent="0.25">
      <c r="A44" s="190"/>
      <c r="B44" s="190"/>
      <c r="C44" s="190"/>
      <c r="D44" s="190"/>
      <c r="E44" s="190"/>
      <c r="F44" s="190"/>
      <c r="G44" s="190"/>
      <c r="H44" s="190"/>
      <c r="I44"/>
      <c r="J44"/>
      <c r="K44"/>
      <c r="L44"/>
      <c r="M44"/>
      <c r="N44"/>
      <c r="O44" s="190"/>
      <c r="P44" s="190"/>
      <c r="Q44" s="190"/>
      <c r="R44" s="190"/>
      <c r="S44" s="190"/>
      <c r="T44" s="190"/>
      <c r="U44" s="190"/>
      <c r="V44" s="190"/>
      <c r="W44" s="190"/>
      <c r="X44"/>
      <c r="Y44"/>
    </row>
    <row r="45" spans="1:25" x14ac:dyDescent="0.25">
      <c r="A45" s="190"/>
      <c r="B45" s="190"/>
      <c r="C45" s="190"/>
      <c r="D45" s="190"/>
      <c r="E45" s="190"/>
      <c r="F45" s="190"/>
      <c r="G45" s="190"/>
      <c r="H45" s="190"/>
      <c r="I45"/>
      <c r="J45"/>
      <c r="K45"/>
      <c r="L45"/>
      <c r="M45"/>
      <c r="N45"/>
      <c r="O45" s="190"/>
      <c r="P45" s="190"/>
      <c r="Q45" s="190"/>
      <c r="R45" s="190"/>
      <c r="S45" s="190"/>
      <c r="T45" s="190"/>
      <c r="U45" s="190"/>
      <c r="V45" s="190"/>
      <c r="W45" s="190"/>
      <c r="X45"/>
      <c r="Y45"/>
    </row>
    <row r="46" spans="1:25" x14ac:dyDescent="0.25">
      <c r="A46" s="363"/>
      <c r="B46" s="363"/>
      <c r="C46" s="363"/>
      <c r="D46" s="363"/>
      <c r="E46" s="363"/>
      <c r="F46" s="190"/>
      <c r="G46" s="190"/>
      <c r="H46" s="190"/>
      <c r="I46"/>
      <c r="J46"/>
      <c r="K46"/>
      <c r="L46"/>
      <c r="M46"/>
      <c r="N46"/>
      <c r="O46" s="190"/>
      <c r="P46" s="190"/>
      <c r="Q46" s="190"/>
      <c r="R46" s="190"/>
      <c r="S46" s="190"/>
      <c r="T46" s="190"/>
      <c r="U46" s="190"/>
      <c r="V46" s="190"/>
      <c r="W46" s="190"/>
      <c r="X46"/>
      <c r="Y46"/>
    </row>
    <row r="47" spans="1:25" x14ac:dyDescent="0.25">
      <c r="A47" s="382"/>
      <c r="B47" s="382"/>
      <c r="C47" s="382"/>
      <c r="D47" s="382"/>
      <c r="E47" s="363"/>
      <c r="F47" s="190"/>
      <c r="G47" s="190"/>
      <c r="H47" s="190"/>
      <c r="I47"/>
      <c r="J47"/>
      <c r="K47"/>
      <c r="L47"/>
      <c r="M47"/>
      <c r="N47"/>
      <c r="O47" s="190"/>
      <c r="P47" s="190"/>
      <c r="Q47" s="190"/>
      <c r="R47" s="190"/>
      <c r="S47" s="190"/>
      <c r="T47" s="190"/>
      <c r="U47" s="190"/>
      <c r="V47" s="190"/>
      <c r="W47" s="190"/>
      <c r="X47"/>
      <c r="Y47"/>
    </row>
    <row r="48" spans="1:25" x14ac:dyDescent="0.25">
      <c r="A48" s="382"/>
      <c r="B48" s="382"/>
      <c r="C48" s="383"/>
      <c r="D48" s="383"/>
      <c r="E48" s="190"/>
      <c r="F48" s="190"/>
      <c r="G48" s="190"/>
      <c r="H48" s="190"/>
      <c r="I48"/>
      <c r="J48"/>
      <c r="K48"/>
      <c r="L48"/>
      <c r="M48"/>
      <c r="N48"/>
      <c r="O48" s="190"/>
      <c r="P48" s="190"/>
      <c r="Q48" s="190"/>
      <c r="R48" s="190"/>
      <c r="S48" s="190"/>
      <c r="T48" s="190"/>
      <c r="U48" s="190"/>
      <c r="V48" s="190"/>
      <c r="W48" s="190"/>
      <c r="X48"/>
      <c r="Y48"/>
    </row>
    <row r="49" spans="1:25" x14ac:dyDescent="0.25">
      <c r="A49" s="382"/>
      <c r="B49" s="382"/>
      <c r="C49" s="383"/>
      <c r="D49" s="383"/>
      <c r="E49" s="190"/>
      <c r="F49" s="190"/>
      <c r="G49" s="190"/>
      <c r="H49" s="190"/>
      <c r="I49"/>
      <c r="J49"/>
      <c r="K49"/>
      <c r="L49"/>
      <c r="M49"/>
      <c r="N49"/>
      <c r="O49" s="190"/>
      <c r="P49" s="190"/>
      <c r="Q49" s="190"/>
      <c r="R49" s="190"/>
      <c r="S49" s="190"/>
      <c r="T49" s="190"/>
      <c r="U49" s="190"/>
      <c r="V49" s="190"/>
      <c r="W49" s="190"/>
      <c r="X49"/>
      <c r="Y49"/>
    </row>
    <row r="50" spans="1:25" x14ac:dyDescent="0.25">
      <c r="A50" s="382"/>
      <c r="B50" s="384">
        <v>3</v>
      </c>
      <c r="C50" s="385"/>
      <c r="D50" s="385"/>
      <c r="E50" s="356"/>
      <c r="F50" s="190"/>
      <c r="G50" s="190"/>
      <c r="H50" s="190"/>
      <c r="I50"/>
      <c r="J50"/>
      <c r="K50"/>
      <c r="L50"/>
      <c r="M50"/>
      <c r="N50"/>
      <c r="O50" s="190"/>
      <c r="P50" s="190"/>
      <c r="Q50" s="190"/>
      <c r="R50" s="190"/>
      <c r="S50" s="190"/>
      <c r="T50" s="190"/>
      <c r="U50" s="190"/>
      <c r="V50" s="190"/>
      <c r="W50" s="190"/>
      <c r="X50"/>
      <c r="Y50"/>
    </row>
    <row r="51" spans="1:25" x14ac:dyDescent="0.25">
      <c r="A51" s="382"/>
      <c r="B51" s="386">
        <v>6.3</v>
      </c>
      <c r="C51" s="385"/>
      <c r="D51" s="385" t="s">
        <v>132</v>
      </c>
      <c r="E51" s="356">
        <f>IF(B50=1,B51,IF(B50=2,B52,IF(B50=3,B53,IF(B50=4,B54,IF(B50=5,B55,IF(B50=6,B56))))))</f>
        <v>10</v>
      </c>
      <c r="F51" s="190"/>
      <c r="G51" s="190"/>
      <c r="H51" s="190"/>
      <c r="I51"/>
      <c r="J51"/>
      <c r="K51"/>
      <c r="L51"/>
      <c r="M51"/>
      <c r="N51"/>
      <c r="O51" s="190"/>
      <c r="P51" s="190"/>
      <c r="Q51" s="190"/>
      <c r="R51" s="190"/>
      <c r="S51" s="190"/>
      <c r="T51" s="190"/>
      <c r="U51" s="190"/>
      <c r="V51" s="190"/>
      <c r="W51" s="190"/>
      <c r="X51"/>
      <c r="Y51"/>
    </row>
    <row r="52" spans="1:25" x14ac:dyDescent="0.25">
      <c r="A52" s="382"/>
      <c r="B52" s="386">
        <v>8</v>
      </c>
      <c r="C52" s="385"/>
      <c r="D52" s="385"/>
      <c r="E52" s="356"/>
      <c r="F52" s="190"/>
      <c r="G52" s="190"/>
      <c r="H52" s="190"/>
      <c r="I52"/>
      <c r="J52"/>
      <c r="K52"/>
      <c r="L52"/>
      <c r="M52"/>
      <c r="N52"/>
      <c r="O52" s="190"/>
      <c r="P52" s="190"/>
      <c r="Q52" s="190"/>
      <c r="R52" s="190"/>
      <c r="S52" s="190"/>
      <c r="T52" s="190"/>
      <c r="U52" s="190"/>
      <c r="V52" s="190"/>
      <c r="W52" s="190"/>
      <c r="X52"/>
      <c r="Y52"/>
    </row>
    <row r="53" spans="1:25" x14ac:dyDescent="0.25">
      <c r="A53" s="382"/>
      <c r="B53" s="386">
        <v>10</v>
      </c>
      <c r="C53" s="385"/>
      <c r="D53" s="385"/>
      <c r="E53" s="356"/>
      <c r="F53" s="190"/>
      <c r="G53" s="190"/>
      <c r="H53" s="190"/>
      <c r="I53"/>
      <c r="J53"/>
      <c r="K53"/>
      <c r="L53"/>
      <c r="M53"/>
      <c r="N53"/>
      <c r="O53" s="190"/>
      <c r="P53" s="190"/>
      <c r="Q53" s="190"/>
      <c r="R53" s="190"/>
      <c r="S53" s="190"/>
      <c r="T53" s="190"/>
      <c r="U53" s="190"/>
      <c r="V53" s="190"/>
      <c r="W53" s="190"/>
      <c r="X53"/>
      <c r="Y53"/>
    </row>
    <row r="54" spans="1:25" x14ac:dyDescent="0.25">
      <c r="A54" s="382"/>
      <c r="B54" s="386">
        <v>12.5</v>
      </c>
      <c r="C54" s="385"/>
      <c r="D54" s="385"/>
      <c r="E54" s="356"/>
      <c r="F54" s="190"/>
      <c r="G54" s="190"/>
      <c r="H54" s="190"/>
      <c r="I54"/>
      <c r="J54"/>
      <c r="K54"/>
      <c r="L54"/>
      <c r="M54"/>
      <c r="N54"/>
      <c r="O54" s="190"/>
      <c r="P54" s="190"/>
      <c r="Q54" s="190"/>
      <c r="R54" s="190"/>
      <c r="S54" s="190"/>
      <c r="T54" s="190"/>
      <c r="U54" s="190"/>
      <c r="V54" s="190"/>
      <c r="W54" s="190"/>
      <c r="X54"/>
      <c r="Y54"/>
    </row>
    <row r="55" spans="1:25" x14ac:dyDescent="0.25">
      <c r="A55" s="382"/>
      <c r="B55" s="386">
        <v>16</v>
      </c>
      <c r="C55" s="384"/>
      <c r="D55" s="384"/>
      <c r="E55" s="367"/>
      <c r="F55" s="190"/>
      <c r="G55" s="190"/>
      <c r="H55" s="190"/>
      <c r="I55"/>
      <c r="J55"/>
      <c r="K55"/>
      <c r="L55"/>
      <c r="M55"/>
      <c r="N55"/>
      <c r="O55" s="190"/>
      <c r="P55" s="190"/>
      <c r="Q55" s="190"/>
      <c r="R55" s="190"/>
      <c r="S55" s="190"/>
      <c r="T55" s="190"/>
      <c r="U55" s="190"/>
      <c r="V55" s="190"/>
      <c r="W55" s="190"/>
      <c r="X55"/>
      <c r="Y55"/>
    </row>
    <row r="56" spans="1:25" x14ac:dyDescent="0.25">
      <c r="A56" s="382"/>
      <c r="B56" s="386">
        <v>20</v>
      </c>
      <c r="C56" s="384"/>
      <c r="D56" s="384"/>
      <c r="E56" s="367"/>
      <c r="F56" s="190"/>
      <c r="G56" s="190"/>
      <c r="H56" s="190"/>
      <c r="I56"/>
      <c r="J56"/>
      <c r="K56"/>
      <c r="L56"/>
      <c r="M56"/>
      <c r="N56"/>
      <c r="O56" s="190"/>
      <c r="P56" s="190"/>
      <c r="Q56" s="190"/>
      <c r="R56" s="190"/>
      <c r="S56" s="190"/>
      <c r="T56" s="190"/>
      <c r="U56" s="190"/>
      <c r="V56" s="190"/>
      <c r="W56" s="190"/>
      <c r="X56"/>
      <c r="Y56"/>
    </row>
    <row r="57" spans="1:25" x14ac:dyDescent="0.25">
      <c r="A57" s="382"/>
      <c r="B57" s="382"/>
      <c r="C57" s="382"/>
      <c r="D57" s="382"/>
      <c r="E57" s="363"/>
      <c r="F57" s="190"/>
      <c r="G57" s="190"/>
      <c r="H57" s="190"/>
      <c r="I57"/>
      <c r="J57"/>
      <c r="K57"/>
      <c r="L57"/>
      <c r="M57"/>
      <c r="N57"/>
      <c r="O57" s="190"/>
      <c r="P57" s="190"/>
      <c r="Q57" s="190"/>
      <c r="R57" s="190"/>
      <c r="S57" s="190"/>
      <c r="T57" s="190"/>
      <c r="U57" s="190"/>
      <c r="V57" s="190"/>
      <c r="W57" s="190"/>
      <c r="X57"/>
      <c r="Y57"/>
    </row>
    <row r="58" spans="1:25" x14ac:dyDescent="0.25">
      <c r="A58" s="382"/>
      <c r="B58" s="382"/>
      <c r="C58" s="382"/>
      <c r="D58" s="382"/>
      <c r="E58" s="363"/>
      <c r="F58" s="190"/>
      <c r="G58" s="190"/>
      <c r="H58" s="190"/>
      <c r="I58"/>
      <c r="J58"/>
      <c r="K58"/>
      <c r="L58"/>
      <c r="M58"/>
      <c r="N58"/>
      <c r="O58" s="190"/>
      <c r="P58" s="190"/>
      <c r="Q58" s="190"/>
      <c r="R58" s="190"/>
      <c r="S58" s="190"/>
      <c r="T58" s="190"/>
      <c r="U58" s="190"/>
      <c r="V58" s="190"/>
      <c r="W58" s="190"/>
      <c r="X58"/>
      <c r="Y58"/>
    </row>
    <row r="59" spans="1:25" x14ac:dyDescent="0.25">
      <c r="A59" s="382"/>
      <c r="B59" s="382"/>
      <c r="C59" s="382"/>
      <c r="D59" s="382"/>
      <c r="E59" s="363"/>
      <c r="F59" s="190"/>
      <c r="G59" s="190"/>
      <c r="H59" s="190"/>
      <c r="I59"/>
      <c r="J59"/>
      <c r="K59"/>
      <c r="L59"/>
      <c r="M59"/>
      <c r="N59"/>
      <c r="O59" s="190"/>
      <c r="P59" s="190"/>
      <c r="Q59" s="190"/>
      <c r="R59" s="190"/>
      <c r="S59" s="190"/>
      <c r="T59" s="190"/>
      <c r="U59" s="190"/>
      <c r="V59" s="190"/>
      <c r="W59" s="190"/>
      <c r="X59"/>
      <c r="Y59"/>
    </row>
    <row r="60" spans="1:25" x14ac:dyDescent="0.25">
      <c r="A60" s="382"/>
      <c r="B60" s="382"/>
      <c r="C60" s="382"/>
      <c r="D60" s="382"/>
      <c r="E60" s="363"/>
      <c r="F60" s="190"/>
      <c r="G60" s="190"/>
      <c r="H60" s="190"/>
      <c r="I60"/>
      <c r="J60"/>
      <c r="K60"/>
      <c r="L60"/>
      <c r="M60"/>
      <c r="N60"/>
      <c r="O60" s="190"/>
      <c r="P60" s="190"/>
      <c r="Q60" s="190"/>
      <c r="R60" s="190"/>
      <c r="S60" s="190"/>
      <c r="T60" s="190"/>
      <c r="U60" s="190"/>
      <c r="V60" s="190"/>
      <c r="W60" s="190"/>
      <c r="X60"/>
      <c r="Y60"/>
    </row>
    <row r="61" spans="1:25" x14ac:dyDescent="0.25">
      <c r="A61" s="383"/>
      <c r="B61" s="383"/>
      <c r="C61" s="383"/>
      <c r="D61" s="383"/>
      <c r="E61" s="190"/>
      <c r="F61" s="190"/>
      <c r="G61" s="190"/>
      <c r="H61" s="190"/>
      <c r="I61"/>
      <c r="J61"/>
      <c r="K61"/>
      <c r="L61"/>
      <c r="M61"/>
      <c r="N61"/>
      <c r="O61" s="190"/>
      <c r="P61" s="190"/>
      <c r="Q61" s="190"/>
      <c r="R61" s="190"/>
      <c r="S61" s="190"/>
      <c r="T61" s="190"/>
      <c r="U61" s="190"/>
      <c r="V61" s="190"/>
      <c r="W61" s="190"/>
      <c r="X61"/>
      <c r="Y61"/>
    </row>
    <row r="62" spans="1:25" x14ac:dyDescent="0.25">
      <c r="A62" s="383"/>
      <c r="B62" s="383"/>
      <c r="C62" s="383"/>
      <c r="D62" s="383"/>
      <c r="E62" s="190"/>
      <c r="F62" s="190"/>
      <c r="G62" s="190"/>
      <c r="H62" s="190"/>
      <c r="I62"/>
      <c r="J62"/>
      <c r="K62"/>
      <c r="L62"/>
      <c r="M62"/>
      <c r="N62"/>
      <c r="O62" s="190"/>
      <c r="P62" s="190"/>
      <c r="Q62" s="190"/>
      <c r="R62" s="190"/>
      <c r="S62" s="190"/>
      <c r="T62" s="190"/>
      <c r="U62" s="190"/>
      <c r="V62" s="190"/>
      <c r="W62" s="190"/>
      <c r="X62"/>
      <c r="Y62"/>
    </row>
    <row r="63" spans="1:25" x14ac:dyDescent="0.25">
      <c r="A63" s="383"/>
      <c r="B63" s="383"/>
      <c r="C63" s="383"/>
      <c r="D63" s="383"/>
      <c r="E63" s="190"/>
      <c r="F63" s="190"/>
      <c r="G63" s="190"/>
      <c r="H63" s="190"/>
      <c r="I63"/>
      <c r="J63"/>
      <c r="K63"/>
      <c r="L63"/>
      <c r="M63"/>
      <c r="N63"/>
      <c r="O63" s="190"/>
      <c r="P63" s="190"/>
      <c r="Q63" s="190"/>
      <c r="R63" s="190"/>
      <c r="S63" s="190"/>
      <c r="T63" s="190"/>
      <c r="U63" s="190"/>
      <c r="V63" s="190"/>
      <c r="W63" s="190"/>
      <c r="X63"/>
      <c r="Y63"/>
    </row>
    <row r="64" spans="1:25" x14ac:dyDescent="0.25">
      <c r="A64" s="190"/>
      <c r="B64" s="190"/>
      <c r="C64" s="190"/>
      <c r="D64" s="190"/>
      <c r="E64" s="190"/>
      <c r="F64" s="190"/>
      <c r="G64" s="190"/>
      <c r="H64" s="190"/>
      <c r="I64"/>
      <c r="J64"/>
      <c r="K64"/>
      <c r="L64"/>
      <c r="M64"/>
      <c r="N64"/>
      <c r="O64" s="190"/>
      <c r="P64" s="190"/>
      <c r="Q64" s="190"/>
      <c r="R64" s="190"/>
      <c r="S64" s="190"/>
      <c r="T64" s="190"/>
      <c r="U64" s="190"/>
      <c r="V64" s="190"/>
      <c r="W64" s="190"/>
      <c r="X64"/>
      <c r="Y64"/>
    </row>
    <row r="65" spans="1:25" x14ac:dyDescent="0.25">
      <c r="A65" s="190"/>
      <c r="B65" s="190"/>
      <c r="C65" s="190"/>
      <c r="D65" s="190"/>
      <c r="E65" s="190"/>
      <c r="F65" s="190"/>
      <c r="G65" s="190"/>
      <c r="H65" s="190"/>
      <c r="I65"/>
      <c r="J65"/>
      <c r="K65"/>
      <c r="L65"/>
      <c r="M65"/>
      <c r="N65"/>
      <c r="O65" s="190"/>
      <c r="P65" s="190"/>
      <c r="Q65" s="190"/>
      <c r="R65" s="190"/>
      <c r="S65" s="190"/>
      <c r="T65" s="190"/>
      <c r="U65" s="190"/>
      <c r="V65" s="190"/>
      <c r="W65" s="190"/>
      <c r="X65"/>
      <c r="Y65"/>
    </row>
    <row r="66" spans="1:25" x14ac:dyDescent="0.25">
      <c r="A66" s="190"/>
      <c r="B66" s="190"/>
      <c r="C66" s="190"/>
      <c r="D66" s="190"/>
      <c r="E66" s="190"/>
      <c r="F66" s="190"/>
      <c r="G66" s="190"/>
      <c r="H66" s="190"/>
      <c r="I66"/>
      <c r="J66"/>
      <c r="K66"/>
      <c r="L66"/>
      <c r="M66"/>
      <c r="N66"/>
      <c r="O66" s="190"/>
      <c r="P66" s="190"/>
      <c r="Q66" s="190"/>
      <c r="R66" s="190"/>
      <c r="S66" s="190"/>
      <c r="T66" s="190"/>
      <c r="U66" s="190"/>
      <c r="V66" s="190"/>
      <c r="W66" s="190"/>
      <c r="X66"/>
      <c r="Y66"/>
    </row>
    <row r="67" spans="1:2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190"/>
      <c r="P67" s="190"/>
      <c r="Q67" s="190"/>
      <c r="R67" s="190"/>
      <c r="S67" s="190"/>
      <c r="T67" s="190"/>
      <c r="U67" s="190"/>
      <c r="V67" s="190"/>
      <c r="W67" s="190"/>
      <c r="X67"/>
      <c r="Y67"/>
    </row>
    <row r="68" spans="1:2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 s="190"/>
      <c r="P68" s="190"/>
      <c r="Q68" s="190"/>
      <c r="R68" s="190"/>
      <c r="S68" s="190"/>
      <c r="T68" s="190"/>
      <c r="U68" s="190"/>
      <c r="V68" s="190"/>
      <c r="W68" s="190"/>
      <c r="X68"/>
      <c r="Y68"/>
    </row>
    <row r="69" spans="1:2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 s="190"/>
      <c r="P69" s="190"/>
      <c r="Q69" s="190"/>
      <c r="R69" s="190"/>
      <c r="S69" s="190"/>
      <c r="T69" s="190"/>
      <c r="U69" s="190"/>
      <c r="V69" s="190"/>
      <c r="W69" s="190"/>
      <c r="X69"/>
      <c r="Y69"/>
    </row>
    <row r="70" spans="1:2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 s="190"/>
      <c r="P70" s="190"/>
      <c r="Q70" s="190"/>
      <c r="R70" s="190"/>
      <c r="S70" s="190"/>
      <c r="T70" s="190"/>
      <c r="U70" s="190"/>
      <c r="V70" s="190"/>
      <c r="W70" s="190"/>
      <c r="X70"/>
      <c r="Y70"/>
    </row>
    <row r="71" spans="1:2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 s="190"/>
      <c r="P71" s="190"/>
      <c r="Q71" s="190"/>
      <c r="R71" s="190"/>
      <c r="S71" s="190"/>
      <c r="T71" s="190"/>
      <c r="U71" s="190"/>
      <c r="V71" s="190"/>
      <c r="W71" s="190"/>
      <c r="X71"/>
      <c r="Y71"/>
    </row>
    <row r="72" spans="1:2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190"/>
      <c r="P72" s="190"/>
      <c r="Q72" s="190"/>
      <c r="R72" s="190"/>
      <c r="S72" s="190"/>
      <c r="T72" s="190"/>
      <c r="U72" s="190"/>
      <c r="V72" s="190"/>
      <c r="W72" s="190"/>
      <c r="X72"/>
      <c r="Y72"/>
    </row>
    <row r="73" spans="1:2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190"/>
      <c r="P73" s="190"/>
      <c r="Q73" s="190"/>
      <c r="R73" s="190"/>
      <c r="S73" s="190"/>
      <c r="T73" s="190"/>
      <c r="U73" s="190"/>
      <c r="V73" s="190"/>
      <c r="W73" s="190"/>
      <c r="X73"/>
      <c r="Y73"/>
    </row>
    <row r="74" spans="1:2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190"/>
      <c r="P74" s="190"/>
      <c r="Q74" s="190"/>
      <c r="R74" s="190"/>
      <c r="S74" s="190"/>
      <c r="T74" s="190"/>
      <c r="U74" s="190"/>
      <c r="V74" s="190"/>
      <c r="W74" s="190"/>
      <c r="X74"/>
      <c r="Y74"/>
    </row>
    <row r="75" spans="1:2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190"/>
      <c r="P75" s="190"/>
      <c r="Q75" s="190"/>
      <c r="R75" s="190"/>
      <c r="S75" s="190"/>
      <c r="T75" s="190"/>
      <c r="U75" s="190"/>
      <c r="V75" s="190"/>
      <c r="W75" s="190"/>
      <c r="X75"/>
      <c r="Y75"/>
    </row>
    <row r="76" spans="1: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190"/>
      <c r="P76" s="190"/>
      <c r="Q76" s="190"/>
      <c r="R76" s="190"/>
      <c r="S76" s="190"/>
      <c r="T76" s="190"/>
      <c r="U76" s="190"/>
      <c r="V76" s="190"/>
      <c r="W76" s="190"/>
      <c r="X76"/>
      <c r="Y76"/>
    </row>
    <row r="77" spans="1: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190"/>
      <c r="P77" s="190"/>
      <c r="Q77" s="190"/>
      <c r="R77" s="190"/>
      <c r="S77" s="190"/>
      <c r="T77" s="190"/>
      <c r="U77" s="190"/>
      <c r="V77" s="190"/>
      <c r="W77" s="190"/>
      <c r="X77"/>
      <c r="Y77"/>
    </row>
    <row r="78" spans="1: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190"/>
      <c r="P78" s="190"/>
      <c r="Q78" s="190"/>
      <c r="R78" s="190"/>
      <c r="S78" s="190"/>
      <c r="T78" s="190"/>
      <c r="U78" s="190"/>
      <c r="V78" s="190"/>
      <c r="W78" s="190"/>
      <c r="X78"/>
      <c r="Y78"/>
    </row>
    <row r="79" spans="1: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190"/>
      <c r="P79" s="190"/>
      <c r="Q79" s="190"/>
      <c r="R79" s="190"/>
      <c r="S79" s="190"/>
      <c r="T79" s="190"/>
      <c r="U79" s="190"/>
      <c r="V79" s="190"/>
      <c r="W79" s="190"/>
      <c r="X79"/>
      <c r="Y79"/>
    </row>
    <row r="80" spans="1: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190"/>
      <c r="P80" s="190"/>
      <c r="Q80" s="190"/>
      <c r="R80" s="190"/>
      <c r="S80" s="190"/>
      <c r="T80" s="190"/>
      <c r="U80" s="190"/>
      <c r="V80" s="190"/>
      <c r="W80" s="190"/>
      <c r="X80"/>
      <c r="Y80"/>
    </row>
    <row r="81" spans="1: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190"/>
      <c r="P81" s="190"/>
      <c r="Q81" s="190"/>
      <c r="R81" s="190"/>
      <c r="S81" s="190"/>
      <c r="T81" s="190"/>
      <c r="U81" s="190"/>
      <c r="V81" s="190"/>
      <c r="W81" s="190"/>
      <c r="X81"/>
      <c r="Y81"/>
    </row>
    <row r="82" spans="1: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190"/>
      <c r="P82" s="190"/>
      <c r="Q82" s="190"/>
      <c r="R82" s="190"/>
      <c r="S82" s="190"/>
      <c r="T82" s="190"/>
      <c r="U82" s="190"/>
      <c r="V82" s="190"/>
      <c r="W82" s="190"/>
      <c r="X82"/>
      <c r="Y82"/>
    </row>
    <row r="83" spans="1: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190"/>
      <c r="P83" s="190"/>
      <c r="Q83" s="190"/>
      <c r="R83" s="190"/>
      <c r="S83" s="190"/>
      <c r="T83" s="190"/>
      <c r="U83" s="190"/>
      <c r="V83" s="190"/>
      <c r="W83" s="190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190"/>
      <c r="P84" s="190"/>
      <c r="Q84" s="190"/>
      <c r="R84" s="190"/>
      <c r="S84" s="190"/>
      <c r="T84" s="190"/>
      <c r="U84" s="190"/>
      <c r="V84" s="190"/>
      <c r="W84" s="190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190"/>
      <c r="P85" s="190"/>
      <c r="Q85" s="190"/>
      <c r="R85" s="190"/>
      <c r="S85" s="190"/>
      <c r="T85" s="190"/>
      <c r="U85" s="190"/>
      <c r="V85" s="190"/>
      <c r="W85" s="190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190"/>
      <c r="P86" s="190"/>
      <c r="Q86" s="190"/>
      <c r="R86" s="190"/>
      <c r="S86" s="190"/>
      <c r="T86" s="190"/>
      <c r="U86" s="190"/>
      <c r="V86" s="190"/>
      <c r="W86" s="190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190"/>
      <c r="P87" s="190"/>
      <c r="Q87" s="190"/>
      <c r="R87" s="190"/>
      <c r="S87" s="190"/>
      <c r="T87" s="190"/>
      <c r="U87" s="190"/>
      <c r="V87" s="190"/>
      <c r="W87" s="190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190"/>
      <c r="P88" s="190"/>
      <c r="Q88" s="190"/>
      <c r="R88" s="190"/>
      <c r="S88" s="190"/>
      <c r="T88" s="190"/>
      <c r="U88" s="190"/>
      <c r="V88" s="190"/>
      <c r="W88" s="190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190"/>
      <c r="P89" s="190"/>
      <c r="Q89" s="190"/>
      <c r="R89" s="190"/>
      <c r="S89" s="190"/>
      <c r="T89" s="190"/>
      <c r="U89" s="190"/>
      <c r="V89" s="190"/>
      <c r="W89" s="190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190"/>
      <c r="P90" s="190"/>
      <c r="Q90" s="190"/>
      <c r="R90" s="190"/>
      <c r="S90" s="190"/>
      <c r="T90" s="190"/>
      <c r="U90" s="190"/>
      <c r="V90" s="190"/>
      <c r="W90" s="1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190"/>
      <c r="P91" s="190"/>
      <c r="Q91" s="190"/>
      <c r="R91" s="190"/>
      <c r="S91" s="190"/>
      <c r="T91" s="190"/>
      <c r="U91" s="190"/>
      <c r="V91" s="190"/>
      <c r="W91" s="190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190"/>
      <c r="P92" s="190"/>
      <c r="Q92" s="190"/>
      <c r="R92" s="190"/>
      <c r="S92" s="190"/>
      <c r="T92" s="190"/>
      <c r="U92" s="190"/>
      <c r="V92" s="190"/>
      <c r="W92" s="190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190"/>
      <c r="P93" s="190"/>
      <c r="Q93" s="190"/>
      <c r="R93" s="190"/>
      <c r="S93" s="190"/>
      <c r="T93" s="190"/>
      <c r="U93" s="190"/>
      <c r="V93" s="190"/>
      <c r="W93" s="190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190"/>
      <c r="P94" s="190"/>
      <c r="Q94" s="190"/>
      <c r="R94" s="190"/>
      <c r="S94" s="190"/>
      <c r="T94" s="190"/>
      <c r="U94" s="190"/>
      <c r="V94" s="190"/>
      <c r="W94" s="190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190"/>
      <c r="P95" s="190"/>
      <c r="Q95" s="190"/>
      <c r="R95" s="190"/>
      <c r="S95" s="190"/>
      <c r="T95" s="190"/>
      <c r="U95" s="190"/>
      <c r="V95" s="190"/>
      <c r="W95" s="190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190"/>
      <c r="P96" s="190"/>
      <c r="Q96" s="190"/>
      <c r="R96" s="190"/>
      <c r="S96" s="190"/>
      <c r="T96" s="190"/>
      <c r="U96" s="190"/>
      <c r="V96" s="190"/>
      <c r="W96" s="190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190"/>
      <c r="P97" s="190"/>
      <c r="Q97" s="190"/>
      <c r="R97" s="190"/>
      <c r="S97" s="190"/>
      <c r="T97" s="190"/>
      <c r="U97" s="190"/>
      <c r="V97" s="190"/>
      <c r="W97" s="190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190"/>
      <c r="P98" s="190"/>
      <c r="Q98" s="190"/>
      <c r="R98" s="190"/>
      <c r="S98" s="190"/>
      <c r="T98" s="190"/>
      <c r="U98" s="190"/>
      <c r="V98" s="190"/>
      <c r="W98" s="190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190"/>
      <c r="P99" s="190"/>
      <c r="Q99" s="190"/>
      <c r="R99" s="190"/>
      <c r="S99" s="190"/>
      <c r="T99" s="190"/>
      <c r="U99" s="190"/>
      <c r="V99" s="190"/>
      <c r="W99" s="190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190"/>
      <c r="P100" s="190"/>
      <c r="Q100" s="190"/>
      <c r="R100" s="190"/>
      <c r="S100" s="190"/>
      <c r="T100" s="190"/>
      <c r="U100" s="190"/>
      <c r="V100" s="190"/>
      <c r="W100" s="19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190"/>
      <c r="P101" s="190"/>
      <c r="Q101" s="190"/>
      <c r="R101" s="190"/>
      <c r="S101" s="190"/>
      <c r="T101" s="190"/>
      <c r="U101" s="190"/>
      <c r="V101" s="190"/>
      <c r="W101" s="190"/>
      <c r="X101"/>
      <c r="Y101"/>
    </row>
    <row r="102" spans="1: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190"/>
      <c r="P102" s="190"/>
      <c r="Q102" s="190"/>
      <c r="R102" s="190"/>
      <c r="S102" s="190"/>
      <c r="T102" s="190"/>
      <c r="U102" s="190"/>
      <c r="V102" s="190"/>
      <c r="W102" s="190"/>
      <c r="X102"/>
      <c r="Y102"/>
    </row>
    <row r="103" spans="1:2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190"/>
      <c r="P103" s="190"/>
      <c r="Q103" s="190"/>
      <c r="R103" s="190"/>
      <c r="S103" s="190"/>
      <c r="T103" s="190"/>
      <c r="U103" s="190"/>
      <c r="V103" s="190"/>
      <c r="W103" s="190"/>
      <c r="X103"/>
      <c r="Y103"/>
    </row>
    <row r="104" spans="1:2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190"/>
      <c r="P104" s="190"/>
      <c r="Q104" s="190"/>
      <c r="R104" s="190"/>
      <c r="S104" s="190"/>
      <c r="T104" s="190"/>
      <c r="U104" s="190"/>
      <c r="V104" s="190"/>
      <c r="W104" s="190"/>
      <c r="X104"/>
      <c r="Y104"/>
    </row>
    <row r="105" spans="1:2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190"/>
      <c r="P105" s="190"/>
      <c r="Q105" s="190"/>
      <c r="R105" s="190"/>
      <c r="S105" s="190"/>
      <c r="T105" s="190"/>
      <c r="U105" s="190"/>
      <c r="V105" s="190"/>
      <c r="W105" s="190"/>
      <c r="X105"/>
      <c r="Y105"/>
    </row>
    <row r="106" spans="1:2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190"/>
      <c r="P106" s="190"/>
      <c r="Q106" s="190"/>
      <c r="R106" s="190"/>
      <c r="S106" s="190"/>
      <c r="T106" s="190"/>
      <c r="U106" s="190"/>
      <c r="V106" s="190"/>
      <c r="W106" s="190"/>
      <c r="X106"/>
      <c r="Y106"/>
    </row>
    <row r="107" spans="1:2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190"/>
      <c r="P107" s="190"/>
      <c r="Q107" s="190"/>
      <c r="R107" s="190"/>
      <c r="S107" s="190"/>
      <c r="T107" s="190"/>
      <c r="U107" s="190"/>
      <c r="V107" s="190"/>
      <c r="W107" s="190"/>
      <c r="X107"/>
      <c r="Y107"/>
    </row>
    <row r="108" spans="1:2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190"/>
      <c r="P108" s="190"/>
      <c r="Q108" s="190"/>
      <c r="R108" s="190"/>
      <c r="S108" s="190"/>
      <c r="T108" s="190"/>
      <c r="U108" s="190"/>
      <c r="V108" s="190"/>
      <c r="W108" s="190"/>
      <c r="X108"/>
      <c r="Y108"/>
    </row>
    <row r="109" spans="1:2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190"/>
      <c r="P109" s="190"/>
      <c r="Q109" s="190"/>
      <c r="R109" s="190"/>
      <c r="S109" s="190"/>
      <c r="T109" s="190"/>
      <c r="U109" s="190"/>
      <c r="V109" s="190"/>
      <c r="W109" s="190"/>
      <c r="X109"/>
      <c r="Y109"/>
    </row>
    <row r="110" spans="1:2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190"/>
      <c r="P110" s="190"/>
      <c r="Q110" s="190"/>
      <c r="R110" s="190"/>
      <c r="S110" s="190"/>
      <c r="T110" s="190"/>
      <c r="U110" s="190"/>
      <c r="V110" s="190"/>
      <c r="W110" s="190"/>
      <c r="X110"/>
      <c r="Y110"/>
    </row>
    <row r="111" spans="1:2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190"/>
      <c r="P111" s="190"/>
      <c r="Q111" s="190"/>
      <c r="R111" s="190"/>
      <c r="S111" s="190"/>
      <c r="T111" s="190"/>
      <c r="U111" s="190"/>
      <c r="V111" s="190"/>
      <c r="W111" s="190"/>
      <c r="X111"/>
      <c r="Y111"/>
    </row>
    <row r="112" spans="1:2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190"/>
      <c r="P112" s="190"/>
      <c r="Q112" s="190"/>
      <c r="R112" s="190"/>
      <c r="S112" s="190"/>
      <c r="T112" s="190"/>
      <c r="U112" s="190"/>
      <c r="V112" s="190"/>
      <c r="W112" s="190"/>
      <c r="X112"/>
      <c r="Y112"/>
    </row>
    <row r="113" spans="1:2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190"/>
      <c r="P113" s="190"/>
      <c r="Q113" s="190"/>
      <c r="R113" s="190"/>
      <c r="S113" s="190"/>
      <c r="T113" s="190"/>
      <c r="U113" s="190"/>
      <c r="V113" s="190"/>
      <c r="W113" s="190"/>
      <c r="X113"/>
      <c r="Y113"/>
    </row>
    <row r="114" spans="1:2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190"/>
      <c r="P114" s="190"/>
      <c r="Q114" s="190"/>
      <c r="R114" s="190"/>
      <c r="S114" s="190"/>
      <c r="T114" s="190"/>
      <c r="U114" s="190"/>
      <c r="V114" s="190"/>
      <c r="W114" s="190"/>
      <c r="X114"/>
      <c r="Y114"/>
    </row>
    <row r="115" spans="1:2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190"/>
      <c r="P115" s="190"/>
      <c r="Q115" s="190"/>
      <c r="R115" s="190"/>
      <c r="S115" s="190"/>
      <c r="T115" s="190"/>
      <c r="U115" s="190"/>
      <c r="V115" s="190"/>
      <c r="W115" s="190"/>
      <c r="X115"/>
      <c r="Y115"/>
    </row>
    <row r="116" spans="1:2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190"/>
      <c r="P116" s="190"/>
      <c r="Q116" s="190"/>
      <c r="R116" s="190"/>
      <c r="S116" s="190"/>
      <c r="T116" s="190"/>
      <c r="U116" s="190"/>
      <c r="V116" s="190"/>
      <c r="W116" s="190"/>
      <c r="X116"/>
      <c r="Y116"/>
    </row>
    <row r="117" spans="1:2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190"/>
      <c r="P117" s="190"/>
      <c r="Q117" s="190"/>
      <c r="R117" s="190"/>
      <c r="S117" s="190"/>
      <c r="T117" s="190"/>
      <c r="U117" s="190"/>
      <c r="V117" s="190"/>
      <c r="W117" s="190"/>
      <c r="X117"/>
      <c r="Y117"/>
    </row>
    <row r="118" spans="1: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190"/>
      <c r="P118" s="190"/>
      <c r="Q118" s="190"/>
      <c r="R118" s="190"/>
      <c r="S118" s="190"/>
      <c r="T118" s="190"/>
      <c r="U118" s="190"/>
      <c r="V118" s="190"/>
      <c r="W118" s="190"/>
      <c r="X118"/>
      <c r="Y118"/>
    </row>
    <row r="119" spans="1: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190"/>
      <c r="P119" s="190"/>
      <c r="Q119" s="190"/>
      <c r="R119" s="190"/>
      <c r="S119" s="190"/>
      <c r="T119" s="190"/>
      <c r="U119" s="190"/>
      <c r="V119" s="190"/>
      <c r="W119" s="190"/>
      <c r="X119"/>
      <c r="Y119"/>
    </row>
    <row r="120" spans="1: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190"/>
      <c r="P120" s="190"/>
      <c r="Q120" s="190"/>
      <c r="R120" s="190"/>
      <c r="S120" s="190"/>
      <c r="T120" s="190"/>
      <c r="U120" s="190"/>
      <c r="V120" s="190"/>
      <c r="W120" s="190"/>
      <c r="X120"/>
      <c r="Y120"/>
    </row>
    <row r="121" spans="1: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190"/>
      <c r="P121" s="190"/>
      <c r="Q121" s="190"/>
      <c r="R121" s="190"/>
      <c r="S121" s="190"/>
      <c r="T121" s="190"/>
      <c r="U121" s="190"/>
      <c r="V121" s="190"/>
      <c r="W121" s="190"/>
      <c r="X121"/>
      <c r="Y121"/>
    </row>
    <row r="122" spans="1: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190"/>
      <c r="P122" s="190"/>
      <c r="Q122" s="190"/>
      <c r="R122" s="190"/>
      <c r="S122" s="190"/>
      <c r="T122" s="190"/>
      <c r="U122" s="190"/>
      <c r="V122" s="190"/>
      <c r="W122" s="190"/>
      <c r="X122"/>
      <c r="Y122"/>
    </row>
    <row r="123" spans="1: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190"/>
      <c r="P123" s="190"/>
      <c r="Q123" s="190"/>
      <c r="R123" s="190"/>
      <c r="S123" s="190"/>
      <c r="T123" s="190"/>
      <c r="U123" s="190"/>
      <c r="V123" s="190"/>
      <c r="W123" s="190"/>
      <c r="X123"/>
      <c r="Y123"/>
    </row>
    <row r="124" spans="1: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190"/>
      <c r="P124" s="190"/>
      <c r="Q124" s="190"/>
      <c r="R124" s="190"/>
      <c r="S124" s="190"/>
      <c r="T124" s="190"/>
      <c r="U124" s="190"/>
      <c r="V124" s="190"/>
      <c r="W124" s="190"/>
      <c r="X124"/>
      <c r="Y124"/>
    </row>
    <row r="125" spans="1: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190"/>
      <c r="P125" s="190"/>
      <c r="Q125" s="190"/>
      <c r="R125" s="190"/>
      <c r="S125" s="190"/>
      <c r="T125" s="190"/>
      <c r="U125" s="190"/>
      <c r="V125" s="190"/>
      <c r="W125" s="190"/>
      <c r="X125"/>
      <c r="Y125"/>
    </row>
    <row r="126" spans="1: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190"/>
      <c r="P126" s="190"/>
      <c r="Q126" s="190"/>
      <c r="R126" s="190"/>
      <c r="S126" s="190"/>
      <c r="T126" s="190"/>
      <c r="U126" s="190"/>
      <c r="V126" s="190"/>
      <c r="W126" s="190"/>
      <c r="X126"/>
      <c r="Y126"/>
    </row>
    <row r="127" spans="1: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190"/>
      <c r="P127" s="190"/>
      <c r="Q127" s="190"/>
      <c r="R127" s="190"/>
      <c r="S127" s="190"/>
      <c r="T127" s="190"/>
      <c r="U127" s="190"/>
      <c r="V127" s="190"/>
      <c r="W127" s="190"/>
      <c r="X127"/>
      <c r="Y127"/>
    </row>
    <row r="128" spans="1: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190"/>
      <c r="P128" s="190"/>
      <c r="Q128" s="190"/>
      <c r="R128" s="190"/>
      <c r="S128" s="190"/>
      <c r="T128" s="190"/>
      <c r="U128" s="190"/>
      <c r="V128" s="190"/>
      <c r="W128" s="190"/>
      <c r="X128"/>
      <c r="Y128"/>
    </row>
    <row r="129" spans="1: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190"/>
      <c r="P129" s="190"/>
      <c r="Q129" s="190"/>
      <c r="R129" s="190"/>
      <c r="S129" s="190"/>
      <c r="T129" s="190"/>
      <c r="U129" s="190"/>
      <c r="V129" s="190"/>
      <c r="W129" s="190"/>
      <c r="X129"/>
      <c r="Y129"/>
    </row>
    <row r="130" spans="1: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190"/>
      <c r="P130" s="190"/>
      <c r="Q130" s="190"/>
      <c r="R130" s="190"/>
      <c r="S130" s="190"/>
      <c r="T130" s="190"/>
      <c r="U130" s="190"/>
      <c r="V130" s="190"/>
      <c r="W130" s="190"/>
      <c r="X130"/>
      <c r="Y130"/>
    </row>
    <row r="131" spans="1: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190"/>
      <c r="P131" s="190"/>
      <c r="Q131" s="190"/>
      <c r="R131" s="190"/>
      <c r="S131" s="190"/>
      <c r="T131" s="190"/>
      <c r="U131" s="190"/>
      <c r="V131" s="190"/>
      <c r="W131" s="190"/>
      <c r="X131"/>
      <c r="Y131"/>
    </row>
    <row r="132" spans="1: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190"/>
      <c r="P132" s="190"/>
      <c r="Q132" s="190"/>
      <c r="R132" s="190"/>
      <c r="S132" s="190"/>
      <c r="T132" s="190"/>
      <c r="U132" s="190"/>
      <c r="V132" s="190"/>
      <c r="W132" s="190"/>
      <c r="X132"/>
      <c r="Y132"/>
    </row>
    <row r="133" spans="1: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190"/>
      <c r="P133" s="190"/>
      <c r="Q133" s="190"/>
      <c r="R133" s="190"/>
      <c r="S133" s="190"/>
      <c r="T133" s="190"/>
      <c r="U133" s="190"/>
      <c r="V133" s="190"/>
      <c r="W133" s="190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190"/>
      <c r="P134" s="190"/>
      <c r="Q134" s="190"/>
      <c r="R134" s="190"/>
      <c r="S134" s="190"/>
      <c r="T134" s="190"/>
      <c r="U134" s="190"/>
      <c r="V134" s="190"/>
      <c r="W134" s="190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190"/>
      <c r="P135" s="190"/>
      <c r="Q135" s="190"/>
      <c r="R135" s="190"/>
      <c r="S135" s="190"/>
      <c r="T135" s="190"/>
      <c r="U135" s="190"/>
      <c r="V135" s="190"/>
      <c r="W135" s="190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190"/>
      <c r="P136" s="190"/>
      <c r="Q136" s="190"/>
      <c r="R136" s="190"/>
      <c r="S136" s="190"/>
      <c r="T136" s="190"/>
      <c r="U136" s="190"/>
      <c r="V136" s="190"/>
      <c r="W136" s="190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190"/>
      <c r="P137" s="190"/>
      <c r="Q137" s="190"/>
      <c r="R137" s="190"/>
      <c r="S137" s="190"/>
      <c r="T137" s="190"/>
      <c r="U137" s="190"/>
      <c r="V137" s="190"/>
      <c r="W137" s="190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190"/>
      <c r="P138" s="190"/>
      <c r="Q138" s="190"/>
      <c r="R138" s="190"/>
      <c r="S138" s="190"/>
      <c r="T138" s="190"/>
      <c r="U138" s="190"/>
      <c r="V138" s="190"/>
      <c r="W138" s="190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190"/>
      <c r="P139" s="190"/>
      <c r="Q139" s="190"/>
      <c r="R139" s="190"/>
      <c r="S139" s="190"/>
      <c r="T139" s="190"/>
      <c r="U139" s="190"/>
      <c r="V139" s="190"/>
      <c r="W139" s="190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190"/>
      <c r="P140" s="190"/>
      <c r="Q140" s="190"/>
      <c r="R140" s="190"/>
      <c r="S140" s="190"/>
      <c r="T140" s="190"/>
      <c r="U140" s="190"/>
      <c r="V140" s="190"/>
      <c r="W140" s="19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190"/>
      <c r="P141" s="190"/>
      <c r="Q141" s="190"/>
      <c r="R141" s="190"/>
      <c r="S141" s="190"/>
      <c r="T141" s="190"/>
      <c r="U141" s="190"/>
      <c r="V141" s="190"/>
      <c r="W141" s="190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190"/>
      <c r="P142" s="190"/>
      <c r="Q142" s="190"/>
      <c r="R142" s="190"/>
      <c r="S142" s="190"/>
      <c r="T142" s="190"/>
      <c r="U142" s="190"/>
      <c r="V142" s="190"/>
      <c r="W142" s="190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190"/>
      <c r="P143" s="190"/>
      <c r="Q143" s="190"/>
      <c r="R143" s="190"/>
      <c r="S143" s="190"/>
      <c r="T143" s="190"/>
      <c r="U143" s="190"/>
      <c r="V143" s="190"/>
      <c r="W143" s="190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190"/>
      <c r="P144" s="190"/>
      <c r="Q144" s="190"/>
      <c r="R144" s="190"/>
      <c r="S144" s="190"/>
      <c r="T144" s="190"/>
      <c r="U144" s="190"/>
      <c r="V144" s="190"/>
      <c r="W144" s="190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190"/>
      <c r="P145" s="190"/>
      <c r="Q145" s="190"/>
      <c r="R145" s="190"/>
      <c r="S145" s="190"/>
      <c r="T145" s="190"/>
      <c r="U145" s="190"/>
      <c r="V145" s="190"/>
      <c r="W145" s="190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190"/>
      <c r="P146" s="190"/>
      <c r="Q146" s="190"/>
      <c r="R146" s="190"/>
      <c r="S146" s="190"/>
      <c r="T146" s="190"/>
      <c r="U146" s="190"/>
      <c r="V146" s="190"/>
      <c r="W146" s="190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190"/>
      <c r="P147" s="190"/>
      <c r="Q147" s="190"/>
      <c r="R147" s="190"/>
      <c r="S147" s="190"/>
      <c r="T147" s="190"/>
      <c r="U147" s="190"/>
      <c r="V147" s="190"/>
      <c r="W147" s="190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190"/>
      <c r="P148" s="190"/>
      <c r="Q148" s="190"/>
      <c r="R148" s="190"/>
      <c r="S148" s="190"/>
      <c r="T148" s="190"/>
      <c r="U148" s="190"/>
      <c r="V148" s="190"/>
      <c r="W148" s="190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190"/>
      <c r="P149" s="190"/>
      <c r="Q149" s="190"/>
      <c r="R149" s="190"/>
      <c r="S149" s="190"/>
      <c r="T149" s="190"/>
      <c r="U149" s="190"/>
      <c r="V149" s="190"/>
      <c r="W149" s="190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190"/>
      <c r="P150" s="190"/>
      <c r="Q150" s="190"/>
      <c r="R150" s="190"/>
      <c r="S150" s="190"/>
      <c r="T150" s="190"/>
      <c r="U150" s="190"/>
      <c r="V150" s="190"/>
      <c r="W150" s="190"/>
      <c r="X150"/>
      <c r="Y150"/>
    </row>
  </sheetData>
  <mergeCells count="23">
    <mergeCell ref="E15:F15"/>
    <mergeCell ref="H15:J16"/>
    <mergeCell ref="B16:C16"/>
    <mergeCell ref="E16:F16"/>
    <mergeCell ref="E23:F24"/>
    <mergeCell ref="G23:G24"/>
    <mergeCell ref="E17:G17"/>
    <mergeCell ref="F18:G18"/>
    <mergeCell ref="B19:C19"/>
    <mergeCell ref="F19:G19"/>
    <mergeCell ref="E21:F22"/>
    <mergeCell ref="G21:G22"/>
    <mergeCell ref="E11:F12"/>
    <mergeCell ref="G11:G12"/>
    <mergeCell ref="B13:C13"/>
    <mergeCell ref="E14:G14"/>
    <mergeCell ref="H14:J14"/>
    <mergeCell ref="B1:G2"/>
    <mergeCell ref="B4:C4"/>
    <mergeCell ref="E4:F4"/>
    <mergeCell ref="E6:G7"/>
    <mergeCell ref="B10:C10"/>
    <mergeCell ref="E10:F10"/>
  </mergeCells>
  <conditionalFormatting sqref="E15:E16 G15:G16">
    <cfRule type="expression" dxfId="101" priority="1">
      <formula>$G$16&gt;$G$15</formula>
    </cfRule>
    <cfRule type="expression" dxfId="100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Drop Down 3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relfinal31">
                <anchor moveWithCells="1" sizeWithCells="1">
                  <from>
                    <xdr:col>7</xdr:col>
                    <xdr:colOff>381000</xdr:colOff>
                    <xdr:row>21</xdr:row>
                    <xdr:rowOff>133350</xdr:rowOff>
                  </from>
                  <to>
                    <xdr:col>9</xdr:col>
                    <xdr:colOff>571500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5" name="Button 5">
              <controlPr defaultSize="0" print="0" autoFill="0" autoPict="0" macro="[0]!voltar31">
                <anchor moveWithCells="1" sizeWithCells="1">
                  <from>
                    <xdr:col>7</xdr:col>
                    <xdr:colOff>390525</xdr:colOff>
                    <xdr:row>18</xdr:row>
                    <xdr:rowOff>133350</xdr:rowOff>
                  </from>
                  <to>
                    <xdr:col>9</xdr:col>
                    <xdr:colOff>581025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U31"/>
  <sheetViews>
    <sheetView showGridLines="0" showRowColHeaders="0" topLeftCell="A21" zoomScale="85" zoomScaleNormal="85" workbookViewId="0"/>
  </sheetViews>
  <sheetFormatPr defaultRowHeight="15" x14ac:dyDescent="0.25"/>
  <cols>
    <col min="1" max="1" width="2.5703125" customWidth="1"/>
    <col min="6" max="6" width="13.28515625" customWidth="1"/>
    <col min="7" max="7" width="14.5703125" customWidth="1"/>
    <col min="8" max="8" width="10.28515625" customWidth="1"/>
    <col min="9" max="9" width="1.5703125" customWidth="1"/>
    <col min="10" max="10" width="9.5703125" customWidth="1"/>
    <col min="14" max="14" width="7.140625" customWidth="1"/>
    <col min="15" max="15" width="6.7109375" customWidth="1"/>
    <col min="16" max="16" width="9.7109375" customWidth="1"/>
    <col min="17" max="17" width="4.85546875" customWidth="1"/>
    <col min="18" max="18" width="4.5703125" customWidth="1"/>
    <col min="19" max="19" width="32.5703125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13" t="s">
        <v>184</v>
      </c>
      <c r="T4" s="117" t="str">
        <f>'3 Estacas1'!$M$15</f>
        <v>Estaca E3</v>
      </c>
      <c r="U4" s="182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'3 Estacas1'!$O$15</f>
        <v>508.69565217391306</v>
      </c>
      <c r="U5" s="182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'3 Estacas1'!$S$8</f>
        <v>9642.8571428571449</v>
      </c>
      <c r="U6" s="182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'3 Estacas1'!$S$7</f>
        <v>35261.839154595262</v>
      </c>
      <c r="U7" s="182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'3 Estacas1'!$S$9</f>
        <v>11720.347826086956</v>
      </c>
      <c r="U8" s="182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'3 Estacas1'!$S$10</f>
        <v>15178.571428571429</v>
      </c>
      <c r="U9" s="182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'3 Estacas1'!$S$11</f>
        <v>5277.9282503300874</v>
      </c>
      <c r="U10" s="184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'3 Estacas1'!$S$12</f>
        <v>2564.9639200150441</v>
      </c>
      <c r="U11" s="182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'3 Estacas1'!$S$13</f>
        <v>732.52173913043475</v>
      </c>
      <c r="U12" s="182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'3 Estacas1'!$S$5</f>
        <v>0.6</v>
      </c>
      <c r="U13" s="182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'3 Estacas1'!$S$6</f>
        <v>0.7</v>
      </c>
      <c r="U14" s="182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'3 Estacas1'!$N$6</f>
        <v>26.5</v>
      </c>
      <c r="U15" s="182"/>
    </row>
    <row r="16" spans="2:21" ht="18" x14ac:dyDescent="0.35">
      <c r="B16" s="41"/>
      <c r="C16" s="34"/>
      <c r="D16" s="34"/>
      <c r="E16" s="34"/>
      <c r="F16" s="34"/>
      <c r="G16" s="34"/>
      <c r="H16" s="34"/>
      <c r="I16" s="558" t="s">
        <v>165</v>
      </c>
      <c r="J16" s="558"/>
      <c r="K16" s="558"/>
      <c r="L16" s="558"/>
      <c r="M16" s="558"/>
      <c r="N16" s="558"/>
      <c r="O16" s="558"/>
      <c r="P16" s="558"/>
      <c r="Q16" s="558"/>
      <c r="R16" s="34"/>
      <c r="S16" s="114" t="s">
        <v>198</v>
      </c>
      <c r="T16" s="118">
        <f>'3 Estacas1'!$N$7</f>
        <v>57.5</v>
      </c>
      <c r="U16" s="182"/>
    </row>
    <row r="17" spans="2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114" t="s">
        <v>186</v>
      </c>
      <c r="T17" s="118">
        <f>Entradas2!C22</f>
        <v>23</v>
      </c>
      <c r="U17" s="182"/>
    </row>
    <row r="18" spans="2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145" t="str">
        <f>CONCATENATE(IF(T21=20,2*T21/10,0)," cm")</f>
        <v>0 cm</v>
      </c>
      <c r="L18" s="34"/>
      <c r="M18" s="34"/>
      <c r="N18" s="34"/>
      <c r="O18" s="145" t="str">
        <f>CONCATENATE(IF(T21=20,2*T21/10,0)," cm")</f>
        <v>0 cm</v>
      </c>
      <c r="P18" s="34"/>
      <c r="Q18" s="34"/>
      <c r="R18" s="34"/>
      <c r="S18" s="114" t="s">
        <v>158</v>
      </c>
      <c r="T18" s="118">
        <f>Entradas2!C13</f>
        <v>25</v>
      </c>
      <c r="U18" s="182"/>
    </row>
    <row r="19" spans="2:2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((2*T15+2*T16)/100)*((2*T15)/100)*(T14/100)*1.05</f>
        <v>6.5444399999999995E-3</v>
      </c>
      <c r="U19" s="182"/>
    </row>
    <row r="20" spans="2:21" x14ac:dyDescent="0.25">
      <c r="B20" s="41"/>
      <c r="C20" s="34"/>
      <c r="D20" s="34"/>
      <c r="E20" s="34"/>
      <c r="F20" s="34"/>
      <c r="G20" s="34"/>
      <c r="H20" s="34"/>
      <c r="I20" s="112"/>
      <c r="J20" s="560" t="str">
        <f>CONCATENATE(IF(T21&lt;20,T21, "Dobra de 8Ф")," cm")</f>
        <v>10 cm</v>
      </c>
      <c r="K20" s="34"/>
      <c r="L20" s="34"/>
      <c r="M20" s="34"/>
      <c r="N20" s="34"/>
      <c r="O20" s="34"/>
      <c r="P20" s="560" t="str">
        <f>CONCATENATE(IF(T21&lt;20,T21, "Dobra de 8Ф")," cm")</f>
        <v>10 cm</v>
      </c>
      <c r="Q20" s="145"/>
      <c r="R20" s="34"/>
      <c r="S20" s="114" t="s">
        <v>196</v>
      </c>
      <c r="T20" s="119" t="s">
        <v>197</v>
      </c>
      <c r="U20" s="185"/>
    </row>
    <row r="21" spans="2:2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145"/>
      <c r="R21" s="34"/>
      <c r="S21" s="114" t="s">
        <v>190</v>
      </c>
      <c r="T21" s="119">
        <f>'3 Est1 Arm'!E51</f>
        <v>10</v>
      </c>
      <c r="U21" s="182"/>
    </row>
    <row r="22" spans="2:21" x14ac:dyDescent="0.25">
      <c r="B22" s="41"/>
      <c r="C22" s="34"/>
      <c r="D22" s="34"/>
      <c r="E22" s="34"/>
      <c r="F22" s="34"/>
      <c r="G22" s="34"/>
      <c r="H22" s="112"/>
      <c r="I22" s="34"/>
      <c r="J22" s="34"/>
      <c r="K22" s="34"/>
      <c r="L22" s="563" t="str">
        <f>CONCATENATE(2*T16+2*T15-2*'2 Est Armadura'!C6-T23/10," cm")</f>
        <v>155 cm</v>
      </c>
      <c r="M22" s="563"/>
      <c r="N22" s="563"/>
      <c r="O22" s="34"/>
      <c r="P22" s="34"/>
      <c r="Q22" s="34"/>
      <c r="R22" s="34"/>
      <c r="S22" s="114" t="s">
        <v>206</v>
      </c>
      <c r="T22" s="119">
        <f>'3 Est1 Arm'!G11</f>
        <v>2.2800000000000002</v>
      </c>
      <c r="U22" s="182"/>
    </row>
    <row r="23" spans="2:21" ht="18.75" thickBot="1" x14ac:dyDescent="0.4">
      <c r="B23" s="41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127" t="s">
        <v>207</v>
      </c>
      <c r="T23" s="128">
        <f>'3 Est1 Arm'!G21</f>
        <v>50</v>
      </c>
      <c r="U23" s="182"/>
    </row>
    <row r="24" spans="2:21" x14ac:dyDescent="0.25">
      <c r="B24" s="41"/>
      <c r="C24" s="34"/>
      <c r="D24" s="34"/>
      <c r="E24" s="34"/>
      <c r="F24" s="34"/>
      <c r="G24" s="34"/>
      <c r="H24" s="34"/>
      <c r="I24" s="34"/>
      <c r="J24" s="34"/>
      <c r="K24" s="559" t="str">
        <f>CONCATENATE('3 Est1 Arm'!G10," Ф ",T21," mm"," c/ ",'3 Est1 Arm'!G23," cm.")</f>
        <v>22 Ф 10 mm c/ 183 cm.</v>
      </c>
      <c r="L24" s="559"/>
      <c r="M24" s="559"/>
      <c r="N24" s="559"/>
      <c r="O24" s="559"/>
      <c r="P24" s="34"/>
      <c r="Q24" s="186"/>
      <c r="R24" s="34"/>
      <c r="S24" s="34"/>
      <c r="T24" s="42"/>
    </row>
    <row r="25" spans="2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42"/>
    </row>
    <row r="26" spans="2:21" ht="15.75" thickBot="1" x14ac:dyDescent="0.3">
      <c r="B26" s="41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42"/>
    </row>
    <row r="27" spans="2:21" ht="15.75" thickBot="1" x14ac:dyDescent="0.3">
      <c r="B27" s="41"/>
      <c r="C27" s="34"/>
      <c r="D27" s="34"/>
      <c r="E27" s="34"/>
      <c r="F27" s="34"/>
      <c r="G27" s="34"/>
      <c r="H27" s="34"/>
      <c r="I27" s="566" t="s">
        <v>195</v>
      </c>
      <c r="J27" s="567"/>
      <c r="K27" s="567"/>
      <c r="L27" s="567"/>
      <c r="M27" s="567"/>
      <c r="N27" s="567"/>
      <c r="O27" s="567"/>
      <c r="P27" s="567"/>
      <c r="Q27" s="568"/>
      <c r="R27" s="34"/>
      <c r="S27" s="34"/>
      <c r="T27" s="42"/>
    </row>
    <row r="28" spans="2:21" ht="18" x14ac:dyDescent="0.35">
      <c r="B28" s="41"/>
      <c r="C28" s="34"/>
      <c r="D28" s="34"/>
      <c r="E28" s="34"/>
      <c r="F28" s="34"/>
      <c r="G28" s="34"/>
      <c r="H28" s="34"/>
      <c r="I28" s="569" t="s">
        <v>194</v>
      </c>
      <c r="J28" s="570"/>
      <c r="K28" s="570" t="s">
        <v>193</v>
      </c>
      <c r="L28" s="570"/>
      <c r="M28" s="570" t="s">
        <v>192</v>
      </c>
      <c r="N28" s="570"/>
      <c r="O28" s="570" t="s">
        <v>191</v>
      </c>
      <c r="P28" s="570"/>
      <c r="Q28" s="571"/>
      <c r="R28" s="34"/>
      <c r="S28" s="34"/>
      <c r="T28" s="42"/>
    </row>
    <row r="29" spans="2:21" ht="15.75" thickBot="1" x14ac:dyDescent="0.3">
      <c r="B29" s="41"/>
      <c r="C29" s="34"/>
      <c r="D29" s="34"/>
      <c r="E29" s="34"/>
      <c r="F29" s="34"/>
      <c r="G29" s="34"/>
      <c r="H29" s="34"/>
      <c r="I29" s="573">
        <f>T21</f>
        <v>10</v>
      </c>
      <c r="J29" s="486"/>
      <c r="K29" s="486">
        <f>('3 Est1 Arm'!G23/100)*'3 Est1 Arm'!G10</f>
        <v>40.260000000000005</v>
      </c>
      <c r="L29" s="486"/>
      <c r="M29" s="486">
        <f>IF(T21=6.3,0.245,IF(T21=8,0.395,IF(T21=10,0.617,IF(T21=12.5,0.963,IF(T21=16,1.578,IF(T21=20,2.466))))))</f>
        <v>0.61699999999999999</v>
      </c>
      <c r="N29" s="486"/>
      <c r="O29" s="564">
        <f>(M29*K29)*1.1</f>
        <v>27.324462000000004</v>
      </c>
      <c r="P29" s="564"/>
      <c r="Q29" s="565"/>
      <c r="R29" s="34"/>
      <c r="S29" s="34"/>
      <c r="T29" s="42"/>
    </row>
    <row r="30" spans="2:21" x14ac:dyDescent="0.25">
      <c r="B30" s="41"/>
      <c r="C30" s="34"/>
      <c r="D30" s="34"/>
      <c r="E30" s="558" t="s">
        <v>166</v>
      </c>
      <c r="F30" s="558"/>
      <c r="G30" s="34"/>
      <c r="H30" s="34"/>
      <c r="I30" s="34"/>
      <c r="J30" s="34"/>
      <c r="K30" s="186"/>
      <c r="L30" s="186"/>
      <c r="M30" s="34"/>
      <c r="N30" s="34"/>
      <c r="O30" s="34"/>
      <c r="P30" s="34"/>
      <c r="Q30" s="34"/>
      <c r="R30" s="34"/>
      <c r="S30" s="34"/>
      <c r="T30" s="42"/>
    </row>
    <row r="31" spans="2:21" ht="15.75" thickBot="1" x14ac:dyDescent="0.3">
      <c r="B31" s="163"/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5"/>
    </row>
  </sheetData>
  <mergeCells count="16">
    <mergeCell ref="B1:T2"/>
    <mergeCell ref="J20:J21"/>
    <mergeCell ref="P20:P21"/>
    <mergeCell ref="L22:N22"/>
    <mergeCell ref="E30:F30"/>
    <mergeCell ref="I16:Q16"/>
    <mergeCell ref="I29:J29"/>
    <mergeCell ref="K29:L29"/>
    <mergeCell ref="M29:N29"/>
    <mergeCell ref="O29:Q29"/>
    <mergeCell ref="K24:O24"/>
    <mergeCell ref="I27:Q27"/>
    <mergeCell ref="I28:J28"/>
    <mergeCell ref="K28:L28"/>
    <mergeCell ref="M28:N28"/>
    <mergeCell ref="O28:Q28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38915" r:id="rId3">
          <objectPr defaultSize="0" autoPict="0" r:id="rId4">
            <anchor moveWithCells="1">
              <from>
                <xdr:col>8</xdr:col>
                <xdr:colOff>19050</xdr:colOff>
                <xdr:row>16</xdr:row>
                <xdr:rowOff>9525</xdr:rowOff>
              </from>
              <to>
                <xdr:col>16</xdr:col>
                <xdr:colOff>9525</xdr:colOff>
                <xdr:row>24</xdr:row>
                <xdr:rowOff>104775</xdr:rowOff>
              </to>
            </anchor>
          </objectPr>
        </oleObject>
      </mc:Choice>
      <mc:Fallback>
        <oleObject progId="AutoCAD.Drawing.18" shapeId="38915" r:id="rId3"/>
      </mc:Fallback>
    </mc:AlternateContent>
    <mc:AlternateContent xmlns:mc="http://schemas.openxmlformats.org/markup-compatibility/2006">
      <mc:Choice Requires="x14">
        <oleObject progId="AutoCAD.Drawing.18" shapeId="38917" r:id="rId5">
          <objectPr defaultSize="0" autoPict="0" r:id="rId6">
            <anchor moveWithCells="1">
              <from>
                <xdr:col>1</xdr:col>
                <xdr:colOff>19050</xdr:colOff>
                <xdr:row>3</xdr:row>
                <xdr:rowOff>19050</xdr:rowOff>
              </from>
              <to>
                <xdr:col>7</xdr:col>
                <xdr:colOff>504825</xdr:colOff>
                <xdr:row>15</xdr:row>
                <xdr:rowOff>66675</xdr:rowOff>
              </to>
            </anchor>
          </objectPr>
        </oleObject>
      </mc:Choice>
      <mc:Fallback>
        <oleObject progId="AutoCAD.Drawing.18" shapeId="38917" r:id="rId5"/>
      </mc:Fallback>
    </mc:AlternateContent>
    <mc:AlternateContent xmlns:mc="http://schemas.openxmlformats.org/markup-compatibility/2006">
      <mc:Choice Requires="x14">
        <oleObject progId="AutoCAD.Drawing.18" shapeId="38918" r:id="rId7">
          <objectPr defaultSize="0" autoPict="0" r:id="rId8">
            <anchor moveWithCells="1">
              <from>
                <xdr:col>8</xdr:col>
                <xdr:colOff>19050</xdr:colOff>
                <xdr:row>3</xdr:row>
                <xdr:rowOff>9525</xdr:rowOff>
              </from>
              <to>
                <xdr:col>16</xdr:col>
                <xdr:colOff>9525</xdr:colOff>
                <xdr:row>15</xdr:row>
                <xdr:rowOff>66675</xdr:rowOff>
              </to>
            </anchor>
          </objectPr>
        </oleObject>
      </mc:Choice>
      <mc:Fallback>
        <oleObject progId="AutoCAD.Drawing.18" shapeId="38918" r:id="rId7"/>
      </mc:Fallback>
    </mc:AlternateContent>
    <mc:AlternateContent xmlns:mc="http://schemas.openxmlformats.org/markup-compatibility/2006">
      <mc:Choice Requires="x14">
        <oleObject progId="AutoCAD.Drawing.18" shapeId="38919" r:id="rId9">
          <objectPr defaultSize="0" autoPict="0" r:id="rId10">
            <anchor moveWithCells="1">
              <from>
                <xdr:col>4</xdr:col>
                <xdr:colOff>19050</xdr:colOff>
                <xdr:row>16</xdr:row>
                <xdr:rowOff>9525</xdr:rowOff>
              </from>
              <to>
                <xdr:col>6</xdr:col>
                <xdr:colOff>0</xdr:colOff>
                <xdr:row>28</xdr:row>
                <xdr:rowOff>180975</xdr:rowOff>
              </to>
            </anchor>
          </objectPr>
        </oleObject>
      </mc:Choice>
      <mc:Fallback>
        <oleObject progId="AutoCAD.Drawing.18" shapeId="38919" r:id="rId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6" r:id="rId11" name="Button 4">
              <controlPr defaultSize="0" print="0" autoFill="0" autoPict="0" macro="[0]!inicio">
                <anchor moveWithCells="1" sizeWithCells="1">
                  <from>
                    <xdr:col>18</xdr:col>
                    <xdr:colOff>257175</xdr:colOff>
                    <xdr:row>27</xdr:row>
                    <xdr:rowOff>9525</xdr:rowOff>
                  </from>
                  <to>
                    <xdr:col>19</xdr:col>
                    <xdr:colOff>266700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AG39"/>
  <sheetViews>
    <sheetView showGridLines="0" showRowColHeaders="0" zoomScale="85" zoomScaleNormal="85" workbookViewId="0"/>
  </sheetViews>
  <sheetFormatPr defaultRowHeight="15" x14ac:dyDescent="0.25"/>
  <cols>
    <col min="9" max="9" width="11.7109375" bestFit="1" customWidth="1"/>
    <col min="10" max="10" width="10.7109375" bestFit="1" customWidth="1"/>
    <col min="14" max="14" width="21.42578125" bestFit="1" customWidth="1"/>
    <col min="15" max="15" width="9.5703125" bestFit="1" customWidth="1"/>
    <col min="16" max="16" width="19.7109375" bestFit="1" customWidth="1"/>
    <col min="17" max="17" width="12.5703125" bestFit="1" customWidth="1"/>
    <col min="26" max="26" width="9.140625" style="350"/>
    <col min="27" max="27" width="21.42578125" style="350" bestFit="1" customWidth="1"/>
    <col min="28" max="29" width="9.140625" style="350"/>
    <col min="30" max="30" width="12.5703125" style="350" bestFit="1" customWidth="1"/>
    <col min="31" max="33" width="9.140625" style="350"/>
  </cols>
  <sheetData>
    <row r="1" spans="2:31" ht="15.75" thickBot="1" x14ac:dyDescent="0.3"/>
    <row r="2" spans="2:31" x14ac:dyDescent="0.25">
      <c r="B2" s="20"/>
      <c r="C2" s="92"/>
      <c r="D2" s="92"/>
      <c r="E2" s="92"/>
      <c r="F2" s="92"/>
      <c r="G2" s="21"/>
      <c r="N2" s="461" t="s">
        <v>170</v>
      </c>
      <c r="O2" s="462"/>
      <c r="P2" s="24"/>
    </row>
    <row r="3" spans="2:31" ht="15.75" thickBot="1" x14ac:dyDescent="0.3">
      <c r="B3" s="41"/>
      <c r="C3" s="34"/>
      <c r="D3" s="34"/>
      <c r="E3" s="34"/>
      <c r="F3" s="34"/>
      <c r="G3" s="42"/>
      <c r="N3" s="463"/>
      <c r="O3" s="464"/>
      <c r="P3" s="24"/>
      <c r="AA3" s="350" t="s">
        <v>60</v>
      </c>
      <c r="AB3" s="350">
        <f>Blocos!L1</f>
        <v>2</v>
      </c>
    </row>
    <row r="4" spans="2:31" ht="15.75" thickBot="1" x14ac:dyDescent="0.3">
      <c r="B4" s="41"/>
      <c r="C4" s="34"/>
      <c r="D4" s="34"/>
      <c r="E4" s="34"/>
      <c r="F4" s="34"/>
      <c r="G4" s="42"/>
      <c r="J4" s="64" t="s">
        <v>77</v>
      </c>
      <c r="K4" s="83" t="s">
        <v>78</v>
      </c>
      <c r="L4" s="65" t="s">
        <v>80</v>
      </c>
      <c r="N4" s="24"/>
      <c r="O4" s="24"/>
      <c r="P4" s="24"/>
      <c r="AA4" s="351" t="s">
        <v>86</v>
      </c>
      <c r="AB4" s="350">
        <f>Entradas2!C12</f>
        <v>45</v>
      </c>
      <c r="AD4" s="351" t="s">
        <v>108</v>
      </c>
      <c r="AE4" s="350">
        <f>Entradas2!C9*AC6/100</f>
        <v>0</v>
      </c>
    </row>
    <row r="5" spans="2:31" x14ac:dyDescent="0.25">
      <c r="B5" s="41"/>
      <c r="C5" s="34"/>
      <c r="D5" s="34"/>
      <c r="E5" s="34"/>
      <c r="F5" s="34"/>
      <c r="G5" s="42"/>
      <c r="I5" s="72" t="s">
        <v>73</v>
      </c>
      <c r="J5" s="79">
        <f>Entradas2!C22</f>
        <v>23</v>
      </c>
      <c r="K5" s="61">
        <f>Entradas2!C22</f>
        <v>23</v>
      </c>
      <c r="L5" s="60">
        <f>Entradas2!C22</f>
        <v>23</v>
      </c>
      <c r="N5" s="146" t="s">
        <v>172</v>
      </c>
      <c r="O5" s="147">
        <f>AC6/100</f>
        <v>0.45</v>
      </c>
      <c r="P5" s="579" t="s">
        <v>210</v>
      </c>
      <c r="AA5" s="351" t="s">
        <v>102</v>
      </c>
      <c r="AB5" s="350">
        <v>41.25</v>
      </c>
      <c r="AD5" s="351" t="s">
        <v>109</v>
      </c>
      <c r="AE5" s="350">
        <f>Entradas2!C8*AC6/100</f>
        <v>0</v>
      </c>
    </row>
    <row r="6" spans="2:31" ht="15.75" thickBot="1" x14ac:dyDescent="0.3">
      <c r="B6" s="41"/>
      <c r="C6" s="34"/>
      <c r="D6" s="34"/>
      <c r="E6" s="34"/>
      <c r="F6" s="34"/>
      <c r="G6" s="42"/>
      <c r="I6" s="73" t="s">
        <v>69</v>
      </c>
      <c r="J6" s="80">
        <f>Entradas2!C22/2+15</f>
        <v>26.5</v>
      </c>
      <c r="K6" s="49">
        <f>Entradas2!C22/2+15</f>
        <v>26.5</v>
      </c>
      <c r="L6" s="51">
        <f>Entradas2!C22/2+15</f>
        <v>26.5</v>
      </c>
      <c r="N6" s="148" t="s">
        <v>173</v>
      </c>
      <c r="O6" s="149">
        <f>AB7/100</f>
        <v>0.55000000000000004</v>
      </c>
      <c r="P6" s="580"/>
      <c r="AA6" s="351" t="s">
        <v>103</v>
      </c>
      <c r="AB6" s="350">
        <f>AB5*(TAN(RADIANS(AB4)))</f>
        <v>41.249999999999993</v>
      </c>
      <c r="AC6" s="350">
        <f>CEILING(AB6,5)</f>
        <v>45</v>
      </c>
    </row>
    <row r="7" spans="2:31" ht="18" x14ac:dyDescent="0.25">
      <c r="B7" s="41"/>
      <c r="C7" s="34"/>
      <c r="D7" s="34"/>
      <c r="E7" s="34"/>
      <c r="F7" s="34"/>
      <c r="G7" s="42"/>
      <c r="I7" s="73" t="s">
        <v>79</v>
      </c>
      <c r="J7" s="80">
        <f>Entradas2!C22*Entradas2!L21</f>
        <v>57.5</v>
      </c>
      <c r="K7" s="49">
        <f>Entradas2!C22*Entradas2!L21</f>
        <v>57.5</v>
      </c>
      <c r="L7" s="51">
        <f>Entradas2!C22*Entradas2!L21</f>
        <v>57.5</v>
      </c>
      <c r="N7" s="146" t="s">
        <v>174</v>
      </c>
      <c r="O7" s="147">
        <f>AB17</f>
        <v>36560.620416315753</v>
      </c>
      <c r="P7" s="586" t="str">
        <f>IF(O7&gt;O8,"Opção: Aumentar o fck do Concreto","Verificação Atendida")</f>
        <v>Opção: Aumentar o fck do Concreto</v>
      </c>
      <c r="AA7" s="351" t="s">
        <v>104</v>
      </c>
      <c r="AB7" s="350">
        <f>AC6+10</f>
        <v>55</v>
      </c>
    </row>
    <row r="8" spans="2:31" ht="18.75" thickBot="1" x14ac:dyDescent="0.3">
      <c r="B8" s="41"/>
      <c r="C8" s="34"/>
      <c r="D8" s="34"/>
      <c r="E8" s="34"/>
      <c r="F8" s="34"/>
      <c r="G8" s="42"/>
      <c r="I8" s="73" t="s">
        <v>98</v>
      </c>
      <c r="J8" s="80">
        <v>0</v>
      </c>
      <c r="K8" s="49">
        <f>-(K7/2)/100</f>
        <v>-0.28749999999999998</v>
      </c>
      <c r="L8" s="51">
        <f>(L7/2)/100</f>
        <v>0.28749999999999998</v>
      </c>
      <c r="N8" s="150" t="s">
        <v>212</v>
      </c>
      <c r="O8" s="151">
        <f>AB14</f>
        <v>9642.8571428571449</v>
      </c>
      <c r="P8" s="587"/>
      <c r="AA8" s="351" t="s">
        <v>87</v>
      </c>
      <c r="AB8" s="350">
        <f>(PI()*(J5^2)/4)/10000</f>
        <v>4.154756284372501E-2</v>
      </c>
    </row>
    <row r="9" spans="2:31" ht="18" x14ac:dyDescent="0.25">
      <c r="B9" s="41"/>
      <c r="C9" s="34"/>
      <c r="D9" s="34"/>
      <c r="E9" s="34"/>
      <c r="F9" s="34"/>
      <c r="G9" s="42"/>
      <c r="I9" s="73" t="s">
        <v>101</v>
      </c>
      <c r="J9" s="80">
        <f>(SIN(60*PI()/180)*J7*2/3)/100</f>
        <v>0.33197640478403478</v>
      </c>
      <c r="K9" s="49">
        <f>-(SIN(RADIANS(60))*K7*1/3)/100</f>
        <v>-0.16598820239201739</v>
      </c>
      <c r="L9" s="51">
        <f>-(SIN(RADIANS(60))*K7*1/3)/100</f>
        <v>-0.16598820239201739</v>
      </c>
      <c r="N9" s="146" t="s">
        <v>175</v>
      </c>
      <c r="O9" s="147">
        <f>AB23</f>
        <v>12152.037394819636</v>
      </c>
      <c r="P9" s="586" t="str">
        <f>IF(O9&gt;O10,"Opção: Aumentar a Sessão do Pilar","Verificação Atendida")</f>
        <v>Verificação Atendida</v>
      </c>
      <c r="AA9" s="351" t="s">
        <v>88</v>
      </c>
      <c r="AB9" s="350">
        <f>AB8*SIN(RADIANS(AB4))</f>
        <v>2.9378563428572192E-2</v>
      </c>
    </row>
    <row r="10" spans="2:31" ht="18.75" thickBot="1" x14ac:dyDescent="0.3">
      <c r="B10" s="41"/>
      <c r="C10" s="34"/>
      <c r="D10" s="34"/>
      <c r="E10" s="34"/>
      <c r="F10" s="34"/>
      <c r="G10" s="42"/>
      <c r="I10" s="73" t="s">
        <v>72</v>
      </c>
      <c r="J10" s="80">
        <f>SUMSQ(J8:L8)</f>
        <v>0.16531249999999997</v>
      </c>
      <c r="K10" s="49">
        <f>SUMSQ(J8:L8)</f>
        <v>0.16531249999999997</v>
      </c>
      <c r="L10" s="51">
        <f>SUMSQ(J8:L8)</f>
        <v>0.16531249999999997</v>
      </c>
      <c r="N10" s="150" t="s">
        <v>176</v>
      </c>
      <c r="O10" s="151">
        <f>AB28</f>
        <v>15178.571428571429</v>
      </c>
      <c r="P10" s="587"/>
    </row>
    <row r="11" spans="2:31" ht="18" x14ac:dyDescent="0.25">
      <c r="B11" s="41"/>
      <c r="C11" s="34"/>
      <c r="D11" s="34"/>
      <c r="E11" s="34"/>
      <c r="F11" s="34"/>
      <c r="G11" s="42"/>
      <c r="I11" s="73" t="s">
        <v>74</v>
      </c>
      <c r="J11" s="80">
        <f>SUMSQ(J9:L9)</f>
        <v>0.16531249999999997</v>
      </c>
      <c r="K11" s="49">
        <f>SUMSQ(J9:L9)</f>
        <v>0.16531249999999997</v>
      </c>
      <c r="L11" s="51">
        <f>SUMSQ(J9:L9)</f>
        <v>0.16531249999999997</v>
      </c>
      <c r="N11" s="152" t="s">
        <v>177</v>
      </c>
      <c r="O11" s="147">
        <f>AB32</f>
        <v>5472.3274784072382</v>
      </c>
      <c r="P11" s="586" t="str">
        <f>IF(O11&gt;O12,"Opção: Aumentar o Diâmetro da Estaca","Verificação Atendida")</f>
        <v>Opção: Aumentar o Diâmetro da Estaca</v>
      </c>
      <c r="AA11" s="352" t="s">
        <v>90</v>
      </c>
      <c r="AB11" s="350">
        <f>(K15)/(AB9*SIN(RADIANS(AB4)))</f>
        <v>25389.319733552609</v>
      </c>
      <c r="AD11" s="351" t="s">
        <v>113</v>
      </c>
      <c r="AE11" s="350">
        <f>K15/(SIN(RADIANS(AB4)))</f>
        <v>745.90174020047493</v>
      </c>
    </row>
    <row r="12" spans="2:31" ht="18.75" thickBot="1" x14ac:dyDescent="0.3">
      <c r="B12" s="41"/>
      <c r="C12" s="34"/>
      <c r="D12" s="34"/>
      <c r="E12" s="34"/>
      <c r="F12" s="34"/>
      <c r="G12" s="42"/>
      <c r="I12" s="158" t="s">
        <v>76</v>
      </c>
      <c r="J12" s="159">
        <f>(Entradas2!$C$5/Entradas2!$F$5)-('3 Estacas2'!$AE$4+Entradas2!$C$6)*ABS('3 Estacas2'!J9)/'3 Estacas2'!J11</f>
        <v>479.9182515064478</v>
      </c>
      <c r="K12" s="160">
        <f>(Entradas2!$C$5/Entradas2!$F$5)+('3 Estacas2'!$AE$4+Entradas2!$C$6)*ABS('3 Estacas2'!K9)/'3 Estacas2'!K11-($AE$5+Entradas2!$C$7)*ABS('3 Estacas2'!K8)/'3 Estacas2'!K10</f>
        <v>492.64956989895006</v>
      </c>
      <c r="L12" s="161">
        <f>(Entradas2!$C$5/Entradas2!$F$5)+('3 Estacas2'!$AE$4+Entradas2!$C$6)*ABS('3 Estacas2'!L9)/'3 Estacas2'!L11+($AE$5+Entradas2!$C$7)*ABS('3 Estacas2'!L8)/'3 Estacas2'!L10</f>
        <v>527.43217859460219</v>
      </c>
      <c r="N12" s="153" t="s">
        <v>178</v>
      </c>
      <c r="O12" s="151">
        <f>AB35</f>
        <v>2564.9639200150441</v>
      </c>
      <c r="P12" s="587"/>
      <c r="AD12" s="351" t="s">
        <v>114</v>
      </c>
      <c r="AE12" s="350">
        <f>AE11*Entradas2!C16*Entradas2!C19</f>
        <v>1074.0985058886838</v>
      </c>
    </row>
    <row r="13" spans="2:31" ht="18.75" thickBot="1" x14ac:dyDescent="0.3">
      <c r="B13" s="41"/>
      <c r="C13" s="34"/>
      <c r="D13" s="34"/>
      <c r="E13" s="34"/>
      <c r="F13" s="34"/>
      <c r="G13" s="42"/>
      <c r="N13" s="154" t="s">
        <v>179</v>
      </c>
      <c r="O13" s="155">
        <f>AB37</f>
        <v>759.50233717622723</v>
      </c>
      <c r="P13" s="24"/>
      <c r="AA13" s="352" t="s">
        <v>107</v>
      </c>
      <c r="AB13" s="350">
        <f>0.6*(1-Entradas2!C13/250)*AB26</f>
        <v>9.6428571428571441</v>
      </c>
    </row>
    <row r="14" spans="2:31" ht="15.75" thickBot="1" x14ac:dyDescent="0.3">
      <c r="B14" s="41"/>
      <c r="C14" s="34"/>
      <c r="D14" s="34"/>
      <c r="E14" s="34"/>
      <c r="F14" s="34"/>
      <c r="G14" s="42"/>
      <c r="I14" s="574" t="s">
        <v>219</v>
      </c>
      <c r="J14" s="575"/>
      <c r="K14" s="576"/>
      <c r="N14" s="24"/>
      <c r="O14" s="24"/>
      <c r="P14" s="24"/>
      <c r="AA14" s="352" t="s">
        <v>89</v>
      </c>
      <c r="AB14" s="350">
        <f>AB13*1000</f>
        <v>9642.8571428571449</v>
      </c>
    </row>
    <row r="15" spans="2:31" ht="15.75" thickBot="1" x14ac:dyDescent="0.3">
      <c r="B15" s="41"/>
      <c r="C15" s="34"/>
      <c r="D15" s="34"/>
      <c r="E15" s="34"/>
      <c r="F15" s="34"/>
      <c r="G15" s="42"/>
      <c r="I15" s="171" t="str">
        <f>IF((LARGE(J12:L12,1))=J12,"Estaca E1",IF((LARGE(J12:L12,1))=K12,"Estaca E2","Estaca E3"))</f>
        <v>Estaca E3</v>
      </c>
      <c r="J15" s="172" t="s">
        <v>75</v>
      </c>
      <c r="K15" s="173">
        <f>LARGE(J12:L12,1)</f>
        <v>527.43217859460219</v>
      </c>
      <c r="N15" s="502" t="s">
        <v>180</v>
      </c>
      <c r="O15" s="503"/>
      <c r="P15" s="504"/>
      <c r="AA15" s="351" t="s">
        <v>91</v>
      </c>
      <c r="AB15" s="350">
        <f>K15*Entradas2!C16*Entradas2!C19</f>
        <v>759.50233717622712</v>
      </c>
    </row>
    <row r="16" spans="2:31" x14ac:dyDescent="0.25">
      <c r="B16" s="41"/>
      <c r="C16" s="34"/>
      <c r="D16" s="34"/>
      <c r="E16" s="34"/>
      <c r="F16" s="34"/>
      <c r="G16" s="42"/>
      <c r="I16" s="169" t="s">
        <v>99</v>
      </c>
      <c r="J16" s="170">
        <f>IF($I$15=$J$4,J8,IF($I$15=$K$4,K8,IF($I$15=$L$4,L8)))</f>
        <v>0.28749999999999998</v>
      </c>
      <c r="N16" s="156"/>
      <c r="O16" s="584" t="s">
        <v>181</v>
      </c>
      <c r="P16" s="539"/>
      <c r="AD16" s="350" t="s">
        <v>122</v>
      </c>
      <c r="AE16" s="350">
        <f>SQRT((J9^2))</f>
        <v>0.33197640478403478</v>
      </c>
    </row>
    <row r="17" spans="2:31" ht="15.75" thickBot="1" x14ac:dyDescent="0.3">
      <c r="B17" s="41"/>
      <c r="C17" s="34"/>
      <c r="D17" s="34"/>
      <c r="E17" s="34"/>
      <c r="F17" s="34"/>
      <c r="G17" s="42"/>
      <c r="I17" s="109" t="s">
        <v>100</v>
      </c>
      <c r="J17" s="110">
        <f>IF($I$15=$J$4,J9,IF($I$15=$K$4,K9,IF($I$15=$L$4,L9)))</f>
        <v>-0.16598820239201739</v>
      </c>
      <c r="N17" s="157"/>
      <c r="O17" s="585" t="s">
        <v>182</v>
      </c>
      <c r="P17" s="501"/>
      <c r="AA17" s="352" t="s">
        <v>92</v>
      </c>
      <c r="AB17" s="350">
        <f>(AB15)/(AB9*SIN(RADIANS(AB4)))</f>
        <v>36560.620416315753</v>
      </c>
      <c r="AD17" s="350" t="s">
        <v>123</v>
      </c>
      <c r="AE17" s="350">
        <f>SQRT((K8^2)+(K9^2))</f>
        <v>0.33197640478403478</v>
      </c>
    </row>
    <row r="18" spans="2:31" x14ac:dyDescent="0.25">
      <c r="B18" s="41"/>
      <c r="C18" s="34"/>
      <c r="D18" s="34"/>
      <c r="E18" s="34"/>
      <c r="F18" s="34"/>
      <c r="G18" s="42"/>
    </row>
    <row r="19" spans="2:31" ht="15" customHeight="1" thickBot="1" x14ac:dyDescent="0.3">
      <c r="B19" s="22"/>
      <c r="C19" s="93"/>
      <c r="D19" s="93"/>
      <c r="E19" s="93"/>
      <c r="F19" s="93"/>
      <c r="G19" s="23"/>
      <c r="AA19" s="351" t="s">
        <v>93</v>
      </c>
      <c r="AB19" s="350">
        <f>Entradas2!C11*Entradas2!C10</f>
        <v>2500</v>
      </c>
    </row>
    <row r="20" spans="2:31" x14ac:dyDescent="0.25">
      <c r="AA20" s="351" t="s">
        <v>94</v>
      </c>
      <c r="AB20" s="350">
        <f>AB19/10000</f>
        <v>0.25</v>
      </c>
    </row>
    <row r="21" spans="2:31" ht="15.75" thickBot="1" x14ac:dyDescent="0.3">
      <c r="AA21" s="351" t="s">
        <v>95</v>
      </c>
      <c r="AB21" s="350">
        <f>(AB20*SIN(RADIANS(AB4)))/Entradas2!F5</f>
        <v>8.8388347648318433E-2</v>
      </c>
    </row>
    <row r="22" spans="2:31" ht="15" customHeight="1" x14ac:dyDescent="0.25">
      <c r="B22" s="472" t="str">
        <f>IF(AB3=3,"Bloco Selecionado está Correto","Bloco Selecionado Incorreto")</f>
        <v>Bloco Selecionado Incorreto</v>
      </c>
      <c r="C22" s="473"/>
      <c r="D22" s="473"/>
      <c r="E22" s="473"/>
      <c r="F22" s="473"/>
      <c r="G22" s="474"/>
      <c r="I22" s="478" t="str">
        <f>IF(K15&gt;Entradas2!$C$24,"ATENÇÃO: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J22" s="479"/>
      <c r="K22" s="479"/>
      <c r="L22" s="480"/>
    </row>
    <row r="23" spans="2:31" ht="15.75" customHeight="1" thickBot="1" x14ac:dyDescent="0.3">
      <c r="B23" s="475"/>
      <c r="C23" s="476"/>
      <c r="D23" s="476"/>
      <c r="E23" s="476"/>
      <c r="F23" s="476"/>
      <c r="G23" s="477"/>
      <c r="I23" s="481"/>
      <c r="J23" s="482"/>
      <c r="K23" s="482"/>
      <c r="L23" s="483"/>
      <c r="AA23" s="351" t="s">
        <v>110</v>
      </c>
      <c r="AB23" s="350">
        <f>AE12/AB21</f>
        <v>12152.037394819636</v>
      </c>
    </row>
    <row r="26" spans="2:31" x14ac:dyDescent="0.25">
      <c r="AA26" s="351" t="s">
        <v>105</v>
      </c>
      <c r="AB26" s="350">
        <f>Entradas2!C13/Entradas2!C17</f>
        <v>17.857142857142858</v>
      </c>
      <c r="AD26" s="351" t="s">
        <v>120</v>
      </c>
      <c r="AE26" s="350">
        <f>AB26*1000</f>
        <v>17857.142857142859</v>
      </c>
    </row>
    <row r="27" spans="2:31" x14ac:dyDescent="0.25">
      <c r="AA27" s="353"/>
    </row>
    <row r="28" spans="2:31" x14ac:dyDescent="0.25">
      <c r="AA28" s="352" t="s">
        <v>96</v>
      </c>
      <c r="AB28" s="350">
        <f>0.85*AE26</f>
        <v>15178.571428571429</v>
      </c>
    </row>
    <row r="29" spans="2:31" x14ac:dyDescent="0.25">
      <c r="AA29" s="353"/>
    </row>
    <row r="30" spans="2:31" x14ac:dyDescent="0.25">
      <c r="AA30" s="351" t="s">
        <v>111</v>
      </c>
      <c r="AB30" s="350">
        <f>(AB21+AB9)/2</f>
        <v>5.888345553844531E-2</v>
      </c>
    </row>
    <row r="32" spans="2:31" x14ac:dyDescent="0.25">
      <c r="AA32" s="352" t="s">
        <v>112</v>
      </c>
      <c r="AB32" s="350">
        <f>(0.3*AE12)/AB30</f>
        <v>5472.3274784072382</v>
      </c>
    </row>
    <row r="34" spans="27:29" x14ac:dyDescent="0.25">
      <c r="AA34" s="352" t="s">
        <v>116</v>
      </c>
      <c r="AB34" s="350" t="s">
        <v>119</v>
      </c>
      <c r="AC34" s="350">
        <f>0.3*((Entradas2!C13)^(2/3))</f>
        <v>2.5649639200150443</v>
      </c>
    </row>
    <row r="35" spans="27:29" x14ac:dyDescent="0.25">
      <c r="AA35" s="352" t="s">
        <v>115</v>
      </c>
      <c r="AB35" s="350">
        <f>AC34*1000</f>
        <v>2564.9639200150441</v>
      </c>
    </row>
    <row r="37" spans="27:29" x14ac:dyDescent="0.25">
      <c r="AA37" s="352" t="s">
        <v>118</v>
      </c>
      <c r="AB37" s="350">
        <f>AE12*COS(RADIANS(AB4))</f>
        <v>759.50233717622723</v>
      </c>
    </row>
    <row r="39" spans="27:29" x14ac:dyDescent="0.25">
      <c r="AA39" s="352" t="s">
        <v>218</v>
      </c>
      <c r="AB39" s="350">
        <f>Entradas2!C24</f>
        <v>670</v>
      </c>
    </row>
  </sheetData>
  <mergeCells count="11">
    <mergeCell ref="N2:O3"/>
    <mergeCell ref="P5:P6"/>
    <mergeCell ref="P7:P8"/>
    <mergeCell ref="P9:P10"/>
    <mergeCell ref="P11:P12"/>
    <mergeCell ref="O16:P16"/>
    <mergeCell ref="O17:P17"/>
    <mergeCell ref="B22:G23"/>
    <mergeCell ref="I14:K14"/>
    <mergeCell ref="I22:L23"/>
    <mergeCell ref="N15:P15"/>
  </mergeCells>
  <conditionalFormatting sqref="B22">
    <cfRule type="expression" dxfId="99" priority="23">
      <formula>$AE$4&lt;&gt;3</formula>
    </cfRule>
    <cfRule type="expression" dxfId="98" priority="24">
      <formula>$AE$4=3</formula>
    </cfRule>
  </conditionalFormatting>
  <conditionalFormatting sqref="B22:G23">
    <cfRule type="expression" dxfId="97" priority="19">
      <formula>$AB$3&lt;&gt;3</formula>
    </cfRule>
    <cfRule type="expression" dxfId="96" priority="20">
      <formula>$AB$3=3</formula>
    </cfRule>
  </conditionalFormatting>
  <conditionalFormatting sqref="N7:O8">
    <cfRule type="expression" dxfId="95" priority="9">
      <formula>$O$7&gt;$O$8</formula>
    </cfRule>
    <cfRule type="expression" dxfId="94" priority="10">
      <formula>$O$8&gt;=$O$7</formula>
    </cfRule>
  </conditionalFormatting>
  <conditionalFormatting sqref="N9:O10">
    <cfRule type="expression" dxfId="93" priority="7">
      <formula>$O$10&lt;$O$9</formula>
    </cfRule>
    <cfRule type="expression" dxfId="92" priority="8">
      <formula>$O$10&gt;=$O$9</formula>
    </cfRule>
  </conditionalFormatting>
  <conditionalFormatting sqref="N11:O12">
    <cfRule type="expression" dxfId="91" priority="5">
      <formula>$O$12&lt;$O$11</formula>
    </cfRule>
    <cfRule type="expression" dxfId="90" priority="6">
      <formula>$O$12&gt;=$O$11</formula>
    </cfRule>
  </conditionalFormatting>
  <conditionalFormatting sqref="I22:L23">
    <cfRule type="expression" dxfId="89" priority="1">
      <formula>$AB$39&gt;=$K$15</formula>
    </cfRule>
    <cfRule type="expression" dxfId="88" priority="2">
      <formula>$K$15&gt;$AB$39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7170" r:id="rId3">
          <objectPr defaultSize="0" autoPict="0" r:id="rId4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6</xdr:col>
                <xdr:colOff>590550</xdr:colOff>
                <xdr:row>17</xdr:row>
                <xdr:rowOff>28575</xdr:rowOff>
              </to>
            </anchor>
          </objectPr>
        </oleObject>
      </mc:Choice>
      <mc:Fallback>
        <oleObject progId="AutoCAD.Drawing.18" shapeId="7170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antes2">
                <anchor moveWithCells="1" sizeWithCells="1">
                  <from>
                    <xdr:col>13</xdr:col>
                    <xdr:colOff>9525</xdr:colOff>
                    <xdr:row>21</xdr:row>
                    <xdr:rowOff>28575</xdr:rowOff>
                  </from>
                  <to>
                    <xdr:col>14</xdr:col>
                    <xdr:colOff>295275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resest2">
                <anchor moveWithCells="1" sizeWithCells="1">
                  <from>
                    <xdr:col>15</xdr:col>
                    <xdr:colOff>9525</xdr:colOff>
                    <xdr:row>21</xdr:row>
                    <xdr:rowOff>28575</xdr:rowOff>
                  </from>
                  <to>
                    <xdr:col>16</xdr:col>
                    <xdr:colOff>409575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6"/>
  <dimension ref="B1:N25"/>
  <sheetViews>
    <sheetView showGridLines="0" showRowColHeaders="0" topLeftCell="B1" zoomScale="85" zoomScaleNormal="85" workbookViewId="0"/>
  </sheetViews>
  <sheetFormatPr defaultRowHeight="15" x14ac:dyDescent="0.25"/>
  <sheetData>
    <row r="1" spans="2:14" ht="15.75" customHeight="1" thickBot="1" x14ac:dyDescent="0.3"/>
    <row r="2" spans="2:14" ht="15" customHeight="1" x14ac:dyDescent="0.25">
      <c r="B2" s="505" t="s">
        <v>238</v>
      </c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7"/>
    </row>
    <row r="3" spans="2:14" ht="15.75" customHeight="1" thickBot="1" x14ac:dyDescent="0.3">
      <c r="B3" s="508"/>
      <c r="C3" s="509"/>
      <c r="D3" s="509"/>
      <c r="E3" s="509"/>
      <c r="F3" s="509"/>
      <c r="G3" s="509"/>
      <c r="H3" s="509"/>
      <c r="I3" s="509"/>
      <c r="J3" s="509"/>
      <c r="K3" s="509"/>
      <c r="L3" s="509"/>
      <c r="M3" s="509"/>
      <c r="N3" s="510"/>
    </row>
    <row r="5" spans="2:14" ht="15.75" thickBot="1" x14ac:dyDescent="0.3"/>
    <row r="6" spans="2:14" x14ac:dyDescent="0.25">
      <c r="B6" s="20"/>
      <c r="C6" s="202"/>
      <c r="D6" s="202"/>
      <c r="E6" s="202"/>
      <c r="F6" s="202"/>
      <c r="G6" s="203"/>
      <c r="I6" s="20"/>
      <c r="J6" s="202"/>
      <c r="K6" s="202"/>
      <c r="L6" s="202"/>
      <c r="M6" s="202"/>
      <c r="N6" s="203"/>
    </row>
    <row r="7" spans="2:14" x14ac:dyDescent="0.25">
      <c r="B7" s="41"/>
      <c r="C7" s="34"/>
      <c r="D7" s="34"/>
      <c r="E7" s="34"/>
      <c r="F7" s="34"/>
      <c r="G7" s="42"/>
      <c r="I7" s="41"/>
      <c r="J7" s="34"/>
      <c r="K7" s="34"/>
      <c r="L7" s="34"/>
      <c r="M7" s="34"/>
      <c r="N7" s="42"/>
    </row>
    <row r="8" spans="2:14" x14ac:dyDescent="0.25">
      <c r="B8" s="41"/>
      <c r="C8" s="34"/>
      <c r="D8" s="34"/>
      <c r="E8" s="34"/>
      <c r="F8" s="34"/>
      <c r="G8" s="42"/>
      <c r="I8" s="41"/>
      <c r="J8" s="34"/>
      <c r="K8" s="34"/>
      <c r="L8" s="34"/>
      <c r="M8" s="34"/>
      <c r="N8" s="42"/>
    </row>
    <row r="9" spans="2:14" x14ac:dyDescent="0.25">
      <c r="B9" s="41"/>
      <c r="C9" s="34"/>
      <c r="D9" s="34"/>
      <c r="E9" s="34"/>
      <c r="F9" s="34"/>
      <c r="G9" s="42"/>
      <c r="I9" s="41"/>
      <c r="J9" s="34"/>
      <c r="K9" s="34"/>
      <c r="L9" s="34"/>
      <c r="M9" s="34"/>
      <c r="N9" s="42"/>
    </row>
    <row r="10" spans="2:14" ht="15" customHeight="1" x14ac:dyDescent="0.35">
      <c r="B10" s="41"/>
      <c r="C10" s="34"/>
      <c r="D10" s="208"/>
      <c r="E10" s="208"/>
      <c r="F10" s="208"/>
      <c r="G10" s="209"/>
      <c r="H10" s="207"/>
      <c r="I10" s="210"/>
      <c r="J10" s="208"/>
      <c r="K10" s="208"/>
      <c r="L10" s="34"/>
      <c r="M10" s="34"/>
      <c r="N10" s="42"/>
    </row>
    <row r="11" spans="2:14" ht="15" customHeight="1" x14ac:dyDescent="0.35">
      <c r="B11" s="41"/>
      <c r="C11" s="34"/>
      <c r="D11" s="208"/>
      <c r="E11" s="208"/>
      <c r="F11" s="208"/>
      <c r="G11" s="209"/>
      <c r="H11" s="207"/>
      <c r="I11" s="210"/>
      <c r="J11" s="208"/>
      <c r="K11" s="208"/>
      <c r="L11" s="34"/>
      <c r="M11" s="34"/>
      <c r="N11" s="42"/>
    </row>
    <row r="12" spans="2:14" ht="15" customHeight="1" x14ac:dyDescent="0.35">
      <c r="B12" s="41"/>
      <c r="C12" s="34"/>
      <c r="D12" s="208"/>
      <c r="E12" s="208"/>
      <c r="F12" s="208"/>
      <c r="G12" s="209"/>
      <c r="H12" s="207"/>
      <c r="I12" s="210"/>
      <c r="J12" s="208"/>
      <c r="K12" s="208"/>
      <c r="L12" s="34"/>
      <c r="M12" s="34"/>
      <c r="N12" s="42"/>
    </row>
    <row r="13" spans="2:14" ht="15" customHeight="1" x14ac:dyDescent="0.35">
      <c r="B13" s="41"/>
      <c r="C13" s="34"/>
      <c r="D13" s="208"/>
      <c r="E13" s="208"/>
      <c r="F13" s="208"/>
      <c r="G13" s="209"/>
      <c r="H13" s="207"/>
      <c r="I13" s="210"/>
      <c r="J13" s="208"/>
      <c r="K13" s="208"/>
      <c r="L13" s="34"/>
      <c r="M13" s="34"/>
      <c r="N13" s="42"/>
    </row>
    <row r="14" spans="2:14" x14ac:dyDescent="0.25">
      <c r="B14" s="41"/>
      <c r="C14" s="34"/>
      <c r="D14" s="34"/>
      <c r="E14" s="34"/>
      <c r="F14" s="34"/>
      <c r="G14" s="42"/>
      <c r="I14" s="41"/>
      <c r="J14" s="34"/>
      <c r="K14" s="34"/>
      <c r="L14" s="34"/>
      <c r="M14" s="34"/>
      <c r="N14" s="42"/>
    </row>
    <row r="15" spans="2:14" x14ac:dyDescent="0.25">
      <c r="B15" s="41"/>
      <c r="C15" s="34"/>
      <c r="D15" s="34"/>
      <c r="E15" s="34"/>
      <c r="F15" s="34"/>
      <c r="G15" s="42"/>
      <c r="I15" s="41"/>
      <c r="J15" s="34"/>
      <c r="K15" s="34"/>
      <c r="L15" s="34"/>
      <c r="M15" s="34"/>
      <c r="N15" s="42"/>
    </row>
    <row r="16" spans="2:14" x14ac:dyDescent="0.25">
      <c r="B16" s="41"/>
      <c r="C16" s="34"/>
      <c r="D16" s="34"/>
      <c r="E16" s="34"/>
      <c r="F16" s="34"/>
      <c r="G16" s="42"/>
      <c r="I16" s="41"/>
      <c r="J16" s="34"/>
      <c r="K16" s="34"/>
      <c r="L16" s="34"/>
      <c r="M16" s="34"/>
      <c r="N16" s="42"/>
    </row>
    <row r="17" spans="2:14" x14ac:dyDescent="0.25">
      <c r="B17" s="41"/>
      <c r="C17" s="34"/>
      <c r="D17" s="34"/>
      <c r="E17" s="34"/>
      <c r="F17" s="34"/>
      <c r="G17" s="42"/>
      <c r="I17" s="41"/>
      <c r="J17" s="34"/>
      <c r="K17" s="34"/>
      <c r="L17" s="34"/>
      <c r="M17" s="34"/>
      <c r="N17" s="42"/>
    </row>
    <row r="18" spans="2:14" x14ac:dyDescent="0.25">
      <c r="B18" s="41"/>
      <c r="C18" s="34"/>
      <c r="D18" s="34"/>
      <c r="E18" s="34"/>
      <c r="F18" s="34"/>
      <c r="G18" s="42"/>
      <c r="I18" s="41"/>
      <c r="J18" s="34"/>
      <c r="K18" s="34"/>
      <c r="L18" s="34"/>
      <c r="M18" s="34"/>
      <c r="N18" s="42"/>
    </row>
    <row r="19" spans="2:14" x14ac:dyDescent="0.25">
      <c r="B19" s="41"/>
      <c r="C19" s="34"/>
      <c r="D19" s="34"/>
      <c r="E19" s="34"/>
      <c r="F19" s="34"/>
      <c r="G19" s="42"/>
      <c r="I19" s="41"/>
      <c r="J19" s="34"/>
      <c r="K19" s="34"/>
      <c r="L19" s="34"/>
      <c r="M19" s="34"/>
      <c r="N19" s="42"/>
    </row>
    <row r="20" spans="2:14" x14ac:dyDescent="0.25">
      <c r="B20" s="41"/>
      <c r="C20" s="34"/>
      <c r="D20" s="34"/>
      <c r="E20" s="34"/>
      <c r="F20" s="34"/>
      <c r="G20" s="42"/>
      <c r="I20" s="41"/>
      <c r="J20" s="34"/>
      <c r="K20" s="34"/>
      <c r="L20" s="34"/>
      <c r="M20" s="34"/>
      <c r="N20" s="42"/>
    </row>
    <row r="21" spans="2:14" x14ac:dyDescent="0.25">
      <c r="B21" s="41"/>
      <c r="C21" s="34"/>
      <c r="D21" s="34"/>
      <c r="E21" s="34"/>
      <c r="F21" s="34"/>
      <c r="G21" s="42"/>
      <c r="I21" s="41"/>
      <c r="J21" s="34"/>
      <c r="K21" s="34"/>
      <c r="L21" s="34"/>
      <c r="M21" s="34"/>
      <c r="N21" s="42"/>
    </row>
    <row r="22" spans="2:14" x14ac:dyDescent="0.25">
      <c r="B22" s="41"/>
      <c r="C22" s="34"/>
      <c r="D22" s="34"/>
      <c r="E22" s="34"/>
      <c r="F22" s="34"/>
      <c r="G22" s="42"/>
      <c r="I22" s="41"/>
      <c r="J22" s="34"/>
      <c r="K22" s="34"/>
      <c r="L22" s="34"/>
      <c r="M22" s="34"/>
      <c r="N22" s="42"/>
    </row>
    <row r="23" spans="2:14" ht="15.75" thickBot="1" x14ac:dyDescent="0.3">
      <c r="B23" s="204"/>
      <c r="C23" s="205"/>
      <c r="D23" s="205"/>
      <c r="E23" s="205"/>
      <c r="F23" s="205"/>
      <c r="G23" s="206"/>
      <c r="I23" s="204"/>
      <c r="J23" s="205"/>
      <c r="K23" s="205"/>
      <c r="L23" s="205"/>
      <c r="M23" s="205"/>
      <c r="N23" s="206"/>
    </row>
    <row r="24" spans="2:14" x14ac:dyDescent="0.25">
      <c r="B24" s="217"/>
      <c r="C24" s="218"/>
      <c r="D24" s="218"/>
      <c r="E24" s="218"/>
      <c r="F24" s="218"/>
      <c r="G24" s="219"/>
      <c r="I24" s="211"/>
      <c r="J24" s="212"/>
      <c r="K24" s="212"/>
      <c r="L24" s="212"/>
      <c r="M24" s="212"/>
      <c r="N24" s="213"/>
    </row>
    <row r="25" spans="2:14" ht="15.75" thickBot="1" x14ac:dyDescent="0.3">
      <c r="B25" s="220"/>
      <c r="C25" s="221"/>
      <c r="D25" s="221"/>
      <c r="E25" s="221"/>
      <c r="F25" s="221"/>
      <c r="G25" s="222"/>
      <c r="I25" s="214"/>
      <c r="J25" s="215"/>
      <c r="K25" s="215"/>
      <c r="L25" s="215"/>
      <c r="M25" s="215"/>
      <c r="N25" s="216"/>
    </row>
  </sheetData>
  <mergeCells count="1">
    <mergeCell ref="B2:N3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82945" r:id="rId3">
          <objectPr defaultSize="0" autoPict="0" r:id="rId4">
            <anchor moveWithCells="1">
              <from>
                <xdr:col>1</xdr:col>
                <xdr:colOff>38100</xdr:colOff>
                <xdr:row>5</xdr:row>
                <xdr:rowOff>38100</xdr:rowOff>
              </from>
              <to>
                <xdr:col>6</xdr:col>
                <xdr:colOff>552450</xdr:colOff>
                <xdr:row>22</xdr:row>
                <xdr:rowOff>142875</xdr:rowOff>
              </to>
            </anchor>
          </objectPr>
        </oleObject>
      </mc:Choice>
      <mc:Fallback>
        <oleObject progId="AutoCAD.Drawing.18" shapeId="82945" r:id="rId3"/>
      </mc:Fallback>
    </mc:AlternateContent>
    <mc:AlternateContent xmlns:mc="http://schemas.openxmlformats.org/markup-compatibility/2006">
      <mc:Choice Requires="x14">
        <oleObject progId="AutoCAD.Drawing.18" shapeId="82947" r:id="rId5">
          <objectPr defaultSize="0" autoPict="0" r:id="rId6">
            <anchor moveWithCells="1">
              <from>
                <xdr:col>8</xdr:col>
                <xdr:colOff>57150</xdr:colOff>
                <xdr:row>5</xdr:row>
                <xdr:rowOff>57150</xdr:rowOff>
              </from>
              <to>
                <xdr:col>13</xdr:col>
                <xdr:colOff>552450</xdr:colOff>
                <xdr:row>22</xdr:row>
                <xdr:rowOff>123825</xdr:rowOff>
              </to>
            </anchor>
          </objectPr>
        </oleObject>
      </mc:Choice>
      <mc:Fallback>
        <oleObject progId="AutoCAD.Drawing.18" shapeId="82947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8" r:id="rId7" name="Option Button 4">
              <controlPr defaultSize="0" autoFill="0" autoLine="0" autoPict="0" macro="[0]!selectipotres">
                <anchor moveWithCells="1">
                  <from>
                    <xdr:col>1</xdr:col>
                    <xdr:colOff>47625</xdr:colOff>
                    <xdr:row>23</xdr:row>
                    <xdr:rowOff>19050</xdr:rowOff>
                  </from>
                  <to>
                    <xdr:col>6</xdr:col>
                    <xdr:colOff>571500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Option Button 5">
              <controlPr defaultSize="0" autoFill="0" autoLine="0" autoPict="0" macro="[0]!selectipotres2">
                <anchor moveWithCells="1">
                  <from>
                    <xdr:col>8</xdr:col>
                    <xdr:colOff>28575</xdr:colOff>
                    <xdr:row>23</xdr:row>
                    <xdr:rowOff>28575</xdr:rowOff>
                  </from>
                  <to>
                    <xdr:col>13</xdr:col>
                    <xdr:colOff>542925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tipoarmadura3estacas">
                <anchor moveWithCells="1" sizeWithCells="1">
                  <from>
                    <xdr:col>6</xdr:col>
                    <xdr:colOff>152400</xdr:colOff>
                    <xdr:row>25</xdr:row>
                    <xdr:rowOff>180975</xdr:rowOff>
                  </from>
                  <to>
                    <xdr:col>8</xdr:col>
                    <xdr:colOff>342900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7"/>
  <dimension ref="A1:V68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2" width="9.140625" style="190"/>
  </cols>
  <sheetData>
    <row r="1" spans="2:20" x14ac:dyDescent="0.25">
      <c r="B1" s="505" t="s">
        <v>234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15.128211319250141</v>
      </c>
      <c r="Q4" s="190" t="s">
        <v>130</v>
      </c>
      <c r="R4" s="190">
        <f>(PI()*(E61/10)^2)/4</f>
        <v>0.50265482457436694</v>
      </c>
    </row>
    <row r="5" spans="2:20" ht="18.75" thickBot="1" x14ac:dyDescent="0.3">
      <c r="B5" s="120" t="s">
        <v>167</v>
      </c>
      <c r="C5" s="197">
        <f>'3 Estacas2'!O13*(COS(RADIANS(30)))</f>
        <v>657.74831822826707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30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Q7" s="190" t="s">
        <v>133</v>
      </c>
      <c r="R7" s="190">
        <f>G4/R4</f>
        <v>30.096620144967787</v>
      </c>
    </row>
    <row r="8" spans="2:20" ht="15.75" thickBot="1" x14ac:dyDescent="0.3">
      <c r="B8" s="122" t="s">
        <v>136</v>
      </c>
      <c r="C8" s="8">
        <f>Entradas2!C22</f>
        <v>23</v>
      </c>
      <c r="E8" s="199"/>
      <c r="F8" s="200"/>
      <c r="G8" s="201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31</v>
      </c>
      <c r="R10" s="190">
        <f>E61</f>
        <v>8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((C8)-G10*(E61/10))/T6</f>
        <v>-6.0000000000000026E-2</v>
      </c>
    </row>
    <row r="13" spans="2:20" ht="15.75" thickBot="1" x14ac:dyDescent="0.3">
      <c r="B13" s="521" t="s">
        <v>215</v>
      </c>
      <c r="C13" s="465"/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15.582299561805375</v>
      </c>
    </row>
    <row r="15" spans="2:20" ht="15.75" thickBot="1" x14ac:dyDescent="0.3">
      <c r="E15" s="492" t="s">
        <v>143</v>
      </c>
      <c r="F15" s="493"/>
      <c r="G15" s="198">
        <f>('3 Estacas2'!J6/(COS(RADIANS(30)))-C6+C8/2)</f>
        <v>38.099564267050162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20.479646211383802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IF(E61=20,8*E61,5*E61)</f>
        <v>40</v>
      </c>
      <c r="Q21" s="190" t="s">
        <v>148</v>
      </c>
      <c r="R21" s="190">
        <f>(E61/10)*(C7/U19)/4</f>
        <v>30.134804387378992</v>
      </c>
    </row>
    <row r="22" spans="2:21" ht="15" customHeight="1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IF(E61=20,CEILING(R24,1),CEILING(R23,1))</f>
        <v>129</v>
      </c>
      <c r="Q23" s="190" t="s">
        <v>152</v>
      </c>
      <c r="R23" s="190">
        <f>'3 Estacas2'!J7+2*(('3 Estacas2'!J6/COS(RADIANS(30)))-C6-(G21/10)/2+(PI())*(G21/10)/4+10*(E61/10))</f>
        <v>128.9823138412799</v>
      </c>
    </row>
    <row r="24" spans="2:21" ht="15.75" thickBot="1" x14ac:dyDescent="0.3">
      <c r="E24" s="531"/>
      <c r="F24" s="532"/>
      <c r="G24" s="547"/>
      <c r="H24" s="190">
        <f>ROUNDUP(G23,0)</f>
        <v>129</v>
      </c>
      <c r="Q24" s="190" t="s">
        <v>153</v>
      </c>
      <c r="R24" s="190">
        <f>'3 Estacas2'!J7+2*(('3 Estacas2'!J6/COS(RADIANS(30)))-C6-(G21/10)/2+PI()*(G21/10)/2+2*(E61/10))</f>
        <v>122.4654991484595</v>
      </c>
    </row>
    <row r="25" spans="2:21" x14ac:dyDescent="0.25">
      <c r="B25" s="363"/>
      <c r="C25" s="363"/>
      <c r="D25" s="363"/>
      <c r="E25" s="363"/>
      <c r="F25" s="363"/>
      <c r="G25" s="363"/>
      <c r="H25" s="363"/>
      <c r="I25" s="363"/>
      <c r="J25" s="363"/>
      <c r="K25" s="363"/>
    </row>
    <row r="26" spans="2:21" x14ac:dyDescent="0.25">
      <c r="B26" s="190"/>
      <c r="C26" s="190"/>
      <c r="D26" s="190"/>
      <c r="E26" s="190"/>
      <c r="F26" s="190"/>
      <c r="G26" s="190"/>
      <c r="H26" s="190"/>
      <c r="I26" s="190"/>
      <c r="J26" s="190"/>
      <c r="K26" s="190"/>
    </row>
    <row r="27" spans="2:21" x14ac:dyDescent="0.25"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Q27" s="190" t="s">
        <v>168</v>
      </c>
      <c r="R27" s="190">
        <f>2*E61/10</f>
        <v>1.6</v>
      </c>
    </row>
    <row r="28" spans="2:21" x14ac:dyDescent="0.25">
      <c r="B28" s="190"/>
      <c r="C28" s="190"/>
      <c r="D28" s="190"/>
      <c r="E28" s="190"/>
      <c r="F28" s="190"/>
      <c r="G28" s="190"/>
      <c r="H28" s="190"/>
      <c r="I28" s="190"/>
      <c r="J28" s="190"/>
      <c r="K28" s="190"/>
      <c r="Q28" s="354" t="s">
        <v>169</v>
      </c>
      <c r="R28" s="190">
        <f>E61</f>
        <v>8</v>
      </c>
    </row>
    <row r="29" spans="2:21" x14ac:dyDescent="0.25">
      <c r="B29" s="190"/>
      <c r="C29" s="190"/>
      <c r="D29" s="190"/>
      <c r="E29" s="190"/>
      <c r="F29" s="190"/>
      <c r="G29" s="190"/>
      <c r="H29" s="190"/>
      <c r="I29" s="190"/>
      <c r="J29" s="190"/>
      <c r="K29" s="190"/>
    </row>
    <row r="30" spans="2:21" x14ac:dyDescent="0.25">
      <c r="B30" s="190"/>
      <c r="C30" s="190"/>
      <c r="D30" s="190"/>
      <c r="E30" s="190"/>
      <c r="F30" s="190"/>
      <c r="G30" s="190"/>
      <c r="H30" s="190"/>
      <c r="I30" s="190"/>
      <c r="J30" s="190"/>
      <c r="K30" s="190"/>
    </row>
    <row r="31" spans="2:21" x14ac:dyDescent="0.25">
      <c r="B31" s="190"/>
      <c r="C31" s="190"/>
      <c r="D31" s="190"/>
      <c r="E31" s="190"/>
      <c r="F31" s="190"/>
      <c r="G31" s="190"/>
      <c r="H31" s="190"/>
      <c r="I31" s="190"/>
      <c r="J31" s="190"/>
      <c r="K31" s="190"/>
    </row>
    <row r="32" spans="2:21" x14ac:dyDescent="0.25">
      <c r="B32" s="190"/>
      <c r="C32" s="190"/>
      <c r="D32" s="190"/>
      <c r="E32" s="190"/>
      <c r="F32" s="190"/>
      <c r="G32" s="190"/>
      <c r="H32" s="190"/>
      <c r="I32" s="190"/>
      <c r="J32" s="190"/>
      <c r="K32" s="190"/>
    </row>
    <row r="33" spans="2:11" x14ac:dyDescent="0.25">
      <c r="B33" s="190"/>
      <c r="C33" s="190"/>
      <c r="D33" s="190"/>
      <c r="E33" s="190"/>
      <c r="F33" s="190"/>
      <c r="G33" s="190"/>
      <c r="H33" s="190"/>
      <c r="I33" s="190"/>
      <c r="J33" s="190"/>
      <c r="K33" s="190"/>
    </row>
    <row r="34" spans="2:11" x14ac:dyDescent="0.25">
      <c r="B34" s="190"/>
      <c r="C34" s="190"/>
      <c r="D34" s="190"/>
      <c r="E34" s="190"/>
      <c r="F34" s="190"/>
      <c r="G34" s="190"/>
      <c r="H34" s="190"/>
      <c r="I34" s="190"/>
      <c r="J34" s="190"/>
      <c r="K34" s="190"/>
    </row>
    <row r="35" spans="2:11" ht="18" x14ac:dyDescent="0.35">
      <c r="B35" s="190"/>
      <c r="C35" s="190"/>
      <c r="D35" s="190"/>
      <c r="E35" s="190"/>
      <c r="F35" s="190"/>
      <c r="G35" s="190"/>
      <c r="H35" s="190"/>
      <c r="I35" s="190" t="s">
        <v>213</v>
      </c>
      <c r="J35" s="190"/>
      <c r="K35" s="190"/>
    </row>
    <row r="36" spans="2:11" x14ac:dyDescent="0.25">
      <c r="B36" s="190"/>
      <c r="C36" s="190"/>
      <c r="D36" s="190"/>
      <c r="E36" s="190"/>
      <c r="F36" s="190"/>
      <c r="G36" s="190"/>
      <c r="H36" s="190"/>
      <c r="I36" s="190"/>
      <c r="J36" s="190"/>
      <c r="K36" s="190"/>
    </row>
    <row r="37" spans="2:11" x14ac:dyDescent="0.25">
      <c r="B37" s="190"/>
      <c r="C37" s="190"/>
      <c r="D37" s="190"/>
      <c r="E37" s="190"/>
      <c r="F37" s="190"/>
      <c r="G37" s="190"/>
      <c r="H37" s="190"/>
      <c r="I37" s="190"/>
      <c r="J37" s="190"/>
      <c r="K37" s="190"/>
    </row>
    <row r="38" spans="2:11" x14ac:dyDescent="0.25">
      <c r="B38" s="190"/>
      <c r="C38" s="190"/>
      <c r="D38" s="190"/>
      <c r="E38" s="190"/>
      <c r="F38" s="190"/>
      <c r="G38" s="190"/>
      <c r="H38" s="190"/>
      <c r="I38" s="190"/>
      <c r="J38" s="190"/>
      <c r="K38" s="190"/>
    </row>
    <row r="39" spans="2:11" x14ac:dyDescent="0.25">
      <c r="B39" s="190"/>
      <c r="C39" s="190"/>
      <c r="D39" s="190"/>
      <c r="E39" s="190"/>
      <c r="F39" s="190"/>
      <c r="G39" s="190"/>
      <c r="H39" s="190"/>
      <c r="I39" s="190"/>
      <c r="J39" s="190"/>
      <c r="K39" s="190"/>
    </row>
    <row r="40" spans="2:11" x14ac:dyDescent="0.25">
      <c r="B40" s="190"/>
      <c r="C40" s="190"/>
      <c r="D40" s="190"/>
      <c r="E40" s="190"/>
      <c r="F40" s="190"/>
      <c r="G40" s="190"/>
      <c r="H40" s="190"/>
      <c r="I40" s="190"/>
      <c r="J40" s="190"/>
      <c r="K40" s="190"/>
    </row>
    <row r="41" spans="2:11" x14ac:dyDescent="0.25">
      <c r="B41" s="190"/>
      <c r="C41" s="190"/>
      <c r="D41" s="190"/>
      <c r="E41" s="190"/>
      <c r="F41" s="190"/>
      <c r="G41" s="190"/>
      <c r="H41" s="190"/>
      <c r="I41" s="190"/>
      <c r="J41" s="190"/>
      <c r="K41" s="190"/>
    </row>
    <row r="42" spans="2:11" x14ac:dyDescent="0.25">
      <c r="B42" s="190"/>
      <c r="C42" s="190"/>
      <c r="D42" s="190"/>
      <c r="E42" s="190"/>
      <c r="F42" s="190"/>
      <c r="G42" s="190"/>
      <c r="H42" s="190"/>
      <c r="I42" s="190"/>
      <c r="J42" s="190"/>
      <c r="K42" s="190"/>
    </row>
    <row r="43" spans="2:11" x14ac:dyDescent="0.25">
      <c r="B43" s="190"/>
      <c r="C43" s="190"/>
      <c r="D43" s="190"/>
      <c r="E43" s="190"/>
      <c r="F43" s="190"/>
      <c r="G43" s="190"/>
      <c r="H43" s="190"/>
      <c r="I43" s="190"/>
      <c r="J43" s="190"/>
      <c r="K43" s="190"/>
    </row>
    <row r="44" spans="2:11" x14ac:dyDescent="0.25">
      <c r="B44" s="190"/>
      <c r="C44" s="190"/>
      <c r="D44" s="190"/>
      <c r="E44" s="190"/>
      <c r="F44" s="190"/>
      <c r="G44" s="190"/>
      <c r="H44" s="190"/>
      <c r="I44" s="190"/>
      <c r="J44" s="190"/>
      <c r="K44" s="190"/>
    </row>
    <row r="45" spans="2:11" x14ac:dyDescent="0.25">
      <c r="B45" s="363"/>
      <c r="C45" s="363"/>
      <c r="D45" s="363"/>
      <c r="E45" s="363"/>
      <c r="F45" s="363"/>
      <c r="G45" s="363"/>
      <c r="H45" s="363"/>
      <c r="I45" s="363"/>
      <c r="J45" s="363"/>
      <c r="K45" s="363"/>
    </row>
    <row r="46" spans="2:11" x14ac:dyDescent="0.25">
      <c r="B46" s="363"/>
      <c r="C46" s="363"/>
      <c r="D46" s="363"/>
      <c r="E46" s="363"/>
      <c r="F46" s="363"/>
      <c r="G46" s="363"/>
      <c r="H46" s="363"/>
      <c r="I46" s="363"/>
      <c r="J46" s="363"/>
      <c r="K46" s="363"/>
    </row>
    <row r="47" spans="2:11" x14ac:dyDescent="0.25">
      <c r="B47" s="363"/>
      <c r="C47" s="363"/>
      <c r="D47" s="363"/>
      <c r="E47" s="363"/>
      <c r="F47" s="363"/>
      <c r="G47" s="363"/>
      <c r="H47" s="363"/>
      <c r="I47" s="363"/>
      <c r="J47" s="363"/>
      <c r="K47" s="363"/>
    </row>
    <row r="48" spans="2:11" x14ac:dyDescent="0.25">
      <c r="B48" s="363"/>
      <c r="C48" s="363"/>
      <c r="D48" s="363"/>
      <c r="E48" s="363"/>
      <c r="F48" s="363"/>
      <c r="G48" s="363"/>
      <c r="H48" s="363"/>
      <c r="I48" s="363"/>
      <c r="J48" s="363"/>
      <c r="K48" s="363"/>
    </row>
    <row r="49" spans="1:11" x14ac:dyDescent="0.25">
      <c r="B49" s="363"/>
      <c r="C49" s="363"/>
      <c r="D49" s="363"/>
      <c r="E49" s="363"/>
      <c r="F49" s="363"/>
      <c r="G49" s="363"/>
      <c r="H49" s="363"/>
      <c r="I49" s="363"/>
      <c r="J49" s="363"/>
      <c r="K49" s="363"/>
    </row>
    <row r="50" spans="1:11" x14ac:dyDescent="0.25">
      <c r="B50" s="363"/>
      <c r="C50" s="363"/>
      <c r="D50" s="363"/>
      <c r="E50" s="363"/>
      <c r="F50" s="363"/>
      <c r="G50" s="363"/>
      <c r="H50" s="363"/>
      <c r="I50" s="363"/>
      <c r="J50" s="363"/>
      <c r="K50" s="363"/>
    </row>
    <row r="51" spans="1:11" x14ac:dyDescent="0.25">
      <c r="B51" s="363"/>
      <c r="C51" s="363"/>
      <c r="D51" s="363"/>
      <c r="E51" s="363"/>
      <c r="F51" s="363"/>
      <c r="G51" s="363"/>
      <c r="H51" s="363"/>
      <c r="I51" s="363"/>
      <c r="J51" s="363"/>
      <c r="K51" s="363"/>
    </row>
    <row r="52" spans="1:11" x14ac:dyDescent="0.25">
      <c r="B52" s="363"/>
      <c r="C52" s="363"/>
      <c r="D52" s="363"/>
      <c r="E52" s="363"/>
      <c r="F52" s="363"/>
      <c r="G52" s="363"/>
      <c r="H52" s="363"/>
      <c r="I52" s="363"/>
      <c r="J52" s="363"/>
      <c r="K52" s="363"/>
    </row>
    <row r="53" spans="1:11" x14ac:dyDescent="0.25">
      <c r="B53" s="363"/>
      <c r="C53" s="363"/>
      <c r="D53" s="363"/>
      <c r="E53" s="363"/>
      <c r="F53" s="363"/>
      <c r="G53" s="363"/>
      <c r="H53" s="363"/>
      <c r="I53" s="363"/>
      <c r="J53" s="363"/>
      <c r="K53" s="363"/>
    </row>
    <row r="54" spans="1:11" x14ac:dyDescent="0.25">
      <c r="B54" s="363"/>
      <c r="C54" s="363"/>
      <c r="D54" s="363"/>
      <c r="E54" s="363"/>
      <c r="F54" s="363"/>
      <c r="G54" s="363"/>
      <c r="H54" s="363"/>
      <c r="I54" s="363"/>
      <c r="J54" s="363"/>
      <c r="K54" s="363"/>
    </row>
    <row r="55" spans="1:11" x14ac:dyDescent="0.25">
      <c r="B55" s="363"/>
      <c r="C55" s="363"/>
      <c r="D55" s="363"/>
      <c r="E55" s="363"/>
      <c r="F55" s="363"/>
      <c r="G55" s="363"/>
      <c r="H55" s="363"/>
      <c r="I55" s="363"/>
      <c r="J55" s="363"/>
      <c r="K55" s="363"/>
    </row>
    <row r="56" spans="1:11" x14ac:dyDescent="0.25">
      <c r="B56" s="363"/>
      <c r="C56" s="363"/>
      <c r="D56" s="363"/>
      <c r="E56" s="363"/>
      <c r="F56" s="363"/>
      <c r="G56" s="363"/>
      <c r="H56" s="363"/>
      <c r="I56" s="363"/>
      <c r="J56" s="363"/>
      <c r="K56" s="363"/>
    </row>
    <row r="57" spans="1:11" x14ac:dyDescent="0.25">
      <c r="A57" s="381"/>
      <c r="B57" s="382"/>
      <c r="C57" s="382"/>
      <c r="D57" s="363"/>
      <c r="E57" s="363"/>
      <c r="F57" s="363"/>
      <c r="G57" s="363"/>
      <c r="H57" s="363"/>
      <c r="I57" s="363"/>
      <c r="J57" s="363"/>
      <c r="K57" s="363"/>
    </row>
    <row r="58" spans="1:11" x14ac:dyDescent="0.25">
      <c r="A58" s="381"/>
      <c r="B58" s="382"/>
      <c r="C58" s="382"/>
      <c r="D58" s="363"/>
      <c r="E58" s="363"/>
      <c r="F58" s="363"/>
      <c r="G58" s="363"/>
      <c r="H58" s="363"/>
      <c r="I58" s="363"/>
      <c r="J58" s="363"/>
      <c r="K58" s="363"/>
    </row>
    <row r="59" spans="1:11" x14ac:dyDescent="0.25">
      <c r="A59" s="381"/>
      <c r="B59" s="382"/>
      <c r="C59" s="383"/>
      <c r="D59" s="190"/>
      <c r="E59" s="190"/>
      <c r="F59" s="190"/>
      <c r="G59" s="363"/>
      <c r="H59" s="363"/>
      <c r="I59" s="363"/>
      <c r="J59" s="363"/>
      <c r="K59" s="363"/>
    </row>
    <row r="60" spans="1:11" x14ac:dyDescent="0.25">
      <c r="A60" s="381"/>
      <c r="B60" s="384">
        <v>2</v>
      </c>
      <c r="C60" s="385"/>
      <c r="D60" s="356"/>
      <c r="E60" s="356"/>
      <c r="F60" s="190"/>
      <c r="G60" s="363"/>
      <c r="H60" s="363"/>
      <c r="I60" s="363"/>
      <c r="J60" s="363"/>
      <c r="K60" s="363"/>
    </row>
    <row r="61" spans="1:11" x14ac:dyDescent="0.25">
      <c r="A61" s="381"/>
      <c r="B61" s="386">
        <v>6.3</v>
      </c>
      <c r="C61" s="385"/>
      <c r="D61" s="356" t="s">
        <v>132</v>
      </c>
      <c r="E61" s="356">
        <f>IF(B60=1,B61,IF(B60=2,B62,IF(B60=3,B63,IF(B60=4,B64,IF(B60=5,B65,IF(B60=6,B66))))))</f>
        <v>8</v>
      </c>
      <c r="F61" s="190"/>
      <c r="G61" s="363"/>
      <c r="H61" s="363"/>
      <c r="I61" s="363"/>
      <c r="J61" s="363"/>
      <c r="K61" s="363"/>
    </row>
    <row r="62" spans="1:11" x14ac:dyDescent="0.25">
      <c r="A62" s="381"/>
      <c r="B62" s="386">
        <v>8</v>
      </c>
      <c r="C62" s="385"/>
      <c r="D62" s="356"/>
      <c r="E62" s="356"/>
      <c r="F62" s="190"/>
      <c r="G62" s="363"/>
      <c r="H62" s="363"/>
      <c r="I62" s="363"/>
      <c r="J62" s="363"/>
      <c r="K62" s="363"/>
    </row>
    <row r="63" spans="1:11" x14ac:dyDescent="0.25">
      <c r="A63" s="381"/>
      <c r="B63" s="386">
        <v>10</v>
      </c>
      <c r="C63" s="385"/>
      <c r="D63" s="356"/>
      <c r="E63" s="356"/>
      <c r="F63" s="190"/>
      <c r="G63" s="363"/>
      <c r="H63" s="363"/>
      <c r="I63" s="363"/>
      <c r="J63" s="363"/>
      <c r="K63" s="363"/>
    </row>
    <row r="64" spans="1:11" x14ac:dyDescent="0.25">
      <c r="A64" s="381"/>
      <c r="B64" s="386">
        <v>12.5</v>
      </c>
      <c r="C64" s="384"/>
      <c r="D64" s="367"/>
      <c r="E64" s="367"/>
      <c r="F64" s="363"/>
      <c r="G64" s="363"/>
      <c r="H64" s="363"/>
      <c r="I64" s="363"/>
      <c r="J64" s="363"/>
      <c r="K64" s="363"/>
    </row>
    <row r="65" spans="1:11" x14ac:dyDescent="0.25">
      <c r="A65" s="381"/>
      <c r="B65" s="386">
        <v>16</v>
      </c>
      <c r="C65" s="384"/>
      <c r="D65" s="367"/>
      <c r="E65" s="367"/>
      <c r="F65" s="363"/>
      <c r="G65" s="363"/>
      <c r="H65" s="363"/>
      <c r="I65" s="363"/>
      <c r="J65" s="363"/>
      <c r="K65" s="363"/>
    </row>
    <row r="66" spans="1:11" x14ac:dyDescent="0.25">
      <c r="A66" s="381"/>
      <c r="B66" s="386">
        <v>20</v>
      </c>
      <c r="C66" s="384"/>
      <c r="D66" s="356"/>
      <c r="E66" s="356"/>
    </row>
    <row r="67" spans="1:11" x14ac:dyDescent="0.25">
      <c r="A67" s="381"/>
      <c r="B67" s="382"/>
      <c r="C67" s="382"/>
    </row>
    <row r="68" spans="1:11" x14ac:dyDescent="0.25">
      <c r="A68" s="381"/>
      <c r="B68" s="382"/>
      <c r="C68" s="382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87" priority="1">
      <formula>$G$16&gt;$G$15</formula>
    </cfRule>
    <cfRule type="expression" dxfId="86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arm2est">
                <anchor moveWithCells="1" sizeWithCells="1">
                  <from>
                    <xdr:col>7</xdr:col>
                    <xdr:colOff>361950</xdr:colOff>
                    <xdr:row>21</xdr:row>
                    <xdr:rowOff>133350</xdr:rowOff>
                  </from>
                  <to>
                    <xdr:col>9</xdr:col>
                    <xdr:colOff>571500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lados3estacas">
                <anchor moveWithCells="1" sizeWithCells="1">
                  <from>
                    <xdr:col>7</xdr:col>
                    <xdr:colOff>381000</xdr:colOff>
                    <xdr:row>19</xdr:row>
                    <xdr:rowOff>0</xdr:rowOff>
                  </from>
                  <to>
                    <xdr:col>9</xdr:col>
                    <xdr:colOff>590550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8"/>
  <dimension ref="A1:W52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3" width="9.140625" style="190"/>
  </cols>
  <sheetData>
    <row r="1" spans="2:20" x14ac:dyDescent="0.25">
      <c r="B1" s="505" t="s">
        <v>231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3*(C5)/(C7)</f>
        <v>11.346158489437606</v>
      </c>
      <c r="Q4" s="190" t="s">
        <v>130</v>
      </c>
      <c r="R4" s="190">
        <f>(PI()*(E46/10)^2)/4</f>
        <v>0.31172453105244724</v>
      </c>
    </row>
    <row r="5" spans="2:20" ht="18.75" thickBot="1" x14ac:dyDescent="0.3">
      <c r="B5" s="120" t="s">
        <v>167</v>
      </c>
      <c r="C5" s="197">
        <f>'3 Est 2 Arm Lados'!C5*0.2</f>
        <v>131.54966364565342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36</v>
      </c>
    </row>
    <row r="7" spans="2:20" ht="18" x14ac:dyDescent="0.25">
      <c r="B7" s="121" t="s">
        <v>200</v>
      </c>
      <c r="C7" s="123">
        <f>(50/Entradas2!C18)*0.8</f>
        <v>34.782608695652179</v>
      </c>
      <c r="E7" s="518"/>
      <c r="F7" s="519"/>
      <c r="G7" s="520"/>
      <c r="H7" s="34"/>
      <c r="Q7" s="190" t="s">
        <v>133</v>
      </c>
      <c r="R7" s="190">
        <f>G4/R4</f>
        <v>36.398028897920227</v>
      </c>
    </row>
    <row r="8" spans="2:20" ht="15.75" thickBot="1" x14ac:dyDescent="0.3">
      <c r="B8" s="122" t="s">
        <v>136</v>
      </c>
      <c r="C8" s="8">
        <f>Entradas2!C22</f>
        <v>23</v>
      </c>
      <c r="E8" s="199"/>
      <c r="F8" s="200"/>
      <c r="G8" s="201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37</v>
      </c>
      <c r="R10" s="190">
        <f>E46</f>
        <v>6.3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R13</f>
        <v>1.1526315789473685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((C8)-G10*(E46/10))/T6</f>
        <v>-8.6111111111110764E-3</v>
      </c>
    </row>
    <row r="13" spans="2:20" ht="15.75" thickBot="1" x14ac:dyDescent="0.3">
      <c r="B13" s="521" t="s">
        <v>215</v>
      </c>
      <c r="C13" s="465"/>
      <c r="Q13" s="190" t="s">
        <v>230</v>
      </c>
      <c r="R13" s="190">
        <f>(('4 Estacas2'!J7-'4 Est 2 Armlados dist'!C8)-('4 Est 2 Armlados dist'!G10*'4 Est 2 Armlados dist'!E51/10))/'4 Est 2 Armlados dist'!T6</f>
        <v>1.1526315789473685</v>
      </c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11.533807648940549</v>
      </c>
    </row>
    <row r="15" spans="2:20" ht="15.75" thickBot="1" x14ac:dyDescent="0.3">
      <c r="E15" s="492" t="s">
        <v>143</v>
      </c>
      <c r="F15" s="493"/>
      <c r="G15" s="198">
        <f>('3 Estacas2'!J6/COS(RADIANS(30)))-C6+C8/2</f>
        <v>38.099564267050162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13.073236191565465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IF(E46=20,8*E46,5*E46)</f>
        <v>31.5</v>
      </c>
      <c r="Q21" s="190" t="s">
        <v>148</v>
      </c>
      <c r="R21" s="190">
        <f>(E46/10)*(C7/U19)/4</f>
        <v>18.984926764048765</v>
      </c>
    </row>
    <row r="22" spans="2:21" ht="15.75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 t="s">
        <v>235</v>
      </c>
      <c r="Q23" s="190" t="s">
        <v>152</v>
      </c>
      <c r="R23" s="190">
        <f>'4 Estacas2'!J7+2*('4 Estacas2'!J6-C6-(G21/10)/2+(PI())*(G21/10)/4+10*(E46/10))</f>
        <v>116.89800842940392</v>
      </c>
    </row>
    <row r="24" spans="2:21" ht="15.75" thickBot="1" x14ac:dyDescent="0.3">
      <c r="E24" s="531"/>
      <c r="F24" s="532"/>
      <c r="G24" s="547"/>
      <c r="H24" s="111"/>
      <c r="Q24" s="190" t="s">
        <v>153</v>
      </c>
      <c r="R24" s="190">
        <f>'4 Estacas2'!J7+2*('4 Estacas2'!J6-C6-(G21/10)/2+PI()*(G21/10)/2+2*(E46/10))</f>
        <v>111.76601685880786</v>
      </c>
    </row>
    <row r="27" spans="2:21" x14ac:dyDescent="0.25">
      <c r="Q27" s="190" t="s">
        <v>168</v>
      </c>
      <c r="R27" s="190">
        <f>2*E46/10</f>
        <v>1.26</v>
      </c>
    </row>
    <row r="28" spans="2:21" x14ac:dyDescent="0.25">
      <c r="Q28" s="354" t="s">
        <v>169</v>
      </c>
      <c r="R28" s="190">
        <f>E46</f>
        <v>6.3</v>
      </c>
    </row>
    <row r="42" spans="1:9" x14ac:dyDescent="0.25">
      <c r="A42" s="363"/>
      <c r="B42" s="363"/>
      <c r="C42" s="363"/>
    </row>
    <row r="43" spans="1:9" x14ac:dyDescent="0.25">
      <c r="A43" s="363"/>
      <c r="B43" s="363"/>
      <c r="C43" s="363"/>
    </row>
    <row r="44" spans="1:9" x14ac:dyDescent="0.25">
      <c r="A44" s="382"/>
      <c r="B44" s="382"/>
      <c r="C44" s="382"/>
      <c r="D44" s="190"/>
      <c r="E44" s="190"/>
      <c r="F44" s="190"/>
      <c r="G44" s="190"/>
      <c r="H44" s="190"/>
      <c r="I44" s="190"/>
    </row>
    <row r="45" spans="1:9" x14ac:dyDescent="0.25">
      <c r="A45" s="382"/>
      <c r="B45" s="384">
        <v>2</v>
      </c>
      <c r="C45" s="384"/>
      <c r="D45" s="356"/>
      <c r="E45" s="356"/>
      <c r="F45" s="190"/>
      <c r="G45" s="190"/>
      <c r="H45" s="190"/>
      <c r="I45" s="190"/>
    </row>
    <row r="46" spans="1:9" x14ac:dyDescent="0.25">
      <c r="A46" s="382"/>
      <c r="B46" s="386">
        <v>5</v>
      </c>
      <c r="C46" s="384"/>
      <c r="D46" s="356" t="s">
        <v>132</v>
      </c>
      <c r="E46" s="356">
        <f>IF(B45=1,B46,IF(B45=2,B47,IF(B45=3,B48,IF(B45=4,B49,IF(B45=5,B50,IF(B45=6,B51))))))</f>
        <v>6.3</v>
      </c>
      <c r="F46" s="190"/>
      <c r="G46" s="190"/>
      <c r="H46" s="190"/>
      <c r="I46" s="190"/>
    </row>
    <row r="47" spans="1:9" x14ac:dyDescent="0.25">
      <c r="A47" s="382"/>
      <c r="B47" s="386">
        <v>6.3</v>
      </c>
      <c r="C47" s="384"/>
      <c r="D47" s="356"/>
      <c r="E47" s="356"/>
      <c r="F47" s="190"/>
      <c r="G47" s="190"/>
      <c r="H47" s="190"/>
      <c r="I47" s="190"/>
    </row>
    <row r="48" spans="1:9" x14ac:dyDescent="0.25">
      <c r="A48" s="382"/>
      <c r="B48" s="387"/>
      <c r="C48" s="382"/>
      <c r="D48" s="190"/>
      <c r="E48" s="190"/>
      <c r="F48" s="190"/>
      <c r="G48" s="190"/>
      <c r="H48" s="190"/>
      <c r="I48" s="190"/>
    </row>
    <row r="49" spans="1:9" x14ac:dyDescent="0.25">
      <c r="A49" s="382"/>
      <c r="B49" s="387"/>
      <c r="C49" s="382"/>
      <c r="D49" s="190"/>
      <c r="E49" s="190"/>
      <c r="F49" s="190"/>
      <c r="G49" s="190"/>
      <c r="H49" s="190"/>
      <c r="I49" s="190"/>
    </row>
    <row r="50" spans="1:9" ht="18" x14ac:dyDescent="0.35">
      <c r="A50" s="363"/>
      <c r="B50" s="368"/>
      <c r="C50" s="363"/>
      <c r="D50" s="190"/>
      <c r="E50" s="190"/>
      <c r="F50" s="190"/>
      <c r="G50" s="190"/>
      <c r="H50" s="190"/>
      <c r="I50" s="190" t="s">
        <v>213</v>
      </c>
    </row>
    <row r="51" spans="1:9" x14ac:dyDescent="0.25">
      <c r="A51" s="363"/>
      <c r="B51" s="368"/>
      <c r="C51" s="363"/>
      <c r="D51" s="190"/>
      <c r="E51" s="190"/>
      <c r="F51" s="190"/>
      <c r="G51" s="190"/>
      <c r="H51" s="190"/>
      <c r="I51" s="190"/>
    </row>
    <row r="52" spans="1:9" x14ac:dyDescent="0.25">
      <c r="A52" s="363"/>
      <c r="B52" s="363"/>
      <c r="C52" s="363"/>
      <c r="D52" s="190"/>
      <c r="E52" s="190"/>
      <c r="F52" s="190"/>
      <c r="G52" s="190"/>
      <c r="H52" s="190"/>
      <c r="I52" s="190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85" priority="1">
      <formula>$G$16&gt;$G$15</formula>
    </cfRule>
    <cfRule type="expression" dxfId="84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defaultSize="0" print="0" autoFill="0" autoPict="0" macro="[0]!est2relfinal">
                <anchor moveWithCells="1" sizeWithCells="1">
                  <from>
                    <xdr:col>7</xdr:col>
                    <xdr:colOff>361950</xdr:colOff>
                    <xdr:row>21</xdr:row>
                    <xdr:rowOff>152400</xdr:rowOff>
                  </from>
                  <to>
                    <xdr:col>9</xdr:col>
                    <xdr:colOff>571500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defaultSize="0" print="0" autoFill="0" autoPict="0" macro="[0]!macro91">
                <anchor moveWithCells="1" sizeWithCells="1">
                  <from>
                    <xdr:col>7</xdr:col>
                    <xdr:colOff>352425</xdr:colOff>
                    <xdr:row>18</xdr:row>
                    <xdr:rowOff>133350</xdr:rowOff>
                  </from>
                  <to>
                    <xdr:col>9</xdr:col>
                    <xdr:colOff>561975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/>
  <dimension ref="A1:U74"/>
  <sheetViews>
    <sheetView showGridLines="0" showRowColHeaders="0" zoomScale="85" zoomScaleNormal="85" workbookViewId="0"/>
  </sheetViews>
  <sheetFormatPr defaultRowHeight="15" x14ac:dyDescent="0.25"/>
  <cols>
    <col min="2" max="2" width="7.5703125" customWidth="1"/>
    <col min="3" max="3" width="8.42578125" customWidth="1"/>
    <col min="4" max="4" width="9.7109375" customWidth="1"/>
    <col min="6" max="6" width="12.7109375" customWidth="1"/>
    <col min="7" max="7" width="9.5703125" customWidth="1"/>
    <col min="8" max="8" width="0.7109375" customWidth="1"/>
    <col min="9" max="9" width="8.42578125" customWidth="1"/>
    <col min="10" max="10" width="10.140625" customWidth="1"/>
    <col min="11" max="11" width="7.5703125" customWidth="1"/>
    <col min="14" max="14" width="7.5703125" customWidth="1"/>
    <col min="15" max="15" width="7.7109375" customWidth="1"/>
    <col min="16" max="16" width="9.85546875" customWidth="1"/>
    <col min="17" max="17" width="6.7109375" customWidth="1"/>
    <col min="18" max="18" width="5.28515625" customWidth="1"/>
    <col min="19" max="19" width="32.5703125" bestFit="1" customWidth="1"/>
    <col min="20" max="20" width="9.5703125" bestFit="1" customWidth="1"/>
    <col min="24" max="24" width="13.42578125" bestFit="1" customWidth="1"/>
    <col min="25" max="25" width="14.28515625" bestFit="1" customWidth="1"/>
    <col min="26" max="26" width="18.85546875" bestFit="1" customWidth="1"/>
    <col min="27" max="27" width="11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113" t="s">
        <v>184</v>
      </c>
      <c r="T4" s="117" t="str">
        <f>'3 Estacas2'!I15</f>
        <v>Estaca E3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'3 Estacas2'!K15</f>
        <v>527.43217859460219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'3 Estacas2'!O8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'3 Estacas2'!O7</f>
        <v>36560.620416315753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'3 Estacas2'!O9</f>
        <v>12152.037394819636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'3 Estacas2'!O10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'3 Estacas2'!O11</f>
        <v>5472.3274784072382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'3 Estacas2'!O12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'3 Estacas2'!O13</f>
        <v>759.50233717622723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'3 Estacas2'!O5</f>
        <v>0.45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'3 Estacas2'!O6</f>
        <v>0.55000000000000004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'3 Estacas2'!J6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34"/>
      <c r="J16" s="34"/>
      <c r="K16" s="558"/>
      <c r="L16" s="558"/>
      <c r="M16" s="34"/>
      <c r="N16" s="34"/>
      <c r="O16" s="559"/>
      <c r="P16" s="559"/>
      <c r="Q16" s="559"/>
      <c r="R16" s="34"/>
      <c r="S16" s="114" t="s">
        <v>198</v>
      </c>
      <c r="T16" s="118">
        <f>'3 Estacas2'!J7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223"/>
      <c r="L18" s="34"/>
      <c r="M18" s="34"/>
      <c r="N18" s="34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((0.433*(((2.443*(T16/100))^2)-(3*((1.155*(T15/100))^2)))))*T14*1.05</f>
        <v>0.42314895406750319</v>
      </c>
      <c r="U19" s="276"/>
    </row>
    <row r="20" spans="1:21" x14ac:dyDescent="0.25">
      <c r="B20" s="41"/>
      <c r="C20" s="34"/>
      <c r="D20" s="34"/>
      <c r="E20" s="34"/>
      <c r="F20" s="34"/>
      <c r="G20" s="34"/>
      <c r="H20" s="34"/>
      <c r="I20" s="112"/>
      <c r="K20" s="34"/>
      <c r="L20" s="34"/>
      <c r="M20" s="34"/>
      <c r="N20" s="34"/>
      <c r="O20" s="34"/>
      <c r="Q20" s="223"/>
      <c r="R20" s="34"/>
      <c r="S20" s="114" t="s">
        <v>196</v>
      </c>
      <c r="T20" s="119" t="s">
        <v>197</v>
      </c>
      <c r="U20" s="276"/>
    </row>
    <row r="21" spans="1:21" x14ac:dyDescent="0.25">
      <c r="B21" s="41"/>
      <c r="C21" s="34"/>
      <c r="D21" s="34"/>
      <c r="E21" s="34"/>
      <c r="F21" s="34"/>
      <c r="G21" s="34"/>
      <c r="H21" s="34"/>
      <c r="I21" s="112"/>
      <c r="K21" s="34"/>
      <c r="L21" s="34"/>
      <c r="M21" s="34"/>
      <c r="N21" s="34"/>
      <c r="O21" s="34"/>
      <c r="Q21" s="223"/>
      <c r="R21" s="34"/>
      <c r="S21" s="594" t="s">
        <v>239</v>
      </c>
      <c r="T21" s="595"/>
      <c r="U21" s="276"/>
    </row>
    <row r="22" spans="1:21" x14ac:dyDescent="0.25">
      <c r="B22" s="41"/>
      <c r="C22" s="34"/>
      <c r="D22" s="34"/>
      <c r="E22" s="34"/>
      <c r="F22" s="34"/>
      <c r="G22" s="34"/>
      <c r="H22" s="34"/>
      <c r="I22" s="112"/>
      <c r="K22" s="34"/>
      <c r="L22" s="34"/>
      <c r="M22" s="34"/>
      <c r="N22" s="34"/>
      <c r="O22" s="34"/>
      <c r="Q22" s="223"/>
      <c r="R22" s="34"/>
      <c r="S22" s="114" t="s">
        <v>190</v>
      </c>
      <c r="T22" s="119">
        <f>'3 Est 2 Arm Lados'!$E$61</f>
        <v>8</v>
      </c>
      <c r="U22" s="283"/>
    </row>
    <row r="23" spans="1:21" x14ac:dyDescent="0.25">
      <c r="B23" s="41"/>
      <c r="C23" s="34"/>
      <c r="D23" s="34"/>
      <c r="E23" s="34"/>
      <c r="F23" s="34"/>
      <c r="G23" s="34"/>
      <c r="H23" s="34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235">
        <f>'3 Est 2 Arm Lados'!$G$11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'3 Est 2 Arm Lados'!$G$21</f>
        <v>40</v>
      </c>
      <c r="U24" s="283"/>
    </row>
    <row r="25" spans="1:21" x14ac:dyDescent="0.25">
      <c r="B25" s="41"/>
      <c r="C25" s="34"/>
      <c r="D25" s="34"/>
      <c r="E25" s="34"/>
      <c r="F25" s="558" t="s">
        <v>241</v>
      </c>
      <c r="G25" s="558"/>
      <c r="H25" s="558"/>
      <c r="I25" s="558"/>
      <c r="J25" s="34"/>
      <c r="K25" s="558" t="s">
        <v>242</v>
      </c>
      <c r="L25" s="558"/>
      <c r="M25" s="558"/>
      <c r="N25" s="183"/>
      <c r="P25" s="34"/>
      <c r="Q25" s="34"/>
      <c r="R25" s="34"/>
      <c r="S25" s="596" t="s">
        <v>240</v>
      </c>
      <c r="T25" s="597"/>
      <c r="U25" s="283"/>
    </row>
    <row r="26" spans="1:21" x14ac:dyDescent="0.25">
      <c r="B26" s="41"/>
      <c r="C26" s="34"/>
      <c r="D26" s="34"/>
      <c r="E26" s="34"/>
      <c r="I26" s="34"/>
      <c r="J26" s="34"/>
      <c r="K26" s="34"/>
      <c r="O26" s="34"/>
      <c r="P26" s="34"/>
      <c r="Q26" s="34"/>
      <c r="R26" s="34"/>
      <c r="S26" s="114" t="s">
        <v>190</v>
      </c>
      <c r="T26" s="119">
        <f>'3 Est 2 Arm Lados Dist'!E46</f>
        <v>6.3</v>
      </c>
      <c r="U26" s="283"/>
    </row>
    <row r="27" spans="1:21" x14ac:dyDescent="0.25">
      <c r="B27" s="41"/>
      <c r="C27" s="34"/>
      <c r="D27" s="34"/>
      <c r="E27" s="34"/>
      <c r="H27" s="34"/>
      <c r="I27" s="34"/>
      <c r="J27" s="34"/>
      <c r="K27" s="34"/>
      <c r="O27" s="34"/>
      <c r="P27" s="34"/>
      <c r="Q27" s="34"/>
      <c r="R27" s="34"/>
      <c r="S27" s="114" t="s">
        <v>206</v>
      </c>
      <c r="T27" s="235">
        <f>'3 Est 2 Arm Lados Dist'!G11</f>
        <v>1.1526315789473685</v>
      </c>
      <c r="U27" s="283"/>
    </row>
    <row r="28" spans="1:21" ht="18" customHeight="1" thickBot="1" x14ac:dyDescent="0.4">
      <c r="B28" s="41"/>
      <c r="C28" s="34"/>
      <c r="D28" s="34"/>
      <c r="E28" s="34"/>
      <c r="F28" s="34"/>
      <c r="G28" s="34"/>
      <c r="H28" s="34"/>
      <c r="R28" s="34"/>
      <c r="S28" s="127" t="s">
        <v>207</v>
      </c>
      <c r="T28" s="128">
        <f>'3 Est 2 Arm Lados Dist'!G21</f>
        <v>31.5</v>
      </c>
      <c r="U28" s="283"/>
    </row>
    <row r="29" spans="1:21" ht="12" customHeight="1" x14ac:dyDescent="0.25">
      <c r="B29" s="41"/>
      <c r="C29" s="34"/>
      <c r="E29" s="34"/>
      <c r="F29" s="34"/>
      <c r="H29" s="34"/>
      <c r="R29" s="34"/>
      <c r="S29" s="34"/>
      <c r="T29" s="42"/>
    </row>
    <row r="30" spans="1:21" ht="11.25" customHeight="1" x14ac:dyDescent="0.25">
      <c r="B30" s="41"/>
      <c r="C30" s="34"/>
      <c r="D30" s="223" t="str">
        <f>CONCATENATE(IF(T22=20,2*T22/10,0)," cm")</f>
        <v>0 cm</v>
      </c>
      <c r="E30" s="34"/>
      <c r="F30" s="34"/>
      <c r="G30" s="223" t="str">
        <f>CONCATENATE(IF(W22=20,2*W22/10,0)," cm")</f>
        <v>0 cm</v>
      </c>
      <c r="H30" s="34"/>
      <c r="K30" s="223" t="str">
        <f>CONCATENATE(IF(T26=20,2*T26/10,0)," cm")</f>
        <v>0 cm</v>
      </c>
      <c r="O30" s="223" t="str">
        <f>CONCATENATE(IF(AE22=20,2*AE22/10,0)," cm")</f>
        <v>0 cm</v>
      </c>
      <c r="R30" s="34"/>
      <c r="S30" s="34"/>
      <c r="T30" s="42"/>
    </row>
    <row r="31" spans="1:21" x14ac:dyDescent="0.25">
      <c r="B31" s="41"/>
      <c r="C31" s="560" t="str">
        <f>CONCATENATE(IF(T22&lt;20,T22, "Dobra de 8Ф")," cm")</f>
        <v>8 cm</v>
      </c>
      <c r="D31" s="34"/>
      <c r="E31" s="34"/>
      <c r="F31" s="34"/>
      <c r="G31" s="34"/>
      <c r="H31" s="34"/>
      <c r="I31" s="560" t="str">
        <f>CONCATENATE(IF(T22&lt;20,T22, "Dobra de 8Ф")," cm")</f>
        <v>8 cm</v>
      </c>
      <c r="J31" s="560" t="str">
        <f>CONCATENATE(IF(T26&lt;20,T26, "Dobra de 8Ф")," cm")</f>
        <v>6,3 cm</v>
      </c>
      <c r="K31" s="34"/>
      <c r="L31" s="34"/>
      <c r="M31" s="34"/>
      <c r="N31" s="34"/>
      <c r="O31" s="34"/>
      <c r="P31" s="560" t="str">
        <f>CONCATENATE(IF(T26&lt;20,T26, "Dobra de 8Ф")," cm")</f>
        <v>6,3 cm</v>
      </c>
      <c r="Q31" s="34"/>
      <c r="R31" s="34"/>
      <c r="S31" s="34"/>
      <c r="T31" s="42"/>
    </row>
    <row r="32" spans="1:21" x14ac:dyDescent="0.25">
      <c r="A32" s="42"/>
      <c r="B32" s="34"/>
      <c r="C32" s="560"/>
      <c r="D32" s="34"/>
      <c r="E32" s="34"/>
      <c r="F32" s="34"/>
      <c r="G32" s="34"/>
      <c r="H32" s="34"/>
      <c r="I32" s="560"/>
      <c r="J32" s="560"/>
      <c r="K32" s="34"/>
      <c r="L32" s="34"/>
      <c r="M32" s="34"/>
      <c r="N32" s="34"/>
      <c r="O32" s="34"/>
      <c r="P32" s="560"/>
      <c r="Q32" s="34"/>
      <c r="R32" s="34"/>
      <c r="S32" s="34"/>
      <c r="T32" s="42"/>
      <c r="U32" s="34"/>
    </row>
    <row r="33" spans="1:20" x14ac:dyDescent="0.25">
      <c r="A33" s="42"/>
      <c r="B33" s="34"/>
      <c r="C33" s="560"/>
      <c r="D33" s="34"/>
      <c r="E33" s="598" t="str">
        <f>CONCATENATE((ROUNDUP((T16+2*(T15/COS(RADIANS(30)))-2*'3 Est 2 Arm Lados'!C6-T24/10),2))," cm")</f>
        <v>106,7 cm</v>
      </c>
      <c r="F33" s="598"/>
      <c r="G33" s="34"/>
      <c r="H33" s="34"/>
      <c r="I33" s="560"/>
      <c r="J33" s="560"/>
      <c r="K33" s="559"/>
      <c r="L33" s="559"/>
      <c r="M33" s="559"/>
      <c r="N33" s="559"/>
      <c r="O33" s="559"/>
      <c r="P33" s="560"/>
      <c r="Q33" s="34"/>
      <c r="R33" s="34"/>
      <c r="S33" s="34"/>
      <c r="T33" s="42"/>
    </row>
    <row r="34" spans="1:20" ht="24" customHeight="1" x14ac:dyDescent="0.25">
      <c r="A34" s="42"/>
      <c r="B34" s="34"/>
      <c r="C34" s="34"/>
      <c r="D34" s="559" t="str">
        <f>CONCATENATE('3 Est 2 Arm Lados'!$G$10," Ф ",T22," mm"," c/ ",'3 Est 2 Arm Lados'!$G$23," cm.")</f>
        <v>31 Ф 8 mm c/ 129 cm.</v>
      </c>
      <c r="E34" s="559"/>
      <c r="F34" s="559"/>
      <c r="G34" s="559"/>
      <c r="H34" s="559"/>
      <c r="I34" s="34"/>
      <c r="J34" s="34"/>
      <c r="K34" s="559" t="str">
        <f>CONCATENATE('3 Est 2 Arm Lados Dist'!G10," Ф ",'3 Est 2 Arm Lados Dist'!E46," mm"," c/ ","Variável"," .")</f>
        <v>37 Ф 6,3 mm c/ Variável .</v>
      </c>
      <c r="L34" s="559"/>
      <c r="M34" s="559"/>
      <c r="N34" s="559"/>
      <c r="O34" s="559"/>
      <c r="P34" s="34"/>
      <c r="Q34" s="34"/>
      <c r="R34" s="34"/>
      <c r="S34" s="34"/>
      <c r="T34" s="42"/>
    </row>
    <row r="35" spans="1:20" x14ac:dyDescent="0.25">
      <c r="A35" s="42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42"/>
    </row>
    <row r="36" spans="1:20" x14ac:dyDescent="0.25">
      <c r="A36" s="42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42"/>
    </row>
    <row r="37" spans="1:20" x14ac:dyDescent="0.25">
      <c r="A37" s="42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42"/>
    </row>
    <row r="38" spans="1:20" x14ac:dyDescent="0.25">
      <c r="A38" s="42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42"/>
    </row>
    <row r="39" spans="1:20" x14ac:dyDescent="0.25">
      <c r="A39" s="42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42"/>
    </row>
    <row r="40" spans="1:20" ht="15.75" thickBot="1" x14ac:dyDescent="0.3">
      <c r="A40" s="42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42"/>
    </row>
    <row r="41" spans="1:20" ht="15.75" thickBot="1" x14ac:dyDescent="0.3">
      <c r="A41" s="42"/>
      <c r="B41" s="34"/>
      <c r="C41" s="34"/>
      <c r="D41" s="34"/>
      <c r="E41" s="34"/>
      <c r="F41" s="34"/>
      <c r="G41" s="34"/>
      <c r="H41" s="34"/>
      <c r="I41" s="566" t="s">
        <v>243</v>
      </c>
      <c r="J41" s="567"/>
      <c r="K41" s="567"/>
      <c r="L41" s="567"/>
      <c r="M41" s="567"/>
      <c r="N41" s="567"/>
      <c r="O41" s="567"/>
      <c r="P41" s="567"/>
      <c r="Q41" s="568"/>
      <c r="R41" s="34"/>
      <c r="S41" s="34"/>
      <c r="T41" s="42"/>
    </row>
    <row r="42" spans="1:20" ht="18" x14ac:dyDescent="0.35">
      <c r="A42" s="42"/>
      <c r="B42" s="34"/>
      <c r="C42" s="34"/>
      <c r="D42" s="34"/>
      <c r="E42" s="34"/>
      <c r="F42" s="34"/>
      <c r="G42" s="34"/>
      <c r="H42" s="34"/>
      <c r="I42" s="569" t="s">
        <v>194</v>
      </c>
      <c r="J42" s="570"/>
      <c r="K42" s="570" t="s">
        <v>193</v>
      </c>
      <c r="L42" s="570"/>
      <c r="M42" s="570" t="s">
        <v>192</v>
      </c>
      <c r="N42" s="570"/>
      <c r="O42" s="570" t="s">
        <v>191</v>
      </c>
      <c r="P42" s="570"/>
      <c r="Q42" s="571"/>
      <c r="R42" s="34"/>
      <c r="S42" s="34"/>
      <c r="T42" s="42"/>
    </row>
    <row r="43" spans="1:20" ht="15.75" thickBot="1" x14ac:dyDescent="0.3">
      <c r="A43" s="42"/>
      <c r="B43" s="34"/>
      <c r="C43" s="34"/>
      <c r="D43" s="34"/>
      <c r="E43" s="34"/>
      <c r="F43" s="34"/>
      <c r="G43" s="34"/>
      <c r="H43" s="34"/>
      <c r="I43" s="573">
        <f>T22</f>
        <v>8</v>
      </c>
      <c r="J43" s="486"/>
      <c r="K43" s="486">
        <f>(('3 Est 2 Arm Lados'!G23/100)*'3 Est 2 Arm Lados'!G10)*3</f>
        <v>119.97</v>
      </c>
      <c r="L43" s="486"/>
      <c r="M43" s="486">
        <f>IF(T22=6.3,0.245,IF(T22=8,0.395,IF(T22=10,0.617,IF(T22=12.5,0.963,IF(T22=16,1.578,IF(T22=20,2.466))))))</f>
        <v>0.39500000000000002</v>
      </c>
      <c r="N43" s="486"/>
      <c r="O43" s="564">
        <f>(M43*K43)*1.1</f>
        <v>52.126965000000006</v>
      </c>
      <c r="P43" s="564"/>
      <c r="Q43" s="565"/>
      <c r="R43" s="34"/>
      <c r="S43" s="34"/>
      <c r="T43" s="42"/>
    </row>
    <row r="44" spans="1:20" ht="15.75" thickBot="1" x14ac:dyDescent="0.3">
      <c r="A44" s="42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237"/>
      <c r="N44" s="237"/>
      <c r="O44" s="237"/>
      <c r="P44" s="237"/>
      <c r="Q44" s="237"/>
      <c r="R44" s="34"/>
      <c r="S44" s="34"/>
      <c r="T44" s="42"/>
    </row>
    <row r="45" spans="1:20" ht="15.75" thickBot="1" x14ac:dyDescent="0.3">
      <c r="A45" s="42"/>
      <c r="B45" s="34"/>
      <c r="C45" s="34"/>
      <c r="D45" s="34"/>
      <c r="E45" s="34"/>
      <c r="F45" s="34"/>
      <c r="G45" s="34"/>
      <c r="H45" s="34"/>
      <c r="I45" s="566" t="s">
        <v>244</v>
      </c>
      <c r="J45" s="567"/>
      <c r="K45" s="567"/>
      <c r="L45" s="567"/>
      <c r="M45" s="567"/>
      <c r="N45" s="567"/>
      <c r="O45" s="567"/>
      <c r="P45" s="567"/>
      <c r="Q45" s="568"/>
      <c r="R45" s="34"/>
      <c r="S45" s="34"/>
      <c r="T45" s="42"/>
    </row>
    <row r="46" spans="1:20" ht="18" x14ac:dyDescent="0.35">
      <c r="A46" s="42"/>
      <c r="B46" s="34"/>
      <c r="C46" s="34"/>
      <c r="D46" s="34"/>
      <c r="E46" s="34"/>
      <c r="F46" s="34"/>
      <c r="G46" s="34"/>
      <c r="H46" s="34"/>
      <c r="I46" s="569" t="s">
        <v>194</v>
      </c>
      <c r="J46" s="570"/>
      <c r="K46" s="570" t="s">
        <v>193</v>
      </c>
      <c r="L46" s="570"/>
      <c r="M46" s="570" t="s">
        <v>192</v>
      </c>
      <c r="N46" s="570"/>
      <c r="O46" s="570" t="s">
        <v>191</v>
      </c>
      <c r="P46" s="570"/>
      <c r="Q46" s="571"/>
      <c r="R46" s="34"/>
      <c r="S46" s="34"/>
      <c r="T46" s="42"/>
    </row>
    <row r="47" spans="1:20" ht="15.75" thickBot="1" x14ac:dyDescent="0.3">
      <c r="A47" s="42"/>
      <c r="B47" s="34"/>
      <c r="C47" s="34"/>
      <c r="D47" s="34"/>
      <c r="E47" s="34"/>
      <c r="F47" s="34"/>
      <c r="G47" s="34"/>
      <c r="H47" s="34"/>
      <c r="I47" s="573">
        <f>T26</f>
        <v>6.3</v>
      </c>
      <c r="J47" s="486"/>
      <c r="K47" s="486" t="str">
        <f>"Variável"</f>
        <v>Variável</v>
      </c>
      <c r="L47" s="486"/>
      <c r="M47" s="486">
        <f>IF(T26=6.3,0.245,IF(T26=8,0.395,IF(T26=10,0.617,IF(T26=12.5,0.963,IF(T26=16,1.578,IF(T26=20,2.466))))))</f>
        <v>0.245</v>
      </c>
      <c r="N47" s="486"/>
      <c r="O47" s="564" t="str">
        <f>"Variável"</f>
        <v>Variável</v>
      </c>
      <c r="P47" s="564"/>
      <c r="Q47" s="565"/>
      <c r="R47" s="34"/>
      <c r="S47" s="34"/>
      <c r="T47" s="42"/>
    </row>
    <row r="48" spans="1:20" x14ac:dyDescent="0.25">
      <c r="A48" s="42"/>
      <c r="T48" s="42"/>
    </row>
    <row r="49" spans="1:20" x14ac:dyDescent="0.25">
      <c r="A49" s="42"/>
      <c r="T49" s="42"/>
    </row>
    <row r="50" spans="1:20" ht="15.75" thickBot="1" x14ac:dyDescent="0.3">
      <c r="A50" s="42"/>
      <c r="B50" s="225"/>
      <c r="C50" s="226"/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27"/>
    </row>
    <row r="69" spans="6:7" x14ac:dyDescent="0.25">
      <c r="F69" s="381"/>
      <c r="G69" s="381"/>
    </row>
    <row r="70" spans="6:7" x14ac:dyDescent="0.25">
      <c r="F70" s="381">
        <f>'[1]2 Estacas'!K7</f>
        <v>96</v>
      </c>
      <c r="G70" s="381"/>
    </row>
    <row r="71" spans="6:7" x14ac:dyDescent="0.25">
      <c r="F71" s="381"/>
      <c r="G71" s="381"/>
    </row>
    <row r="72" spans="6:7" x14ac:dyDescent="0.25">
      <c r="F72" s="381"/>
      <c r="G72" s="381"/>
    </row>
    <row r="73" spans="6:7" x14ac:dyDescent="0.25">
      <c r="F73" s="381"/>
      <c r="G73" s="381"/>
    </row>
    <row r="74" spans="6:7" x14ac:dyDescent="0.25">
      <c r="F74" s="381"/>
      <c r="G74" s="381"/>
    </row>
  </sheetData>
  <mergeCells count="34">
    <mergeCell ref="I47:J47"/>
    <mergeCell ref="K47:L47"/>
    <mergeCell ref="M47:N47"/>
    <mergeCell ref="O47:Q47"/>
    <mergeCell ref="I43:J43"/>
    <mergeCell ref="K43:L43"/>
    <mergeCell ref="M43:N43"/>
    <mergeCell ref="O43:Q43"/>
    <mergeCell ref="I45:Q45"/>
    <mergeCell ref="I46:J46"/>
    <mergeCell ref="K46:L46"/>
    <mergeCell ref="D34:H34"/>
    <mergeCell ref="M46:N46"/>
    <mergeCell ref="O46:Q46"/>
    <mergeCell ref="E33:F33"/>
    <mergeCell ref="K33:O33"/>
    <mergeCell ref="I41:Q41"/>
    <mergeCell ref="I42:J42"/>
    <mergeCell ref="K42:L42"/>
    <mergeCell ref="M42:N42"/>
    <mergeCell ref="O42:Q42"/>
    <mergeCell ref="K34:O34"/>
    <mergeCell ref="B1:T2"/>
    <mergeCell ref="K16:L16"/>
    <mergeCell ref="O16:Q16"/>
    <mergeCell ref="C31:C33"/>
    <mergeCell ref="I31:I33"/>
    <mergeCell ref="L23:N23"/>
    <mergeCell ref="S21:T21"/>
    <mergeCell ref="S25:T25"/>
    <mergeCell ref="J31:J33"/>
    <mergeCell ref="P31:P33"/>
    <mergeCell ref="F25:I25"/>
    <mergeCell ref="K25:M25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04453" r:id="rId3">
          <objectPr defaultSize="0" autoPict="0" r:id="rId4">
            <anchor moveWithCells="1">
              <from>
                <xdr:col>6</xdr:col>
                <xdr:colOff>171450</xdr:colOff>
                <xdr:row>3</xdr:row>
                <xdr:rowOff>19050</xdr:rowOff>
              </from>
              <to>
                <xdr:col>11</xdr:col>
                <xdr:colOff>485775</xdr:colOff>
                <xdr:row>13</xdr:row>
                <xdr:rowOff>171450</xdr:rowOff>
              </to>
            </anchor>
          </objectPr>
        </oleObject>
      </mc:Choice>
      <mc:Fallback>
        <oleObject progId="AutoCAD.Drawing.18" shapeId="104453" r:id="rId3"/>
      </mc:Fallback>
    </mc:AlternateContent>
    <mc:AlternateContent xmlns:mc="http://schemas.openxmlformats.org/markup-compatibility/2006">
      <mc:Choice Requires="x14">
        <oleObject progId="AutoCAD.Drawing.18" shapeId="104455" r:id="rId5">
          <objectPr defaultSize="0" autoPict="0" r:id="rId6">
            <anchor>
              <from>
                <xdr:col>9</xdr:col>
                <xdr:colOff>247650</xdr:colOff>
                <xdr:row>27</xdr:row>
                <xdr:rowOff>161925</xdr:rowOff>
              </from>
              <to>
                <xdr:col>15</xdr:col>
                <xdr:colOff>342900</xdr:colOff>
                <xdr:row>34</xdr:row>
                <xdr:rowOff>152400</xdr:rowOff>
              </to>
            </anchor>
          </objectPr>
        </oleObject>
      </mc:Choice>
      <mc:Fallback>
        <oleObject progId="AutoCAD.Drawing.18" shapeId="104455" r:id="rId5"/>
      </mc:Fallback>
    </mc:AlternateContent>
    <mc:AlternateContent xmlns:mc="http://schemas.openxmlformats.org/markup-compatibility/2006">
      <mc:Choice Requires="x14">
        <oleObject progId="AutoCAD.Drawing.18" shapeId="104457" r:id="rId7">
          <objectPr defaultSize="0" autoPict="0" r:id="rId8">
            <anchor moveWithCells="1">
              <from>
                <xdr:col>4</xdr:col>
                <xdr:colOff>561975</xdr:colOff>
                <xdr:row>14</xdr:row>
                <xdr:rowOff>47625</xdr:rowOff>
              </from>
              <to>
                <xdr:col>13</xdr:col>
                <xdr:colOff>381000</xdr:colOff>
                <xdr:row>24</xdr:row>
                <xdr:rowOff>0</xdr:rowOff>
              </to>
            </anchor>
          </objectPr>
        </oleObject>
      </mc:Choice>
      <mc:Fallback>
        <oleObject progId="AutoCAD.Drawing.18" shapeId="104457" r:id="rId7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9" name="Button 4">
              <controlPr defaultSize="0" print="0" autoFill="0" autoPict="0" macro="[0]!macro93">
                <anchor moveWithCells="1" sizeWithCells="1">
                  <from>
                    <xdr:col>18</xdr:col>
                    <xdr:colOff>0</xdr:colOff>
                    <xdr:row>44</xdr:row>
                    <xdr:rowOff>9525</xdr:rowOff>
                  </from>
                  <to>
                    <xdr:col>18</xdr:col>
                    <xdr:colOff>1952625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0"/>
  <dimension ref="A1:Y70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5" width="9.140625" style="190"/>
  </cols>
  <sheetData>
    <row r="1" spans="2:20" x14ac:dyDescent="0.25">
      <c r="B1" s="505" t="s">
        <v>236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17.468553755053225</v>
      </c>
      <c r="Q4" s="190" t="s">
        <v>130</v>
      </c>
      <c r="R4" s="190">
        <f>(PI()*(E61/10)^2)/4</f>
        <v>1.227184630308513</v>
      </c>
    </row>
    <row r="5" spans="2:20" ht="18.75" thickBot="1" x14ac:dyDescent="0.3">
      <c r="B5" s="120" t="s">
        <v>167</v>
      </c>
      <c r="C5" s="197">
        <f>'3 Estacas2'!O13</f>
        <v>759.50233717622723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14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Q7" s="190" t="s">
        <v>133</v>
      </c>
      <c r="R7" s="190">
        <f>G4/R4</f>
        <v>14.234658195370038</v>
      </c>
    </row>
    <row r="8" spans="2:20" ht="15.75" thickBot="1" x14ac:dyDescent="0.3">
      <c r="B8" s="122" t="s">
        <v>136</v>
      </c>
      <c r="C8" s="8">
        <f>Entradas2!C22</f>
        <v>23</v>
      </c>
      <c r="E8" s="199"/>
      <c r="F8" s="200"/>
      <c r="G8" s="201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15</v>
      </c>
      <c r="R10" s="190">
        <f>E61</f>
        <v>12.5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((C8)-G10*(E61/10))/T6</f>
        <v>0.30357142857142855</v>
      </c>
    </row>
    <row r="13" spans="2:20" ht="15.75" thickBot="1" x14ac:dyDescent="0.3">
      <c r="B13" s="521" t="s">
        <v>215</v>
      </c>
      <c r="C13" s="465"/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18.407769454627694</v>
      </c>
    </row>
    <row r="15" spans="2:20" ht="15.75" thickBot="1" x14ac:dyDescent="0.3">
      <c r="E15" s="492" t="s">
        <v>143</v>
      </c>
      <c r="F15" s="493"/>
      <c r="G15" s="198">
        <f>('3 Estacas2'!J6-C6+C8/2)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31.278234184070222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IF(E61=20,8*E61,5*E61)</f>
        <v>62.5</v>
      </c>
      <c r="Q21" s="190" t="s">
        <v>148</v>
      </c>
      <c r="R21" s="190">
        <f>(E61/10)*(C7/U19)/4</f>
        <v>47.085631855279672</v>
      </c>
    </row>
    <row r="22" spans="2:21" ht="15" customHeight="1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IF(E61=20,CEILING(R24,1),CEILING(R23,1))</f>
        <v>71</v>
      </c>
      <c r="Q23" s="190" t="s">
        <v>152</v>
      </c>
      <c r="R23" s="190">
        <f>R32+2*(('3 Estacas2'!J51)-C6-(G21/10)/2+(PI())*(G21/10)/4+10*(E61/10))</f>
        <v>70.363937760073327</v>
      </c>
    </row>
    <row r="24" spans="2:21" ht="15.75" thickBot="1" x14ac:dyDescent="0.3">
      <c r="E24" s="531"/>
      <c r="F24" s="532"/>
      <c r="G24" s="547"/>
      <c r="H24" s="190">
        <f>ROUNDUP(G23,0)</f>
        <v>71</v>
      </c>
      <c r="Q24" s="190" t="s">
        <v>153</v>
      </c>
      <c r="R24" s="190">
        <f>R32+2*(('3 Estacas2'!J6/COS(RADIANS(30)))-C6-(G21/10)/2+PI()*(G21/10)/2+2*(E61/10))</f>
        <v>121.38054333664175</v>
      </c>
    </row>
    <row r="27" spans="2:21" x14ac:dyDescent="0.25">
      <c r="Q27" s="190" t="s">
        <v>168</v>
      </c>
      <c r="R27" s="190">
        <f>2*E61/10</f>
        <v>2.5</v>
      </c>
    </row>
    <row r="28" spans="2:21" x14ac:dyDescent="0.25">
      <c r="Q28" s="354" t="s">
        <v>169</v>
      </c>
      <c r="R28" s="190">
        <f>E61</f>
        <v>12.5</v>
      </c>
    </row>
    <row r="30" spans="2:21" x14ac:dyDescent="0.25"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</row>
    <row r="31" spans="2:21" x14ac:dyDescent="0.25">
      <c r="B31" s="190"/>
      <c r="C31" s="190"/>
      <c r="D31" s="190"/>
      <c r="E31" s="190"/>
      <c r="F31" s="190"/>
      <c r="G31" s="190"/>
      <c r="H31" s="190"/>
      <c r="I31" s="190"/>
      <c r="J31" s="190"/>
      <c r="K31" s="190"/>
      <c r="L31" s="190"/>
    </row>
    <row r="32" spans="2:21" x14ac:dyDescent="0.25">
      <c r="B32" s="190"/>
      <c r="C32" s="190"/>
      <c r="D32" s="190"/>
      <c r="E32" s="190"/>
      <c r="F32" s="190"/>
      <c r="G32" s="190"/>
      <c r="H32" s="190"/>
      <c r="I32" s="190"/>
      <c r="J32" s="190"/>
      <c r="K32" s="190"/>
      <c r="L32" s="190"/>
      <c r="Q32" s="190" t="s">
        <v>237</v>
      </c>
      <c r="R32" s="190">
        <f>'3 Estacas2'!J7*SIN(RADIANS(60))</f>
        <v>49.796460717605221</v>
      </c>
    </row>
    <row r="33" spans="2:12" x14ac:dyDescent="0.25">
      <c r="B33" s="190"/>
      <c r="C33" s="190"/>
      <c r="D33" s="190"/>
      <c r="E33" s="190"/>
      <c r="F33" s="190"/>
      <c r="G33" s="190"/>
      <c r="H33" s="190"/>
      <c r="I33" s="190"/>
      <c r="J33" s="190"/>
      <c r="K33" s="190"/>
      <c r="L33" s="190"/>
    </row>
    <row r="34" spans="2:12" x14ac:dyDescent="0.25">
      <c r="B34" s="190"/>
      <c r="C34" s="190"/>
      <c r="D34" s="190"/>
      <c r="E34" s="190"/>
      <c r="F34" s="190"/>
      <c r="G34" s="190"/>
      <c r="H34" s="190"/>
      <c r="I34" s="190"/>
      <c r="J34" s="190"/>
      <c r="K34" s="190"/>
      <c r="L34" s="190"/>
    </row>
    <row r="35" spans="2:12" ht="18" x14ac:dyDescent="0.35">
      <c r="B35" s="190"/>
      <c r="C35" s="190"/>
      <c r="D35" s="190"/>
      <c r="E35" s="190"/>
      <c r="F35" s="190"/>
      <c r="G35" s="190"/>
      <c r="H35" s="190"/>
      <c r="I35" s="190" t="s">
        <v>213</v>
      </c>
      <c r="J35" s="190"/>
      <c r="K35" s="190"/>
      <c r="L35" s="190"/>
    </row>
    <row r="36" spans="2:12" x14ac:dyDescent="0.25">
      <c r="B36" s="190"/>
      <c r="C36" s="190"/>
      <c r="D36" s="190"/>
      <c r="E36" s="190"/>
      <c r="F36" s="190"/>
      <c r="G36" s="190"/>
      <c r="H36" s="190"/>
      <c r="I36" s="190"/>
      <c r="J36" s="190"/>
      <c r="K36" s="190"/>
      <c r="L36" s="190"/>
    </row>
    <row r="37" spans="2:12" x14ac:dyDescent="0.25">
      <c r="B37" s="190"/>
      <c r="C37" s="190"/>
      <c r="D37" s="190"/>
      <c r="E37" s="190"/>
      <c r="F37" s="190"/>
      <c r="G37" s="190"/>
      <c r="H37" s="190"/>
      <c r="I37" s="190"/>
      <c r="J37" s="190"/>
      <c r="K37" s="190"/>
      <c r="L37" s="190"/>
    </row>
    <row r="38" spans="2:12" x14ac:dyDescent="0.25"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</row>
    <row r="39" spans="2:12" x14ac:dyDescent="0.25">
      <c r="B39" s="190"/>
      <c r="C39" s="190"/>
      <c r="D39" s="190"/>
      <c r="E39" s="190"/>
      <c r="F39" s="190"/>
      <c r="G39" s="190"/>
      <c r="H39" s="190"/>
      <c r="I39" s="190"/>
      <c r="J39" s="190"/>
      <c r="K39" s="190"/>
      <c r="L39" s="190"/>
    </row>
    <row r="40" spans="2:12" x14ac:dyDescent="0.25"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</row>
    <row r="41" spans="2:12" x14ac:dyDescent="0.25">
      <c r="B41" s="190"/>
      <c r="C41" s="190"/>
      <c r="D41" s="190"/>
      <c r="E41" s="190"/>
      <c r="F41" s="190"/>
      <c r="G41" s="190"/>
      <c r="H41" s="190"/>
      <c r="I41" s="190"/>
      <c r="J41" s="190"/>
      <c r="K41" s="190"/>
      <c r="L41" s="190"/>
    </row>
    <row r="42" spans="2:12" x14ac:dyDescent="0.25">
      <c r="B42" s="190"/>
      <c r="C42" s="190"/>
      <c r="D42" s="190"/>
      <c r="E42" s="190"/>
      <c r="F42" s="190"/>
      <c r="G42" s="190"/>
      <c r="H42" s="190"/>
      <c r="I42" s="190"/>
      <c r="J42" s="190"/>
      <c r="K42" s="190"/>
      <c r="L42" s="190"/>
    </row>
    <row r="43" spans="2:12" x14ac:dyDescent="0.25">
      <c r="B43" s="190"/>
      <c r="C43" s="190"/>
      <c r="D43" s="190"/>
      <c r="E43" s="190"/>
      <c r="F43" s="190"/>
      <c r="G43" s="190"/>
      <c r="H43" s="190"/>
      <c r="I43" s="190"/>
      <c r="J43" s="190"/>
      <c r="K43" s="190"/>
      <c r="L43" s="190"/>
    </row>
    <row r="44" spans="2:12" x14ac:dyDescent="0.25">
      <c r="B44" s="190"/>
      <c r="C44" s="190"/>
      <c r="D44" s="190"/>
      <c r="E44" s="190"/>
      <c r="F44" s="190"/>
      <c r="G44" s="190"/>
      <c r="H44" s="190"/>
      <c r="I44" s="190"/>
      <c r="J44" s="190"/>
      <c r="K44" s="190"/>
      <c r="L44" s="190"/>
    </row>
    <row r="45" spans="2:12" x14ac:dyDescent="0.25"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</row>
    <row r="46" spans="2:12" x14ac:dyDescent="0.25"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</row>
    <row r="47" spans="2:12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</row>
    <row r="48" spans="2:12" x14ac:dyDescent="0.25"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</row>
    <row r="49" spans="1:12" x14ac:dyDescent="0.25"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</row>
    <row r="50" spans="1:12" x14ac:dyDescent="0.25"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</row>
    <row r="51" spans="1:12" x14ac:dyDescent="0.25"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</row>
    <row r="52" spans="1:12" x14ac:dyDescent="0.25"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</row>
    <row r="53" spans="1:12" x14ac:dyDescent="0.25"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</row>
    <row r="54" spans="1:12" x14ac:dyDescent="0.25"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</row>
    <row r="55" spans="1:12" x14ac:dyDescent="0.25"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</row>
    <row r="56" spans="1:12" x14ac:dyDescent="0.25">
      <c r="B56" s="363"/>
      <c r="C56" s="363"/>
      <c r="D56" s="190"/>
      <c r="E56" s="190"/>
      <c r="F56" s="190"/>
      <c r="G56" s="190"/>
      <c r="H56" s="190"/>
      <c r="I56" s="190"/>
      <c r="J56" s="190"/>
      <c r="K56" s="190"/>
      <c r="L56" s="190"/>
    </row>
    <row r="57" spans="1:12" x14ac:dyDescent="0.25">
      <c r="B57" s="363"/>
      <c r="C57" s="363"/>
      <c r="D57" s="190"/>
      <c r="E57" s="190"/>
      <c r="F57" s="190"/>
      <c r="G57" s="190"/>
      <c r="H57" s="190"/>
      <c r="I57" s="190"/>
      <c r="J57" s="190"/>
      <c r="K57" s="190"/>
      <c r="L57" s="190"/>
    </row>
    <row r="58" spans="1:12" x14ac:dyDescent="0.25">
      <c r="B58" s="363"/>
      <c r="C58" s="363"/>
      <c r="D58" s="190"/>
      <c r="E58" s="190"/>
      <c r="F58" s="190"/>
      <c r="G58" s="190"/>
      <c r="H58" s="190"/>
      <c r="I58" s="190"/>
      <c r="J58" s="190"/>
      <c r="K58" s="190"/>
      <c r="L58" s="190"/>
    </row>
    <row r="59" spans="1:12" x14ac:dyDescent="0.25">
      <c r="A59" s="381"/>
      <c r="B59" s="382"/>
      <c r="C59" s="382"/>
      <c r="D59" s="190"/>
      <c r="E59" s="190"/>
      <c r="F59" s="190"/>
      <c r="G59" s="190"/>
      <c r="H59" s="190"/>
      <c r="I59" s="190"/>
      <c r="J59" s="190"/>
      <c r="K59" s="190"/>
      <c r="L59" s="190"/>
    </row>
    <row r="60" spans="1:12" x14ac:dyDescent="0.25">
      <c r="A60" s="381"/>
      <c r="B60" s="384">
        <v>4</v>
      </c>
      <c r="C60" s="384"/>
      <c r="D60" s="356"/>
      <c r="E60" s="356"/>
      <c r="F60" s="190"/>
      <c r="G60" s="190"/>
      <c r="H60" s="190"/>
      <c r="I60" s="190"/>
      <c r="J60" s="190"/>
      <c r="K60" s="190"/>
      <c r="L60" s="190"/>
    </row>
    <row r="61" spans="1:12" x14ac:dyDescent="0.25">
      <c r="A61" s="381"/>
      <c r="B61" s="386">
        <v>6.3</v>
      </c>
      <c r="C61" s="384"/>
      <c r="D61" s="356" t="s">
        <v>132</v>
      </c>
      <c r="E61" s="356">
        <f>IF(B60=1,B61,IF(B60=2,B62,IF(B60=3,B63,IF(B60=4,B64,IF(B60=5,B65,IF(B60=6,B66))))))</f>
        <v>12.5</v>
      </c>
      <c r="F61" s="190"/>
      <c r="G61" s="190"/>
      <c r="H61" s="190"/>
      <c r="I61" s="190"/>
      <c r="J61" s="190"/>
      <c r="K61" s="190"/>
      <c r="L61" s="190"/>
    </row>
    <row r="62" spans="1:12" x14ac:dyDescent="0.25">
      <c r="A62" s="381"/>
      <c r="B62" s="386">
        <v>8</v>
      </c>
      <c r="C62" s="384"/>
      <c r="D62" s="356"/>
      <c r="E62" s="356"/>
      <c r="F62" s="190"/>
      <c r="G62" s="190"/>
      <c r="H62" s="190"/>
      <c r="I62" s="190"/>
      <c r="J62" s="190"/>
      <c r="K62" s="190"/>
      <c r="L62" s="190"/>
    </row>
    <row r="63" spans="1:12" x14ac:dyDescent="0.25">
      <c r="A63" s="381"/>
      <c r="B63" s="386">
        <v>10</v>
      </c>
      <c r="C63" s="384"/>
      <c r="D63" s="356"/>
      <c r="E63" s="356"/>
      <c r="F63" s="190"/>
      <c r="G63" s="190"/>
      <c r="H63" s="190"/>
      <c r="I63" s="190"/>
      <c r="J63" s="190"/>
      <c r="K63" s="190"/>
      <c r="L63" s="190"/>
    </row>
    <row r="64" spans="1:12" x14ac:dyDescent="0.25">
      <c r="A64" s="381"/>
      <c r="B64" s="386">
        <v>12.5</v>
      </c>
      <c r="C64" s="384"/>
      <c r="D64" s="356"/>
      <c r="E64" s="356"/>
      <c r="F64" s="190"/>
      <c r="G64" s="190"/>
      <c r="H64" s="190"/>
      <c r="I64" s="190"/>
      <c r="J64" s="190"/>
      <c r="K64" s="190"/>
      <c r="L64" s="190"/>
    </row>
    <row r="65" spans="1:12" x14ac:dyDescent="0.25">
      <c r="A65" s="381"/>
      <c r="B65" s="386">
        <v>16</v>
      </c>
      <c r="C65" s="384"/>
      <c r="D65" s="356"/>
      <c r="E65" s="356"/>
      <c r="F65" s="190"/>
      <c r="G65" s="190"/>
      <c r="H65" s="190"/>
      <c r="I65" s="190"/>
      <c r="J65" s="190"/>
      <c r="K65" s="190"/>
      <c r="L65" s="190"/>
    </row>
    <row r="66" spans="1:12" x14ac:dyDescent="0.25">
      <c r="A66" s="381"/>
      <c r="B66" s="386">
        <v>20</v>
      </c>
      <c r="C66" s="384"/>
      <c r="D66" s="356"/>
      <c r="E66" s="356"/>
      <c r="F66" s="190"/>
      <c r="G66" s="190"/>
      <c r="H66" s="190"/>
      <c r="I66" s="190"/>
      <c r="J66" s="190"/>
      <c r="K66" s="190"/>
      <c r="L66" s="190"/>
    </row>
    <row r="67" spans="1:12" x14ac:dyDescent="0.25">
      <c r="A67" s="381"/>
      <c r="B67" s="382"/>
      <c r="C67" s="382"/>
      <c r="D67" s="190"/>
      <c r="E67" s="190"/>
      <c r="F67" s="190"/>
      <c r="G67" s="190"/>
      <c r="H67" s="190"/>
      <c r="I67" s="190"/>
      <c r="J67" s="190"/>
      <c r="K67" s="190"/>
      <c r="L67" s="190"/>
    </row>
    <row r="68" spans="1:12" x14ac:dyDescent="0.25">
      <c r="B68" s="363"/>
      <c r="C68" s="363"/>
      <c r="D68" s="190"/>
      <c r="E68" s="190"/>
      <c r="F68" s="190"/>
      <c r="G68" s="190"/>
      <c r="H68" s="190"/>
      <c r="I68" s="190"/>
      <c r="J68" s="190"/>
      <c r="K68" s="190"/>
      <c r="L68" s="190"/>
    </row>
    <row r="69" spans="1:12" x14ac:dyDescent="0.25"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</row>
    <row r="70" spans="1:12" x14ac:dyDescent="0.25"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83" priority="1">
      <formula>$G$16&gt;$G$15</formula>
    </cfRule>
    <cfRule type="expression" dxfId="82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tresmedianasproximodist">
                <anchor moveWithCells="1" sizeWithCells="1">
                  <from>
                    <xdr:col>7</xdr:col>
                    <xdr:colOff>371475</xdr:colOff>
                    <xdr:row>21</xdr:row>
                    <xdr:rowOff>142875</xdr:rowOff>
                  </from>
                  <to>
                    <xdr:col>9</xdr:col>
                    <xdr:colOff>581025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macro94">
                <anchor moveWithCells="1" sizeWithCells="1">
                  <from>
                    <xdr:col>7</xdr:col>
                    <xdr:colOff>371475</xdr:colOff>
                    <xdr:row>18</xdr:row>
                    <xdr:rowOff>104775</xdr:rowOff>
                  </from>
                  <to>
                    <xdr:col>9</xdr:col>
                    <xdr:colOff>581025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1"/>
  <dimension ref="A1:W107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3" width="9.140625" style="190"/>
  </cols>
  <sheetData>
    <row r="1" spans="2:20" x14ac:dyDescent="0.25">
      <c r="B1" s="505" t="s">
        <v>231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3*(C5)/(C7)</f>
        <v>11.346158489437606</v>
      </c>
      <c r="Q4" s="190" t="s">
        <v>130</v>
      </c>
      <c r="R4" s="190">
        <f>(PI()*(F103/10)^2)/4</f>
        <v>0.19634954084936207</v>
      </c>
    </row>
    <row r="5" spans="2:20" ht="18.75" thickBot="1" x14ac:dyDescent="0.3">
      <c r="B5" s="120" t="s">
        <v>167</v>
      </c>
      <c r="C5" s="197">
        <f>'3 Est 2 Arm Lados'!C5*0.2</f>
        <v>131.54966364565342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57</v>
      </c>
    </row>
    <row r="7" spans="2:20" ht="18" x14ac:dyDescent="0.25">
      <c r="B7" s="121" t="s">
        <v>200</v>
      </c>
      <c r="C7" s="123">
        <f>(50/Entradas2!C18)*0.8</f>
        <v>34.782608695652179</v>
      </c>
      <c r="E7" s="518"/>
      <c r="F7" s="519"/>
      <c r="G7" s="520"/>
      <c r="H7" s="34"/>
      <c r="Q7" s="190" t="s">
        <v>133</v>
      </c>
      <c r="R7" s="190">
        <f>G4/R4</f>
        <v>57.785510678338156</v>
      </c>
    </row>
    <row r="8" spans="2:20" ht="15.75" thickBot="1" x14ac:dyDescent="0.3">
      <c r="B8" s="122" t="s">
        <v>136</v>
      </c>
      <c r="C8" s="8">
        <f>Entradas2!C22</f>
        <v>23</v>
      </c>
      <c r="E8" s="199"/>
      <c r="F8" s="200"/>
      <c r="G8" s="201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58</v>
      </c>
      <c r="R10" s="190">
        <f>F103</f>
        <v>5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R13</f>
        <v>1.1526315789473685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((C8)-G10*(F103/10))/T6</f>
        <v>-0.10526315789473684</v>
      </c>
    </row>
    <row r="13" spans="2:20" ht="15.75" thickBot="1" x14ac:dyDescent="0.3">
      <c r="B13" s="521" t="s">
        <v>215</v>
      </c>
      <c r="C13" s="465"/>
      <c r="Q13" s="190" t="s">
        <v>230</v>
      </c>
      <c r="R13" s="190">
        <f>(('4 Estacas2'!J7-'4 Est 2 Armlados dist'!C8)-('4 Est 2 Armlados dist'!G10*'4 Est 2 Armlados dist'!E51/10))/'4 Est 2 Armlados dist'!T6</f>
        <v>1.1526315789473685</v>
      </c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11.388273369263</v>
      </c>
    </row>
    <row r="15" spans="2:20" ht="15.75" thickBot="1" x14ac:dyDescent="0.3">
      <c r="E15" s="492" t="s">
        <v>143</v>
      </c>
      <c r="F15" s="493"/>
      <c r="G15" s="198">
        <f>('3 Estacas2'!J6/COS(RADIANS(30)))-C6+C8/2</f>
        <v>38.099564267050162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10.508177090530726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IF(F103=20,8*F103,5*F103)</f>
        <v>25</v>
      </c>
      <c r="Q21" s="190" t="s">
        <v>148</v>
      </c>
      <c r="R21" s="190">
        <f>(F103/10)*(C7/U19)/4</f>
        <v>15.067402193689496</v>
      </c>
    </row>
    <row r="22" spans="2:21" ht="15.75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 t="s">
        <v>235</v>
      </c>
      <c r="Q23" s="190" t="s">
        <v>152</v>
      </c>
      <c r="R23" s="190">
        <f>'4 Estacas2'!J7+2*('4 Estacas2'!J6-C6-(G21/10)/2+(PI())*(G21/10)/4+10*(F103/10))</f>
        <v>113.92699081698724</v>
      </c>
    </row>
    <row r="24" spans="2:21" ht="15.75" thickBot="1" x14ac:dyDescent="0.3">
      <c r="E24" s="531"/>
      <c r="F24" s="532"/>
      <c r="G24" s="547"/>
      <c r="H24" s="111"/>
      <c r="Q24" s="190" t="s">
        <v>153</v>
      </c>
      <c r="R24" s="190">
        <f>'4 Estacas2'!J7+2*('4 Estacas2'!J6-C6-(G21/10)/2+PI()*(G21/10)/2+2*(F103/10))</f>
        <v>109.85398163397448</v>
      </c>
    </row>
    <row r="27" spans="2:21" x14ac:dyDescent="0.25">
      <c r="Q27" s="190" t="s">
        <v>168</v>
      </c>
      <c r="R27" s="190">
        <f>2*F103/10</f>
        <v>1</v>
      </c>
    </row>
    <row r="28" spans="2:21" x14ac:dyDescent="0.25">
      <c r="Q28" s="354" t="s">
        <v>169</v>
      </c>
      <c r="R28" s="190">
        <f>F103</f>
        <v>5</v>
      </c>
    </row>
    <row r="29" spans="2:21" x14ac:dyDescent="0.25">
      <c r="F29" s="190"/>
      <c r="G29" s="190"/>
      <c r="H29" s="190"/>
      <c r="I29" s="190"/>
      <c r="J29" s="190"/>
    </row>
    <row r="30" spans="2:21" x14ac:dyDescent="0.25">
      <c r="F30" s="190"/>
      <c r="G30" s="190"/>
      <c r="H30" s="190"/>
      <c r="I30" s="190"/>
      <c r="J30" s="190"/>
    </row>
    <row r="31" spans="2:21" x14ac:dyDescent="0.25">
      <c r="F31" s="190"/>
      <c r="G31" s="190"/>
      <c r="H31" s="190"/>
      <c r="I31" s="190"/>
      <c r="J31" s="190"/>
    </row>
    <row r="32" spans="2:21" x14ac:dyDescent="0.25">
      <c r="F32" s="190"/>
      <c r="G32" s="190"/>
      <c r="H32" s="190"/>
      <c r="I32" s="190"/>
      <c r="J32" s="190"/>
    </row>
    <row r="33" spans="2:10" x14ac:dyDescent="0.25">
      <c r="F33" s="190"/>
      <c r="G33" s="190"/>
      <c r="H33" s="190"/>
      <c r="I33" s="190"/>
      <c r="J33" s="190"/>
    </row>
    <row r="34" spans="2:10" x14ac:dyDescent="0.25">
      <c r="F34" s="190"/>
      <c r="G34" s="190"/>
      <c r="H34" s="190"/>
      <c r="I34" s="190"/>
      <c r="J34" s="190"/>
    </row>
    <row r="35" spans="2:10" ht="18" x14ac:dyDescent="0.35">
      <c r="B35" s="191"/>
      <c r="C35" s="190"/>
      <c r="D35" s="190"/>
      <c r="E35" s="190"/>
      <c r="F35" s="190"/>
      <c r="G35" s="190"/>
      <c r="H35" s="190"/>
      <c r="I35" s="190" t="s">
        <v>213</v>
      </c>
      <c r="J35" s="190"/>
    </row>
    <row r="36" spans="2:10" x14ac:dyDescent="0.25">
      <c r="B36" s="191"/>
      <c r="C36" s="190"/>
      <c r="D36" s="190"/>
      <c r="E36" s="190"/>
      <c r="F36" s="190"/>
      <c r="G36" s="190"/>
      <c r="H36" s="190"/>
      <c r="I36" s="190"/>
      <c r="J36" s="190"/>
    </row>
    <row r="100" spans="1:6" x14ac:dyDescent="0.25">
      <c r="A100" s="381"/>
      <c r="B100" s="381"/>
      <c r="C100" s="382"/>
      <c r="D100" s="382"/>
    </row>
    <row r="101" spans="1:6" x14ac:dyDescent="0.25">
      <c r="A101" s="381"/>
      <c r="B101" s="381"/>
      <c r="C101" s="382"/>
      <c r="D101" s="382"/>
      <c r="E101" s="190"/>
      <c r="F101" s="190"/>
    </row>
    <row r="102" spans="1:6" x14ac:dyDescent="0.25">
      <c r="A102" s="381"/>
      <c r="B102" s="381"/>
      <c r="C102" s="384">
        <v>1</v>
      </c>
      <c r="D102" s="384"/>
      <c r="E102" s="356"/>
      <c r="F102" s="356"/>
    </row>
    <row r="103" spans="1:6" x14ac:dyDescent="0.25">
      <c r="A103" s="381"/>
      <c r="B103" s="381"/>
      <c r="C103" s="386">
        <v>5</v>
      </c>
      <c r="D103" s="384"/>
      <c r="E103" s="356" t="s">
        <v>132</v>
      </c>
      <c r="F103" s="356">
        <f>IF(C102=1,C103,IF(C102=2,C104,IF(C102=3,C105,IF(C102=4,C106,IF(C102=5,B35,IF(C102=6,B36))))))</f>
        <v>5</v>
      </c>
    </row>
    <row r="104" spans="1:6" x14ac:dyDescent="0.25">
      <c r="A104" s="381"/>
      <c r="B104" s="381"/>
      <c r="C104" s="386">
        <v>6.3</v>
      </c>
      <c r="D104" s="384"/>
      <c r="E104" s="356"/>
      <c r="F104" s="356"/>
    </row>
    <row r="105" spans="1:6" x14ac:dyDescent="0.25">
      <c r="A105" s="381"/>
      <c r="B105" s="381"/>
      <c r="C105" s="387"/>
      <c r="D105" s="382"/>
      <c r="E105" s="190"/>
      <c r="F105" s="190"/>
    </row>
    <row r="106" spans="1:6" x14ac:dyDescent="0.25">
      <c r="A106" s="381"/>
      <c r="B106" s="381"/>
      <c r="C106" s="387"/>
      <c r="D106" s="382"/>
      <c r="E106" s="190"/>
      <c r="F106" s="190"/>
    </row>
    <row r="107" spans="1:6" x14ac:dyDescent="0.25">
      <c r="A107" s="381"/>
      <c r="B107" s="381"/>
      <c r="C107" s="381"/>
      <c r="D107" s="381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81" priority="1">
      <formula>$G$16&gt;$G$15</formula>
    </cfRule>
    <cfRule type="expression" dxfId="80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Button 2">
              <controlPr defaultSize="0" print="0" autoFill="0" autoPict="0" macro="[0]!macro96">
                <anchor moveWithCells="1" sizeWithCells="1">
                  <from>
                    <xdr:col>7</xdr:col>
                    <xdr:colOff>361950</xdr:colOff>
                    <xdr:row>21</xdr:row>
                    <xdr:rowOff>152400</xdr:rowOff>
                  </from>
                  <to>
                    <xdr:col>9</xdr:col>
                    <xdr:colOff>571500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Button 3">
              <controlPr defaultSize="0" print="0" autoFill="0" autoPict="0" macro="[0]!macro95">
                <anchor moveWithCells="1" sizeWithCells="1">
                  <from>
                    <xdr:col>7</xdr:col>
                    <xdr:colOff>361950</xdr:colOff>
                    <xdr:row>18</xdr:row>
                    <xdr:rowOff>114300</xdr:rowOff>
                  </from>
                  <to>
                    <xdr:col>9</xdr:col>
                    <xdr:colOff>571500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2"/>
  <dimension ref="A1:W55"/>
  <sheetViews>
    <sheetView showGridLines="0" showRowColHeaders="0" zoomScale="85" zoomScaleNormal="85" workbookViewId="0"/>
  </sheetViews>
  <sheetFormatPr defaultRowHeight="15" x14ac:dyDescent="0.25"/>
  <cols>
    <col min="2" max="2" width="7.5703125" customWidth="1"/>
    <col min="3" max="3" width="8.42578125" customWidth="1"/>
    <col min="4" max="4" width="9.7109375" customWidth="1"/>
    <col min="6" max="6" width="12.7109375" customWidth="1"/>
    <col min="7" max="7" width="9.5703125" customWidth="1"/>
    <col min="8" max="8" width="0.7109375" customWidth="1"/>
    <col min="9" max="9" width="8.42578125" customWidth="1"/>
    <col min="10" max="10" width="10.140625" customWidth="1"/>
    <col min="11" max="11" width="7.5703125" customWidth="1"/>
    <col min="14" max="14" width="7.5703125" customWidth="1"/>
    <col min="15" max="15" width="7.7109375" customWidth="1"/>
    <col min="16" max="16" width="9.85546875" customWidth="1"/>
    <col min="17" max="17" width="6.7109375" customWidth="1"/>
    <col min="18" max="18" width="5.28515625" customWidth="1"/>
    <col min="19" max="19" width="32.5703125" bestFit="1" customWidth="1"/>
    <col min="20" max="20" width="9.5703125" bestFit="1" customWidth="1"/>
    <col min="24" max="24" width="13.42578125" bestFit="1" customWidth="1"/>
    <col min="25" max="25" width="14.28515625" bestFit="1" customWidth="1"/>
    <col min="26" max="26" width="18.85546875" bestFit="1" customWidth="1"/>
    <col min="27" max="27" width="11" bestFit="1" customWidth="1"/>
  </cols>
  <sheetData>
    <row r="1" spans="2:23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3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3" ht="15.75" thickBot="1" x14ac:dyDescent="0.3"/>
    <row r="4" spans="2:23" x14ac:dyDescent="0.25">
      <c r="B4" s="20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113" t="s">
        <v>184</v>
      </c>
      <c r="T4" s="117" t="str">
        <f>'3 Estacas2'!I15</f>
        <v>Estaca E3</v>
      </c>
      <c r="U4" s="276"/>
    </row>
    <row r="5" spans="2:23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'3 Estacas2'!K15</f>
        <v>527.43217859460219</v>
      </c>
      <c r="U5" s="276"/>
    </row>
    <row r="6" spans="2:23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'3 Estacas2'!O8</f>
        <v>9642.8571428571449</v>
      </c>
      <c r="U6" s="276"/>
    </row>
    <row r="7" spans="2:23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'3 Estacas2'!O7</f>
        <v>36560.620416315753</v>
      </c>
      <c r="U7" s="276"/>
    </row>
    <row r="8" spans="2:23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'3 Estacas2'!O9</f>
        <v>12152.037394819636</v>
      </c>
      <c r="U8" s="276"/>
    </row>
    <row r="9" spans="2:23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'3 Estacas2'!O10</f>
        <v>15178.571428571429</v>
      </c>
      <c r="U9" s="276"/>
    </row>
    <row r="10" spans="2:23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'3 Estacas2'!O11</f>
        <v>5472.3274784072382</v>
      </c>
      <c r="U10" s="276"/>
    </row>
    <row r="11" spans="2:23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'3 Estacas2'!O12</f>
        <v>2564.9639200150441</v>
      </c>
      <c r="U11" s="276"/>
    </row>
    <row r="12" spans="2:23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'3 Estacas2'!O13</f>
        <v>759.50233717622723</v>
      </c>
      <c r="U12" s="276"/>
      <c r="V12" s="276"/>
      <c r="W12" s="276"/>
    </row>
    <row r="13" spans="2:23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'3 Estacas2'!O5</f>
        <v>0.45</v>
      </c>
      <c r="U13" s="283"/>
    </row>
    <row r="14" spans="2:23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'3 Estacas2'!O6</f>
        <v>0.55000000000000004</v>
      </c>
      <c r="U14" s="283"/>
    </row>
    <row r="15" spans="2:23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'3 Estacas2'!J6</f>
        <v>26.5</v>
      </c>
      <c r="U15" s="276"/>
    </row>
    <row r="16" spans="2:23" ht="18" x14ac:dyDescent="0.35">
      <c r="B16" s="41"/>
      <c r="C16" s="34"/>
      <c r="D16" s="34"/>
      <c r="E16" s="34"/>
      <c r="F16" s="34"/>
      <c r="G16" s="34"/>
      <c r="H16" s="34"/>
      <c r="I16" s="34"/>
      <c r="J16" s="34"/>
      <c r="K16" s="558"/>
      <c r="L16" s="558"/>
      <c r="M16" s="34"/>
      <c r="N16" s="34"/>
      <c r="O16" s="559"/>
      <c r="P16" s="559"/>
      <c r="Q16" s="559"/>
      <c r="R16" s="34"/>
      <c r="S16" s="114" t="s">
        <v>198</v>
      </c>
      <c r="T16" s="118">
        <f>'3 Estacas2'!J7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223"/>
      <c r="L18" s="34"/>
      <c r="M18" s="34"/>
      <c r="N18" s="34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((0.433*(((2.443*(T16/100))^2)-(3*((1.155*(T15/100))^2)))))*T14*1.05</f>
        <v>0.42314895406750319</v>
      </c>
      <c r="U19" s="276"/>
    </row>
    <row r="20" spans="1:21" x14ac:dyDescent="0.25">
      <c r="B20" s="41"/>
      <c r="C20" s="34"/>
      <c r="D20" s="34"/>
      <c r="E20" s="34"/>
      <c r="F20" s="34"/>
      <c r="G20" s="34"/>
      <c r="H20" s="34"/>
      <c r="I20" s="112"/>
      <c r="K20" s="34"/>
      <c r="L20" s="34"/>
      <c r="M20" s="34"/>
      <c r="N20" s="34"/>
      <c r="O20" s="34"/>
      <c r="Q20" s="223"/>
      <c r="R20" s="34"/>
      <c r="S20" s="114" t="s">
        <v>196</v>
      </c>
      <c r="T20" s="119" t="s">
        <v>197</v>
      </c>
      <c r="U20" s="276"/>
    </row>
    <row r="21" spans="1:21" x14ac:dyDescent="0.25">
      <c r="B21" s="41"/>
      <c r="C21" s="34"/>
      <c r="D21" s="34"/>
      <c r="E21" s="34"/>
      <c r="F21" s="34"/>
      <c r="G21" s="34"/>
      <c r="H21" s="34"/>
      <c r="I21" s="112"/>
      <c r="K21" s="34"/>
      <c r="L21" s="34"/>
      <c r="M21" s="34"/>
      <c r="N21" s="34"/>
      <c r="O21" s="34"/>
      <c r="Q21" s="223"/>
      <c r="R21" s="34"/>
      <c r="S21" s="594" t="s">
        <v>239</v>
      </c>
      <c r="T21" s="595"/>
      <c r="U21" s="276"/>
    </row>
    <row r="22" spans="1:21" x14ac:dyDescent="0.25">
      <c r="B22" s="41"/>
      <c r="C22" s="34"/>
      <c r="D22" s="34"/>
      <c r="E22" s="34"/>
      <c r="F22" s="34"/>
      <c r="G22" s="34"/>
      <c r="H22" s="34"/>
      <c r="I22" s="112"/>
      <c r="K22" s="34"/>
      <c r="L22" s="34"/>
      <c r="M22" s="34"/>
      <c r="N22" s="34"/>
      <c r="O22" s="34"/>
      <c r="Q22" s="223"/>
      <c r="R22" s="34"/>
      <c r="S22" s="114" t="s">
        <v>190</v>
      </c>
      <c r="T22" s="119">
        <f>'3 Est 2 Arm Lados'!$E$61</f>
        <v>8</v>
      </c>
      <c r="U22" s="283"/>
    </row>
    <row r="23" spans="1:21" x14ac:dyDescent="0.25">
      <c r="B23" s="41"/>
      <c r="C23" s="34"/>
      <c r="D23" s="34"/>
      <c r="E23" s="34"/>
      <c r="F23" s="34"/>
      <c r="G23" s="34"/>
      <c r="H23" s="34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235">
        <f>'3 Est 2 Arm Lados'!$G$11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'3 Est 2 Arm Lados'!$G$21</f>
        <v>40</v>
      </c>
      <c r="U24" s="283"/>
    </row>
    <row r="25" spans="1:21" x14ac:dyDescent="0.25">
      <c r="B25" s="41"/>
      <c r="C25" s="34"/>
      <c r="D25" s="34"/>
      <c r="E25" s="34"/>
      <c r="I25" s="34"/>
      <c r="J25" s="34"/>
      <c r="N25" s="183"/>
      <c r="P25" s="34"/>
      <c r="Q25" s="34"/>
      <c r="R25" s="34"/>
      <c r="S25" s="596" t="s">
        <v>240</v>
      </c>
      <c r="T25" s="597"/>
      <c r="U25" s="283"/>
    </row>
    <row r="26" spans="1:21" x14ac:dyDescent="0.25">
      <c r="B26" s="41"/>
      <c r="C26" s="34"/>
      <c r="D26" s="34"/>
      <c r="E26" s="34"/>
      <c r="I26" s="34"/>
      <c r="J26" s="34"/>
      <c r="O26" s="34"/>
      <c r="P26" s="34"/>
      <c r="Q26" s="34"/>
      <c r="R26" s="34"/>
      <c r="S26" s="114" t="s">
        <v>190</v>
      </c>
      <c r="T26" s="119">
        <f>'3 Est 2 Arm Lados Dist'!E46</f>
        <v>6.3</v>
      </c>
      <c r="U26" s="283"/>
    </row>
    <row r="27" spans="1:21" x14ac:dyDescent="0.25">
      <c r="B27" s="41"/>
      <c r="C27" s="34"/>
      <c r="D27" s="34"/>
      <c r="E27" s="34"/>
      <c r="H27" s="34"/>
      <c r="I27" s="34"/>
      <c r="J27" s="34"/>
      <c r="K27" s="34"/>
      <c r="O27" s="34"/>
      <c r="P27" s="34"/>
      <c r="Q27" s="34"/>
      <c r="R27" s="34"/>
      <c r="S27" s="114" t="s">
        <v>206</v>
      </c>
      <c r="T27" s="235">
        <f>'3 Est 2 Arm Lados Dist'!G11</f>
        <v>1.1526315789473685</v>
      </c>
      <c r="U27" s="283"/>
    </row>
    <row r="28" spans="1:21" ht="18.75" thickBot="1" x14ac:dyDescent="0.4">
      <c r="B28" s="41"/>
      <c r="C28" s="34"/>
      <c r="D28" s="34"/>
      <c r="E28" s="34"/>
      <c r="F28" s="558" t="s">
        <v>241</v>
      </c>
      <c r="G28" s="558"/>
      <c r="H28" s="558"/>
      <c r="K28" s="558" t="s">
        <v>242</v>
      </c>
      <c r="L28" s="558"/>
      <c r="M28" s="558"/>
      <c r="R28" s="34"/>
      <c r="S28" s="127" t="s">
        <v>207</v>
      </c>
      <c r="T28" s="128">
        <f>'3 Est 2 Arm Lados Dist'!G21</f>
        <v>31.5</v>
      </c>
      <c r="U28" s="283"/>
    </row>
    <row r="29" spans="1:21" x14ac:dyDescent="0.25">
      <c r="B29" s="41"/>
      <c r="C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R29" s="34"/>
      <c r="S29" s="34"/>
      <c r="T29" s="42"/>
    </row>
    <row r="30" spans="1:21" x14ac:dyDescent="0.25">
      <c r="B30" s="41"/>
      <c r="C30" s="34"/>
      <c r="D30" s="223" t="str">
        <f>CONCATENATE(IF(T22=20,2*T22/10,0)," cm")</f>
        <v>0 cm</v>
      </c>
      <c r="E30" s="34"/>
      <c r="F30" s="34"/>
      <c r="G30" s="223" t="str">
        <f>CONCATENATE(IF(W22=20,2*W22/10,0)," cm")</f>
        <v>0 cm</v>
      </c>
      <c r="H30" s="34"/>
      <c r="K30" s="223" t="str">
        <f>CONCATENATE(IF(T26=20,2*T26/10,0)," cm")</f>
        <v>0 cm</v>
      </c>
      <c r="O30" s="223" t="str">
        <f>CONCATENATE(IF(AE22=20,2*AE22/10,0)," cm")</f>
        <v>0 cm</v>
      </c>
      <c r="R30" s="34"/>
      <c r="S30" s="34"/>
      <c r="T30" s="42"/>
    </row>
    <row r="31" spans="1:21" x14ac:dyDescent="0.25">
      <c r="B31" s="41"/>
      <c r="C31" s="560" t="str">
        <f>CONCATENATE(IF(T22&lt;20,T22, "Dobra de 8Ф")," cm")</f>
        <v>8 cm</v>
      </c>
      <c r="D31" s="34"/>
      <c r="E31" s="34"/>
      <c r="F31" s="34"/>
      <c r="G31" s="34"/>
      <c r="H31" s="34"/>
      <c r="I31" s="560" t="str">
        <f>CONCATENATE(IF(T22&lt;20,T22, "Dobra de 8Ф")," cm")</f>
        <v>8 cm</v>
      </c>
      <c r="J31" s="560" t="str">
        <f>CONCATENATE(IF(T26&lt;20,T26, "Dobra de 8Ф")," cm")</f>
        <v>6,3 cm</v>
      </c>
      <c r="K31" s="34"/>
      <c r="L31" s="34"/>
      <c r="M31" s="34"/>
      <c r="N31" s="34"/>
      <c r="O31" s="34"/>
      <c r="P31" s="560" t="str">
        <f>CONCATENATE(IF(T26&lt;20,T26, "Dobra de 8Ф")," cm")</f>
        <v>6,3 cm</v>
      </c>
      <c r="Q31" s="34"/>
      <c r="R31" s="34"/>
      <c r="S31" s="34"/>
      <c r="T31" s="42"/>
    </row>
    <row r="32" spans="1:21" x14ac:dyDescent="0.25">
      <c r="A32" s="42"/>
      <c r="B32" s="34"/>
      <c r="C32" s="560"/>
      <c r="D32" s="34"/>
      <c r="G32" s="34"/>
      <c r="H32" s="34"/>
      <c r="I32" s="560"/>
      <c r="J32" s="560"/>
      <c r="K32" s="34"/>
      <c r="O32" s="34"/>
      <c r="P32" s="560"/>
      <c r="Q32" s="34"/>
      <c r="R32" s="34"/>
      <c r="S32" s="34"/>
      <c r="T32" s="42"/>
      <c r="U32" s="34"/>
    </row>
    <row r="33" spans="1:20" x14ac:dyDescent="0.25">
      <c r="A33" s="42"/>
      <c r="B33" s="34"/>
      <c r="C33" s="560"/>
      <c r="D33" s="34"/>
      <c r="E33" s="598" t="str">
        <f>CONCATENATE((ROUNDUP(('3 Est 2 Arm Medianas'!R32+2*(T15/COS(RADIANS(30)))-2*'3 Est 2 Arm Medianas'!C6-T24/10),2))," cm")</f>
        <v>99 cm</v>
      </c>
      <c r="F33" s="598"/>
      <c r="G33" s="34"/>
      <c r="H33" s="34"/>
      <c r="I33" s="560"/>
      <c r="J33" s="560"/>
      <c r="K33" s="34"/>
      <c r="L33" s="559"/>
      <c r="M33" s="559"/>
      <c r="N33" s="559"/>
      <c r="O33" s="34"/>
      <c r="P33" s="560"/>
      <c r="Q33" s="34"/>
      <c r="R33" s="34"/>
      <c r="S33" s="34"/>
      <c r="T33" s="42"/>
    </row>
    <row r="34" spans="1:20" x14ac:dyDescent="0.25">
      <c r="A34" s="42"/>
      <c r="B34" s="34"/>
      <c r="C34" s="34"/>
      <c r="D34" s="559" t="str">
        <f>CONCATENATE('3 Est 2 Arm Medianas'!G10," Ф ",T22," mm"," c/ ",'3 Est 2 Arm Medianas'!G23," cm.")</f>
        <v>15 Ф 8 mm c/ 71 cm.</v>
      </c>
      <c r="E34" s="559"/>
      <c r="F34" s="559"/>
      <c r="G34" s="559"/>
      <c r="H34" s="559"/>
      <c r="I34" s="34"/>
      <c r="J34" s="34"/>
      <c r="K34" s="559" t="str">
        <f>CONCATENATE('3 Est2 Arm Median. Dist'!G10," Ф ",'3 Est 2 Arm Lados Dist'!E46," mm"," c/ ","Variável"," .")</f>
        <v>58 Ф 6,3 mm c/ Variável .</v>
      </c>
      <c r="L34" s="559"/>
      <c r="M34" s="559"/>
      <c r="N34" s="559"/>
      <c r="O34" s="559"/>
      <c r="P34" s="34"/>
      <c r="Q34" s="34"/>
      <c r="R34" s="34"/>
      <c r="S34" s="34"/>
      <c r="T34" s="42"/>
    </row>
    <row r="35" spans="1:20" x14ac:dyDescent="0.25">
      <c r="A35" s="42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42"/>
    </row>
    <row r="36" spans="1:20" x14ac:dyDescent="0.25">
      <c r="A36" s="42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42"/>
    </row>
    <row r="37" spans="1:20" x14ac:dyDescent="0.25">
      <c r="A37" s="42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42"/>
    </row>
    <row r="38" spans="1:20" x14ac:dyDescent="0.25">
      <c r="A38" s="42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42"/>
    </row>
    <row r="39" spans="1:20" x14ac:dyDescent="0.25">
      <c r="A39" s="42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42"/>
    </row>
    <row r="40" spans="1:20" ht="15.75" thickBot="1" x14ac:dyDescent="0.3">
      <c r="A40" s="42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42"/>
    </row>
    <row r="41" spans="1:20" ht="15.75" thickBot="1" x14ac:dyDescent="0.3">
      <c r="A41" s="42"/>
      <c r="B41" s="34"/>
      <c r="C41" s="34"/>
      <c r="D41" s="34"/>
      <c r="E41" s="34"/>
      <c r="F41" s="34"/>
      <c r="G41" s="34"/>
      <c r="H41" s="34"/>
      <c r="I41" s="566" t="s">
        <v>243</v>
      </c>
      <c r="J41" s="567"/>
      <c r="K41" s="567"/>
      <c r="L41" s="567"/>
      <c r="M41" s="567"/>
      <c r="N41" s="567"/>
      <c r="O41" s="567"/>
      <c r="P41" s="567"/>
      <c r="Q41" s="568"/>
      <c r="R41" s="34"/>
      <c r="S41" s="34"/>
      <c r="T41" s="42"/>
    </row>
    <row r="42" spans="1:20" ht="18" x14ac:dyDescent="0.35">
      <c r="A42" s="42"/>
      <c r="B42" s="34"/>
      <c r="C42" s="34"/>
      <c r="D42" s="34"/>
      <c r="E42" s="34"/>
      <c r="F42" s="34"/>
      <c r="G42" s="34"/>
      <c r="H42" s="34"/>
      <c r="I42" s="609" t="s">
        <v>194</v>
      </c>
      <c r="J42" s="600"/>
      <c r="K42" s="599" t="s">
        <v>193</v>
      </c>
      <c r="L42" s="600"/>
      <c r="M42" s="599" t="s">
        <v>192</v>
      </c>
      <c r="N42" s="600"/>
      <c r="O42" s="599" t="s">
        <v>191</v>
      </c>
      <c r="P42" s="601"/>
      <c r="Q42" s="602"/>
      <c r="R42" s="34"/>
      <c r="S42" s="34"/>
      <c r="T42" s="42"/>
    </row>
    <row r="43" spans="1:20" ht="15.75" thickBot="1" x14ac:dyDescent="0.3">
      <c r="A43" s="42"/>
      <c r="B43" s="34"/>
      <c r="C43" s="34"/>
      <c r="D43" s="34"/>
      <c r="E43" s="34"/>
      <c r="F43" s="34"/>
      <c r="G43" s="34"/>
      <c r="H43" s="34"/>
      <c r="I43" s="603">
        <f>T22</f>
        <v>8</v>
      </c>
      <c r="J43" s="604"/>
      <c r="K43" s="605">
        <f>('3 Est 2 Arm Medianas'!G23/100)*'3 Est 2 Arm Lados'!$G$10*3</f>
        <v>66.03</v>
      </c>
      <c r="L43" s="604"/>
      <c r="M43" s="605">
        <f>IF(T22=6.3,0.245,IF(T22=8,0.395,IF(T22=10,0.617,IF(T22=12.5,0.963,IF(T22=16,1.578,IF(T22=20,2.466))))))</f>
        <v>0.39500000000000002</v>
      </c>
      <c r="N43" s="604"/>
      <c r="O43" s="606">
        <f>(M43*K43)*1.1</f>
        <v>28.690035000000005</v>
      </c>
      <c r="P43" s="607"/>
      <c r="Q43" s="608"/>
      <c r="R43" s="34"/>
      <c r="S43" s="34"/>
      <c r="T43" s="42"/>
    </row>
    <row r="44" spans="1:20" ht="15.75" thickBot="1" x14ac:dyDescent="0.3">
      <c r="A44" s="42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237"/>
      <c r="N44" s="237"/>
      <c r="O44" s="237"/>
      <c r="P44" s="237"/>
      <c r="Q44" s="237"/>
      <c r="R44" s="34"/>
      <c r="S44" s="34"/>
      <c r="T44" s="42"/>
    </row>
    <row r="45" spans="1:20" ht="15.75" thickBot="1" x14ac:dyDescent="0.3">
      <c r="A45" s="42"/>
      <c r="B45" s="34"/>
      <c r="C45" s="34"/>
      <c r="D45" s="34"/>
      <c r="E45" s="34"/>
      <c r="F45" s="34"/>
      <c r="G45" s="34"/>
      <c r="H45" s="34"/>
      <c r="I45" s="566" t="s">
        <v>244</v>
      </c>
      <c r="J45" s="567"/>
      <c r="K45" s="567"/>
      <c r="L45" s="567"/>
      <c r="M45" s="567"/>
      <c r="N45" s="567"/>
      <c r="O45" s="567"/>
      <c r="P45" s="567"/>
      <c r="Q45" s="568"/>
      <c r="R45" s="34"/>
      <c r="S45" s="34"/>
      <c r="T45" s="42"/>
    </row>
    <row r="46" spans="1:20" ht="18" x14ac:dyDescent="0.35">
      <c r="A46" s="42"/>
      <c r="B46" s="34"/>
      <c r="C46" s="34"/>
      <c r="D46" s="34"/>
      <c r="E46" s="34"/>
      <c r="F46" s="34"/>
      <c r="G46" s="34"/>
      <c r="H46" s="34"/>
      <c r="I46" s="609" t="s">
        <v>194</v>
      </c>
      <c r="J46" s="600"/>
      <c r="K46" s="599" t="s">
        <v>193</v>
      </c>
      <c r="L46" s="600"/>
      <c r="M46" s="599" t="s">
        <v>192</v>
      </c>
      <c r="N46" s="600"/>
      <c r="O46" s="599" t="s">
        <v>191</v>
      </c>
      <c r="P46" s="601"/>
      <c r="Q46" s="602"/>
      <c r="R46" s="34"/>
      <c r="S46" s="34"/>
      <c r="T46" s="42"/>
    </row>
    <row r="47" spans="1:20" ht="15.75" thickBot="1" x14ac:dyDescent="0.3">
      <c r="A47" s="42"/>
      <c r="B47" s="34"/>
      <c r="C47" s="34"/>
      <c r="D47" s="34"/>
      <c r="E47" s="34"/>
      <c r="F47" s="34"/>
      <c r="G47" s="34"/>
      <c r="H47" s="34"/>
      <c r="I47" s="603">
        <f>T26</f>
        <v>6.3</v>
      </c>
      <c r="J47" s="604"/>
      <c r="K47" s="605" t="str">
        <f>"Variável"</f>
        <v>Variável</v>
      </c>
      <c r="L47" s="604"/>
      <c r="M47" s="605">
        <f>IF(T26=6.3,0.245,IF(T26=8,0.395,IF(T26=10,0.617,IF(T26=12.5,0.963,IF(T26=16,1.578,IF(T26=20,2.466))))))</f>
        <v>0.245</v>
      </c>
      <c r="N47" s="604"/>
      <c r="O47" s="606" t="str">
        <f>"Variável"</f>
        <v>Variável</v>
      </c>
      <c r="P47" s="607"/>
      <c r="Q47" s="608"/>
      <c r="R47" s="34"/>
      <c r="S47" s="34"/>
      <c r="T47" s="42"/>
    </row>
    <row r="48" spans="1:20" x14ac:dyDescent="0.25">
      <c r="A48" s="42"/>
      <c r="T48" s="42"/>
    </row>
    <row r="49" spans="1:20" x14ac:dyDescent="0.25">
      <c r="A49" s="42"/>
      <c r="T49" s="42"/>
    </row>
    <row r="50" spans="1:20" ht="15.75" thickBot="1" x14ac:dyDescent="0.3">
      <c r="A50" s="42"/>
      <c r="B50" s="225"/>
      <c r="C50" s="226"/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27"/>
    </row>
    <row r="54" spans="1:20" x14ac:dyDescent="0.25">
      <c r="D54" s="111"/>
      <c r="E54" s="111"/>
    </row>
    <row r="55" spans="1:20" x14ac:dyDescent="0.25">
      <c r="D55" s="111"/>
    </row>
  </sheetData>
  <mergeCells count="34">
    <mergeCell ref="I47:J47"/>
    <mergeCell ref="K47:L47"/>
    <mergeCell ref="M47:N47"/>
    <mergeCell ref="O47:Q47"/>
    <mergeCell ref="I41:Q41"/>
    <mergeCell ref="I42:J42"/>
    <mergeCell ref="K42:L42"/>
    <mergeCell ref="M42:N42"/>
    <mergeCell ref="O42:Q42"/>
    <mergeCell ref="I43:J43"/>
    <mergeCell ref="K43:L43"/>
    <mergeCell ref="M43:N43"/>
    <mergeCell ref="O43:Q43"/>
    <mergeCell ref="I45:Q45"/>
    <mergeCell ref="I46:J46"/>
    <mergeCell ref="K46:L46"/>
    <mergeCell ref="C31:C33"/>
    <mergeCell ref="I31:I33"/>
    <mergeCell ref="J31:J33"/>
    <mergeCell ref="P31:P33"/>
    <mergeCell ref="D34:H34"/>
    <mergeCell ref="K34:O34"/>
    <mergeCell ref="M46:N46"/>
    <mergeCell ref="O46:Q46"/>
    <mergeCell ref="E33:F33"/>
    <mergeCell ref="L33:N33"/>
    <mergeCell ref="F28:H28"/>
    <mergeCell ref="K28:M28"/>
    <mergeCell ref="S25:T25"/>
    <mergeCell ref="B1:T2"/>
    <mergeCell ref="K16:L16"/>
    <mergeCell ref="O16:Q16"/>
    <mergeCell ref="S21:T21"/>
    <mergeCell ref="L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utoCAD.Drawing.18" shapeId="105477" r:id="rId4">
          <objectPr defaultSize="0" autoPict="0" r:id="rId5">
            <anchor moveWithCells="1">
              <from>
                <xdr:col>6</xdr:col>
                <xdr:colOff>76200</xdr:colOff>
                <xdr:row>3</xdr:row>
                <xdr:rowOff>28575</xdr:rowOff>
              </from>
              <to>
                <xdr:col>11</xdr:col>
                <xdr:colOff>533400</xdr:colOff>
                <xdr:row>15</xdr:row>
                <xdr:rowOff>114300</xdr:rowOff>
              </to>
            </anchor>
          </objectPr>
        </oleObject>
      </mc:Choice>
      <mc:Fallback>
        <oleObject progId="AutoCAD.Drawing.18" shapeId="105477" r:id="rId4"/>
      </mc:Fallback>
    </mc:AlternateContent>
    <mc:AlternateContent xmlns:mc="http://schemas.openxmlformats.org/markup-compatibility/2006">
      <mc:Choice Requires="x14">
        <oleObject progId="AutoCAD.Drawing.18" shapeId="105479" r:id="rId6">
          <objectPr defaultSize="0" autoPict="0" r:id="rId7">
            <anchor>
              <from>
                <xdr:col>9</xdr:col>
                <xdr:colOff>247650</xdr:colOff>
                <xdr:row>25</xdr:row>
                <xdr:rowOff>76200</xdr:rowOff>
              </from>
              <to>
                <xdr:col>15</xdr:col>
                <xdr:colOff>361950</xdr:colOff>
                <xdr:row>35</xdr:row>
                <xdr:rowOff>95250</xdr:rowOff>
              </to>
            </anchor>
          </objectPr>
        </oleObject>
      </mc:Choice>
      <mc:Fallback>
        <oleObject progId="AutoCAD.Drawing.18" shapeId="105479" r:id="rId6"/>
      </mc:Fallback>
    </mc:AlternateContent>
    <mc:AlternateContent xmlns:mc="http://schemas.openxmlformats.org/markup-compatibility/2006">
      <mc:Choice Requires="x14">
        <oleObject progId="AutoCAD.Drawing.18" shapeId="105480" r:id="rId8">
          <objectPr defaultSize="0" autoPict="0" r:id="rId9">
            <anchor moveWithCells="1">
              <from>
                <xdr:col>4</xdr:col>
                <xdr:colOff>257175</xdr:colOff>
                <xdr:row>15</xdr:row>
                <xdr:rowOff>152400</xdr:rowOff>
              </from>
              <to>
                <xdr:col>13</xdr:col>
                <xdr:colOff>314325</xdr:colOff>
                <xdr:row>26</xdr:row>
                <xdr:rowOff>152400</xdr:rowOff>
              </to>
            </anchor>
          </objectPr>
        </oleObject>
      </mc:Choice>
      <mc:Fallback>
        <oleObject progId="AutoCAD.Drawing.18" shapeId="105480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10" name="Button 1">
              <controlPr defaultSize="0" print="0" autoFill="0" autoPict="0" macro="[0]!macro97">
                <anchor moveWithCells="1" sizeWithCells="1">
                  <from>
                    <xdr:col>18</xdr:col>
                    <xdr:colOff>0</xdr:colOff>
                    <xdr:row>44</xdr:row>
                    <xdr:rowOff>9525</xdr:rowOff>
                  </from>
                  <to>
                    <xdr:col>18</xdr:col>
                    <xdr:colOff>1952625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AH41"/>
  <sheetViews>
    <sheetView showGridLines="0" showRowColHeaders="0" zoomScale="85" zoomScaleNormal="85" workbookViewId="0">
      <pane xSplit="16965" topLeftCell="W1"/>
      <selection pane="topRight" activeCell="W17" sqref="W17"/>
    </sheetView>
  </sheetViews>
  <sheetFormatPr defaultRowHeight="15" x14ac:dyDescent="0.25"/>
  <cols>
    <col min="14" max="14" width="11.7109375" bestFit="1" customWidth="1"/>
    <col min="15" max="15" width="10.7109375" bestFit="1" customWidth="1"/>
    <col min="20" max="20" width="21.42578125" bestFit="1" customWidth="1"/>
    <col min="21" max="21" width="11.7109375" customWidth="1"/>
    <col min="22" max="22" width="19.7109375" bestFit="1" customWidth="1"/>
    <col min="23" max="23" width="12.5703125" bestFit="1" customWidth="1"/>
    <col min="24" max="24" width="7.7109375" bestFit="1" customWidth="1"/>
    <col min="26" max="27" width="9.140625" style="350"/>
    <col min="28" max="28" width="21.42578125" style="350" bestFit="1" customWidth="1"/>
    <col min="29" max="29" width="12" style="350" bestFit="1" customWidth="1"/>
    <col min="30" max="30" width="9.140625" style="350"/>
    <col min="31" max="31" width="12.5703125" style="350" bestFit="1" customWidth="1"/>
    <col min="32" max="34" width="9.140625" style="350"/>
  </cols>
  <sheetData>
    <row r="1" spans="2:32" ht="15.75" thickBot="1" x14ac:dyDescent="0.3"/>
    <row r="2" spans="2:32" x14ac:dyDescent="0.25">
      <c r="B2" s="20"/>
      <c r="C2" s="92"/>
      <c r="D2" s="92"/>
      <c r="E2" s="92"/>
      <c r="F2" s="92"/>
      <c r="G2" s="92"/>
      <c r="H2" s="92"/>
      <c r="I2" s="92"/>
      <c r="J2" s="92"/>
      <c r="K2" s="92"/>
      <c r="L2" s="21"/>
      <c r="T2" s="461" t="s">
        <v>170</v>
      </c>
      <c r="U2" s="462"/>
      <c r="V2" s="24"/>
    </row>
    <row r="3" spans="2:32" ht="15.75" thickBot="1" x14ac:dyDescent="0.3">
      <c r="B3" s="41"/>
      <c r="C3" s="34"/>
      <c r="D3" s="34"/>
      <c r="E3" s="34"/>
      <c r="F3" s="34"/>
      <c r="G3" s="34"/>
      <c r="H3" s="34"/>
      <c r="I3" s="34"/>
      <c r="J3" s="34"/>
      <c r="K3" s="34"/>
      <c r="L3" s="42"/>
      <c r="T3" s="463"/>
      <c r="U3" s="464"/>
      <c r="V3" s="24"/>
    </row>
    <row r="4" spans="2:32" ht="15.75" thickBot="1" x14ac:dyDescent="0.3">
      <c r="B4" s="41"/>
      <c r="C4" s="34"/>
      <c r="D4" s="34"/>
      <c r="E4" s="34"/>
      <c r="F4" s="34"/>
      <c r="G4" s="34"/>
      <c r="H4" s="34"/>
      <c r="I4" s="34"/>
      <c r="J4" s="34"/>
      <c r="K4" s="34"/>
      <c r="L4" s="42"/>
      <c r="O4" s="84" t="s">
        <v>77</v>
      </c>
      <c r="P4" s="85" t="s">
        <v>78</v>
      </c>
      <c r="Q4" s="85" t="s">
        <v>80</v>
      </c>
      <c r="R4" s="86" t="s">
        <v>81</v>
      </c>
      <c r="T4" s="24"/>
      <c r="U4" s="24"/>
      <c r="V4" s="24"/>
      <c r="AB4" s="350" t="s">
        <v>60</v>
      </c>
      <c r="AC4" s="350">
        <f>Blocos!L1</f>
        <v>2</v>
      </c>
    </row>
    <row r="5" spans="2:32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42"/>
      <c r="N5" s="87" t="s">
        <v>73</v>
      </c>
      <c r="O5" s="77">
        <f>Entradas2!C22</f>
        <v>23</v>
      </c>
      <c r="P5" s="62">
        <f>Entradas2!C22</f>
        <v>23</v>
      </c>
      <c r="Q5" s="62">
        <f>Entradas2!C22</f>
        <v>23</v>
      </c>
      <c r="R5" s="63">
        <f>Entradas2!C22</f>
        <v>23</v>
      </c>
      <c r="T5" s="146" t="s">
        <v>172</v>
      </c>
      <c r="U5" s="147">
        <f>AD8/100</f>
        <v>0.9</v>
      </c>
      <c r="V5" s="579" t="s">
        <v>210</v>
      </c>
    </row>
    <row r="6" spans="2:32" ht="15.75" thickBot="1" x14ac:dyDescent="0.3">
      <c r="B6" s="41"/>
      <c r="C6" s="34"/>
      <c r="D6" s="34"/>
      <c r="E6" s="34"/>
      <c r="F6" s="34"/>
      <c r="G6" s="34"/>
      <c r="H6" s="34"/>
      <c r="I6" s="34"/>
      <c r="J6" s="34"/>
      <c r="K6" s="34"/>
      <c r="L6" s="42"/>
      <c r="N6" s="88" t="s">
        <v>69</v>
      </c>
      <c r="O6" s="78">
        <f>Entradas2!C22/2+15</f>
        <v>26.5</v>
      </c>
      <c r="P6" s="54">
        <f>Entradas2!C22/2+15</f>
        <v>26.5</v>
      </c>
      <c r="Q6" s="54">
        <f>Entradas2!C22/2+15</f>
        <v>26.5</v>
      </c>
      <c r="R6" s="55">
        <f>Entradas2!C22/2+15</f>
        <v>26.5</v>
      </c>
      <c r="T6" s="148" t="s">
        <v>173</v>
      </c>
      <c r="U6" s="149">
        <f>AC9/100</f>
        <v>1</v>
      </c>
      <c r="V6" s="580"/>
      <c r="AB6" s="351" t="s">
        <v>86</v>
      </c>
      <c r="AC6" s="350">
        <f>Entradas2!C12</f>
        <v>45</v>
      </c>
      <c r="AE6" s="351" t="s">
        <v>108</v>
      </c>
      <c r="AF6" s="350">
        <f>Entradas2!C9*AD8/100</f>
        <v>0</v>
      </c>
    </row>
    <row r="7" spans="2:32" ht="18" x14ac:dyDescent="0.25">
      <c r="B7" s="41"/>
      <c r="C7" s="34"/>
      <c r="D7" s="34"/>
      <c r="E7" s="34"/>
      <c r="F7" s="34"/>
      <c r="G7" s="34"/>
      <c r="H7" s="34"/>
      <c r="I7" s="34"/>
      <c r="J7" s="34"/>
      <c r="K7" s="34"/>
      <c r="L7" s="42"/>
      <c r="N7" s="88" t="s">
        <v>79</v>
      </c>
      <c r="O7" s="78">
        <f>Entradas2!C22*Entradas2!L21</f>
        <v>57.5</v>
      </c>
      <c r="P7" s="54">
        <f>Entradas2!C22*Entradas2!L21</f>
        <v>57.5</v>
      </c>
      <c r="Q7" s="54">
        <f>Entradas2!C22*Entradas2!L21</f>
        <v>57.5</v>
      </c>
      <c r="R7" s="55">
        <f>Entradas2!C22*Entradas2!L21</f>
        <v>57.5</v>
      </c>
      <c r="T7" s="146" t="s">
        <v>174</v>
      </c>
      <c r="U7" s="147">
        <f>AC19</f>
        <v>35020.732562085206</v>
      </c>
      <c r="V7" s="586" t="str">
        <f>IF(U7&gt;U8,"Opção: Aumentar o fck do Concreto","Verificação Atendida")</f>
        <v>Opção: Aumentar o fck do Concreto</v>
      </c>
      <c r="AB7" s="351" t="s">
        <v>102</v>
      </c>
      <c r="AC7" s="350">
        <f>SQRT((O8)^2)*100</f>
        <v>86.25</v>
      </c>
      <c r="AE7" s="351" t="s">
        <v>109</v>
      </c>
      <c r="AF7" s="350">
        <f>Entradas2!C8*AD8/100</f>
        <v>0</v>
      </c>
    </row>
    <row r="8" spans="2:32" ht="18.75" thickBot="1" x14ac:dyDescent="0.3">
      <c r="B8" s="41"/>
      <c r="C8" s="34"/>
      <c r="D8" s="34"/>
      <c r="E8" s="34"/>
      <c r="F8" s="34"/>
      <c r="G8" s="34"/>
      <c r="H8" s="34"/>
      <c r="I8" s="34"/>
      <c r="J8" s="34"/>
      <c r="K8" s="34"/>
      <c r="L8" s="42"/>
      <c r="N8" s="88" t="s">
        <v>98</v>
      </c>
      <c r="O8" s="78">
        <f>-(O7+O7/2)/100</f>
        <v>-0.86250000000000004</v>
      </c>
      <c r="P8" s="54">
        <f>-(P7/2)/100</f>
        <v>-0.28749999999999998</v>
      </c>
      <c r="Q8" s="54">
        <f>(Q7/2)/100</f>
        <v>0.28749999999999998</v>
      </c>
      <c r="R8" s="55">
        <f>(R7+R7/2)/100</f>
        <v>0.86250000000000004</v>
      </c>
      <c r="T8" s="150" t="s">
        <v>212</v>
      </c>
      <c r="U8" s="151">
        <f>AC16</f>
        <v>9642.8571428571449</v>
      </c>
      <c r="V8" s="587"/>
      <c r="AB8" s="351" t="s">
        <v>103</v>
      </c>
      <c r="AC8" s="350">
        <f>AC7*(TAN(RADIANS(AC6)))</f>
        <v>86.249999999999986</v>
      </c>
      <c r="AD8" s="350">
        <f>CEILING(AC8,5)</f>
        <v>90</v>
      </c>
    </row>
    <row r="9" spans="2:32" ht="18" x14ac:dyDescent="0.25">
      <c r="B9" s="41"/>
      <c r="C9" s="34"/>
      <c r="D9" s="34"/>
      <c r="E9" s="34"/>
      <c r="F9" s="34"/>
      <c r="G9" s="34"/>
      <c r="H9" s="34"/>
      <c r="I9" s="34"/>
      <c r="J9" s="34"/>
      <c r="K9" s="34"/>
      <c r="L9" s="42"/>
      <c r="N9" s="88" t="s">
        <v>101</v>
      </c>
      <c r="O9" s="78">
        <v>0</v>
      </c>
      <c r="P9" s="54">
        <v>0</v>
      </c>
      <c r="Q9" s="54">
        <v>0</v>
      </c>
      <c r="R9" s="55">
        <v>0</v>
      </c>
      <c r="T9" s="146" t="s">
        <v>175</v>
      </c>
      <c r="U9" s="147">
        <f>AC25</f>
        <v>11640.208695652174</v>
      </c>
      <c r="V9" s="586" t="str">
        <f>IF(U9&gt;U10,"Opção: Aumentar a Sessão do Pilar","Verificação Atendida")</f>
        <v>Verificação Atendida</v>
      </c>
      <c r="AB9" s="351" t="s">
        <v>104</v>
      </c>
      <c r="AC9" s="350">
        <f>AD8+10</f>
        <v>100</v>
      </c>
    </row>
    <row r="10" spans="2:32" ht="18.75" thickBot="1" x14ac:dyDescent="0.3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42"/>
      <c r="N10" s="88" t="s">
        <v>72</v>
      </c>
      <c r="O10" s="78">
        <f>SUMSQ(O8:R8)</f>
        <v>1.6531250000000002</v>
      </c>
      <c r="P10" s="54">
        <f>SUMSQ(O8:R8)</f>
        <v>1.6531250000000002</v>
      </c>
      <c r="Q10" s="54">
        <f>SUMSQ(O8:R8)</f>
        <v>1.6531250000000002</v>
      </c>
      <c r="R10" s="55">
        <f>SUMSQ(O8:R8)</f>
        <v>1.6531250000000002</v>
      </c>
      <c r="T10" s="150" t="s">
        <v>176</v>
      </c>
      <c r="U10" s="151">
        <f>AC30</f>
        <v>15178.571428571429</v>
      </c>
      <c r="V10" s="587"/>
      <c r="AB10" s="351" t="s">
        <v>87</v>
      </c>
      <c r="AC10" s="350">
        <f>(PI()*(O5^2)/4)/10000</f>
        <v>4.154756284372501E-2</v>
      </c>
    </row>
    <row r="11" spans="2:32" ht="18.75" thickBot="1" x14ac:dyDescent="0.3">
      <c r="B11" s="22"/>
      <c r="C11" s="93"/>
      <c r="D11" s="93"/>
      <c r="E11" s="93"/>
      <c r="F11" s="93"/>
      <c r="G11" s="93"/>
      <c r="H11" s="93"/>
      <c r="I11" s="93"/>
      <c r="J11" s="93"/>
      <c r="K11" s="93"/>
      <c r="L11" s="23"/>
      <c r="N11" s="88" t="s">
        <v>74</v>
      </c>
      <c r="O11" s="78">
        <f>SUMSQ(O9:R9)</f>
        <v>0</v>
      </c>
      <c r="P11" s="54">
        <f>SUMSQ(O9:R9)</f>
        <v>0</v>
      </c>
      <c r="Q11" s="54">
        <f>SUMSQ(O9:R9)</f>
        <v>0</v>
      </c>
      <c r="R11" s="55">
        <f>SUMSQ(O9:R9)</f>
        <v>0</v>
      </c>
      <c r="T11" s="152" t="s">
        <v>177</v>
      </c>
      <c r="U11" s="147">
        <f>AC34</f>
        <v>5241.839852037232</v>
      </c>
      <c r="V11" s="586" t="str">
        <f>IF(U11&gt;U12,"Opção: Aumentar o Diâmetro da Estaca","Verificação Atendida")</f>
        <v>Opção: Aumentar o Diâmetro da Estaca</v>
      </c>
      <c r="AB11" s="351" t="s">
        <v>88</v>
      </c>
      <c r="AC11" s="350">
        <f>AC10*SIN(RADIANS(AC6))</f>
        <v>2.9378563428572192E-2</v>
      </c>
    </row>
    <row r="12" spans="2:32" ht="18.75" thickBot="1" x14ac:dyDescent="0.3">
      <c r="N12" s="166" t="s">
        <v>76</v>
      </c>
      <c r="O12" s="167">
        <f>(Entradas2!$C$5/Entradas2!$F$5)-(Entradas2!$C$7+'4 Estacas1'!$AF$7)*ABS('4 Estacas1'!O8)/'4 Estacas1'!O10</f>
        <v>494.78260869565219</v>
      </c>
      <c r="P12" s="168">
        <f>(Entradas2!$C$5/Entradas2!$F$5)-(Entradas2!$C$7+'4 Estacas1'!$AF$7)*ABS('4 Estacas1'!P8)/'4 Estacas1'!P10</f>
        <v>498.26086956521738</v>
      </c>
      <c r="Q12" s="168">
        <f>(Entradas2!$C$5/Entradas2!$F$5)+(Entradas2!$C$7+'4 Estacas1'!$AF$7)*ABS('4 Estacas1'!Q8)/'4 Estacas1'!Q10</f>
        <v>501.73913043478262</v>
      </c>
      <c r="R12" s="56">
        <f>(Entradas2!$C$5/Entradas2!$F$5)+(Entradas2!$C$7+'4 Estacas1'!$AF$7)*ABS('4 Estacas1'!R8)/'4 Estacas1'!R10</f>
        <v>505.21739130434781</v>
      </c>
      <c r="T12" s="153" t="s">
        <v>178</v>
      </c>
      <c r="U12" s="151">
        <f>AC37</f>
        <v>2564.9639200150441</v>
      </c>
      <c r="V12" s="587"/>
    </row>
    <row r="13" spans="2:32" ht="18.75" thickBot="1" x14ac:dyDescent="0.3">
      <c r="T13" s="154" t="s">
        <v>179</v>
      </c>
      <c r="U13" s="155">
        <f>AC39</f>
        <v>727.5130434782609</v>
      </c>
      <c r="V13" s="24"/>
      <c r="AB13" s="352" t="s">
        <v>90</v>
      </c>
      <c r="AC13" s="350">
        <f>(P15)/(AC11*SIN(RADIANS(AC6)))</f>
        <v>24319.953168114727</v>
      </c>
      <c r="AE13" s="351" t="s">
        <v>113</v>
      </c>
      <c r="AF13" s="350">
        <f>P15/(SIN(RADIANS(AC6)))</f>
        <v>714.48528672936368</v>
      </c>
    </row>
    <row r="14" spans="2:32" ht="15.75" thickBot="1" x14ac:dyDescent="0.3">
      <c r="N14" s="574" t="s">
        <v>219</v>
      </c>
      <c r="O14" s="575"/>
      <c r="P14" s="576"/>
      <c r="T14" s="24"/>
      <c r="U14" s="24"/>
      <c r="V14" s="24"/>
      <c r="AE14" s="351" t="s">
        <v>114</v>
      </c>
      <c r="AF14" s="350">
        <f>AF13*Entradas2!C16*Entradas2!C19</f>
        <v>1028.8588128902836</v>
      </c>
    </row>
    <row r="15" spans="2:32" ht="15.75" thickBot="1" x14ac:dyDescent="0.3">
      <c r="N15" s="171" t="str">
        <f>IF(P15=O12,"Estaca E1",IF(P15=P12,"Estaca E2",IF(P15=Q12,"Estaca E3",IF(P15=R12,"Estaca E4"))))</f>
        <v>Estaca E4</v>
      </c>
      <c r="O15" s="172" t="s">
        <v>75</v>
      </c>
      <c r="P15" s="173">
        <f>LARGE(O12:R12,1)</f>
        <v>505.21739130434781</v>
      </c>
      <c r="T15" s="502" t="s">
        <v>180</v>
      </c>
      <c r="U15" s="503"/>
      <c r="V15" s="504"/>
      <c r="AB15" s="352" t="s">
        <v>107</v>
      </c>
      <c r="AC15" s="350">
        <f>0.6*(1-Entradas2!C13/250)*AC28</f>
        <v>9.6428571428571441</v>
      </c>
    </row>
    <row r="16" spans="2:32" x14ac:dyDescent="0.25">
      <c r="N16" s="107" t="s">
        <v>99</v>
      </c>
      <c r="O16" s="108">
        <f>IF($N$15=$O$4,O8,IF($N$15=$P$4,P8,IF($N$15=$Q$4,Q8,IF($N$15=$R$4,R8))))</f>
        <v>0.86250000000000004</v>
      </c>
      <c r="T16" s="156"/>
      <c r="U16" s="584" t="s">
        <v>181</v>
      </c>
      <c r="V16" s="539"/>
      <c r="AB16" s="352" t="s">
        <v>89</v>
      </c>
      <c r="AC16" s="350">
        <f>AC15*1000</f>
        <v>9642.8571428571449</v>
      </c>
    </row>
    <row r="17" spans="2:32" ht="15.75" thickBot="1" x14ac:dyDescent="0.3">
      <c r="N17" s="109" t="s">
        <v>100</v>
      </c>
      <c r="O17" s="110">
        <f>IF($N$15=$O$4,O9,IF($N$15=$P$4,P9,IF($N$15=$Q$4,Q9,IF($N$15=$R$4,R9))))</f>
        <v>0</v>
      </c>
      <c r="T17" s="157"/>
      <c r="U17" s="585" t="s">
        <v>182</v>
      </c>
      <c r="V17" s="501"/>
      <c r="AB17" s="351" t="s">
        <v>91</v>
      </c>
      <c r="AC17" s="350">
        <f>P15*Entradas2!C16*Entradas2!C19</f>
        <v>727.51304347826078</v>
      </c>
    </row>
    <row r="18" spans="2:32" ht="15.75" thickBot="1" x14ac:dyDescent="0.3"/>
    <row r="19" spans="2:32" x14ac:dyDescent="0.25">
      <c r="B19" s="472" t="str">
        <f>IF(AC4=4,"Bloco Selecionado está Correto","Bloco Selecionado Incorreto")</f>
        <v>Bloco Selecionado Incorreto</v>
      </c>
      <c r="C19" s="473"/>
      <c r="D19" s="473"/>
      <c r="E19" s="473"/>
      <c r="F19" s="473"/>
      <c r="G19" s="473"/>
      <c r="H19" s="474"/>
      <c r="N19" s="478" t="str">
        <f>IF(P15&gt;Entradas2!$C$24,"ATENÇÃO: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O19" s="479"/>
      <c r="P19" s="479"/>
      <c r="Q19" s="480"/>
      <c r="AB19" s="352" t="s">
        <v>92</v>
      </c>
      <c r="AC19" s="350">
        <f>(AC17)/(AC11*SIN(RADIANS(AC6)))</f>
        <v>35020.732562085206</v>
      </c>
    </row>
    <row r="20" spans="2:32" ht="15.75" thickBot="1" x14ac:dyDescent="0.3">
      <c r="B20" s="475"/>
      <c r="C20" s="476"/>
      <c r="D20" s="476"/>
      <c r="E20" s="476"/>
      <c r="F20" s="476"/>
      <c r="G20" s="476"/>
      <c r="H20" s="477"/>
      <c r="N20" s="481"/>
      <c r="O20" s="482"/>
      <c r="P20" s="482"/>
      <c r="Q20" s="483"/>
    </row>
    <row r="21" spans="2:32" x14ac:dyDescent="0.25">
      <c r="AB21" s="351" t="s">
        <v>93</v>
      </c>
      <c r="AC21" s="350">
        <f>Entradas2!C10*Entradas2!C11</f>
        <v>2500</v>
      </c>
    </row>
    <row r="22" spans="2:32" x14ac:dyDescent="0.25">
      <c r="AB22" s="351" t="s">
        <v>94</v>
      </c>
      <c r="AC22" s="350">
        <f>AC21/10000</f>
        <v>0.25</v>
      </c>
    </row>
    <row r="23" spans="2:32" x14ac:dyDescent="0.25">
      <c r="AB23" s="351" t="s">
        <v>95</v>
      </c>
      <c r="AC23" s="350">
        <f>(AC22*SIN(RADIANS(AC6)))/Entradas2!F5</f>
        <v>8.8388347648318433E-2</v>
      </c>
    </row>
    <row r="25" spans="2:32" x14ac:dyDescent="0.25">
      <c r="AB25" s="351" t="s">
        <v>110</v>
      </c>
      <c r="AC25" s="350">
        <f>AF14/AC23</f>
        <v>11640.208695652174</v>
      </c>
    </row>
    <row r="28" spans="2:32" x14ac:dyDescent="0.25">
      <c r="AB28" s="351" t="s">
        <v>105</v>
      </c>
      <c r="AC28" s="350">
        <f>Entradas2!C13/Entradas2!C17</f>
        <v>17.857142857142858</v>
      </c>
      <c r="AE28" s="351" t="s">
        <v>120</v>
      </c>
      <c r="AF28" s="350">
        <f>AC28*1000</f>
        <v>17857.142857142859</v>
      </c>
    </row>
    <row r="29" spans="2:32" x14ac:dyDescent="0.25">
      <c r="AB29" s="353"/>
    </row>
    <row r="30" spans="2:32" x14ac:dyDescent="0.25">
      <c r="AB30" s="352" t="s">
        <v>96</v>
      </c>
      <c r="AC30" s="350">
        <f>0.85*AF28</f>
        <v>15178.571428571429</v>
      </c>
    </row>
    <row r="31" spans="2:32" x14ac:dyDescent="0.25">
      <c r="AB31" s="353"/>
    </row>
    <row r="32" spans="2:32" x14ac:dyDescent="0.25">
      <c r="AB32" s="351" t="s">
        <v>111</v>
      </c>
      <c r="AC32" s="350">
        <f>(AC23+AC11)/2</f>
        <v>5.888345553844531E-2</v>
      </c>
    </row>
    <row r="34" spans="28:30" x14ac:dyDescent="0.25">
      <c r="AB34" s="352" t="s">
        <v>112</v>
      </c>
      <c r="AC34" s="350">
        <f>(0.3*AF14)/AC32</f>
        <v>5241.839852037232</v>
      </c>
    </row>
    <row r="36" spans="28:30" x14ac:dyDescent="0.25">
      <c r="AB36" s="352" t="s">
        <v>116</v>
      </c>
      <c r="AC36" s="350" t="s">
        <v>119</v>
      </c>
      <c r="AD36" s="350">
        <f>0.3*((Entradas2!C13)^(2/3))</f>
        <v>2.5649639200150443</v>
      </c>
    </row>
    <row r="37" spans="28:30" x14ac:dyDescent="0.25">
      <c r="AB37" s="352" t="s">
        <v>115</v>
      </c>
      <c r="AC37" s="350">
        <f>AD36*1000</f>
        <v>2564.9639200150441</v>
      </c>
    </row>
    <row r="39" spans="28:30" x14ac:dyDescent="0.25">
      <c r="AB39" s="352" t="s">
        <v>118</v>
      </c>
      <c r="AC39" s="350">
        <f>AF14*COS(RADIANS(AC6))</f>
        <v>727.5130434782609</v>
      </c>
    </row>
    <row r="41" spans="28:30" x14ac:dyDescent="0.25">
      <c r="AB41" s="352" t="s">
        <v>218</v>
      </c>
      <c r="AC41" s="350">
        <f>Entradas2!C24</f>
        <v>670</v>
      </c>
    </row>
  </sheetData>
  <sheetProtection password="DED7" sheet="1" objects="1" scenarios="1"/>
  <mergeCells count="11">
    <mergeCell ref="N14:P14"/>
    <mergeCell ref="B19:H20"/>
    <mergeCell ref="N19:Q20"/>
    <mergeCell ref="T2:U3"/>
    <mergeCell ref="V5:V6"/>
    <mergeCell ref="V7:V8"/>
    <mergeCell ref="V9:V10"/>
    <mergeCell ref="V11:V12"/>
    <mergeCell ref="T15:V15"/>
    <mergeCell ref="U16:V16"/>
    <mergeCell ref="U17:V17"/>
  </mergeCells>
  <conditionalFormatting sqref="N19:Q20">
    <cfRule type="expression" dxfId="79" priority="17">
      <formula>$P$15&lt;=$AC$41</formula>
    </cfRule>
    <cfRule type="expression" dxfId="78" priority="18">
      <formula>$P$15&gt;$AC$41</formula>
    </cfRule>
  </conditionalFormatting>
  <conditionalFormatting sqref="T7:U8">
    <cfRule type="expression" dxfId="77" priority="7">
      <formula>$U$8&lt;$U$7</formula>
    </cfRule>
    <cfRule type="expression" dxfId="76" priority="8">
      <formula>$U$8&gt;=$U$7</formula>
    </cfRule>
  </conditionalFormatting>
  <conditionalFormatting sqref="T9:U10">
    <cfRule type="expression" dxfId="75" priority="5">
      <formula>$U$10&lt;$U$9</formula>
    </cfRule>
    <cfRule type="expression" dxfId="74" priority="6">
      <formula>$U$10&gt;=$U$9</formula>
    </cfRule>
  </conditionalFormatting>
  <conditionalFormatting sqref="T11:U12">
    <cfRule type="expression" dxfId="73" priority="3">
      <formula>$U$12&lt;$U$11</formula>
    </cfRule>
    <cfRule type="expression" dxfId="72" priority="4">
      <formula>$U$12&gt;=$U$11</formula>
    </cfRule>
  </conditionalFormatting>
  <conditionalFormatting sqref="B19:H20">
    <cfRule type="expression" dxfId="71" priority="1">
      <formula>$AC$4&lt;&gt;4</formula>
    </cfRule>
    <cfRule type="expression" dxfId="70" priority="2">
      <formula>$AC$4=4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8194" r:id="rId3">
          <objectPr defaultSize="0" autoPict="0" r:id="rId4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11</xdr:col>
                <xdr:colOff>590550</xdr:colOff>
                <xdr:row>10</xdr:row>
                <xdr:rowOff>0</xdr:rowOff>
              </to>
            </anchor>
          </objectPr>
        </oleObject>
      </mc:Choice>
      <mc:Fallback>
        <oleObject progId="AutoCAD.Drawing.18" shapeId="8194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ntes2">
                <anchor moveWithCells="1" sizeWithCells="1">
                  <from>
                    <xdr:col>18</xdr:col>
                    <xdr:colOff>323850</xdr:colOff>
                    <xdr:row>18</xdr:row>
                    <xdr:rowOff>0</xdr:rowOff>
                  </from>
                  <to>
                    <xdr:col>20</xdr:col>
                    <xdr:colOff>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rox41">
                <anchor moveWithCells="1" sizeWithCells="1">
                  <from>
                    <xdr:col>20</xdr:col>
                    <xdr:colOff>285750</xdr:colOff>
                    <xdr:row>18</xdr:row>
                    <xdr:rowOff>0</xdr:rowOff>
                  </from>
                  <to>
                    <xdr:col>22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V109"/>
  <sheetViews>
    <sheetView showGridLines="0" showRowColHeaders="0" zoomScale="85" zoomScaleNormal="85" workbookViewId="0"/>
  </sheetViews>
  <sheetFormatPr defaultRowHeight="15" x14ac:dyDescent="0.25"/>
  <cols>
    <col min="2" max="2" width="20.7109375" bestFit="1" customWidth="1"/>
    <col min="3" max="3" width="14.42578125" customWidth="1"/>
    <col min="5" max="5" width="15.7109375" customWidth="1"/>
    <col min="6" max="6" width="15.5703125" customWidth="1"/>
    <col min="7" max="7" width="10.85546875" customWidth="1"/>
    <col min="15" max="16" width="9.140625" style="190"/>
    <col min="17" max="17" width="32.42578125" style="190" bestFit="1" customWidth="1"/>
    <col min="18" max="19" width="9.140625" style="190"/>
    <col min="20" max="20" width="12.5703125" style="190" bestFit="1" customWidth="1"/>
    <col min="21" max="22" width="9.140625" style="190"/>
  </cols>
  <sheetData>
    <row r="1" spans="2:21" ht="15" customHeight="1" x14ac:dyDescent="0.25">
      <c r="B1" s="505" t="s">
        <v>127</v>
      </c>
      <c r="C1" s="506"/>
      <c r="D1" s="506"/>
      <c r="E1" s="506"/>
      <c r="F1" s="506"/>
      <c r="G1" s="507"/>
    </row>
    <row r="2" spans="2:21" ht="15" customHeight="1" thickBot="1" x14ac:dyDescent="0.3">
      <c r="B2" s="508"/>
      <c r="C2" s="509"/>
      <c r="D2" s="509"/>
      <c r="E2" s="509"/>
      <c r="F2" s="509"/>
      <c r="G2" s="510"/>
    </row>
    <row r="3" spans="2:21" ht="15.75" thickBot="1" x14ac:dyDescent="0.3"/>
    <row r="4" spans="2:21" ht="19.5" thickBot="1" x14ac:dyDescent="0.35">
      <c r="B4" s="511" t="s">
        <v>128</v>
      </c>
      <c r="C4" s="512"/>
      <c r="E4" s="513" t="s">
        <v>205</v>
      </c>
      <c r="F4" s="514"/>
      <c r="G4" s="281">
        <f>(C5)/(C7)</f>
        <v>16.732800000000001</v>
      </c>
      <c r="Q4" s="190" t="s">
        <v>130</v>
      </c>
      <c r="R4" s="355">
        <f>(PI()*(E101/10)^2)/4</f>
        <v>1.227184630308513</v>
      </c>
      <c r="S4" s="355"/>
      <c r="T4" s="355"/>
      <c r="U4" s="355"/>
    </row>
    <row r="5" spans="2:21" ht="18.75" thickBot="1" x14ac:dyDescent="0.3">
      <c r="B5" s="120" t="s">
        <v>167</v>
      </c>
      <c r="C5" s="277">
        <f>'4 Estacas1'!U13</f>
        <v>727.5130434782609</v>
      </c>
      <c r="D5" s="276"/>
      <c r="R5" s="355"/>
      <c r="S5" s="355"/>
      <c r="T5" s="355"/>
      <c r="U5" s="355"/>
    </row>
    <row r="6" spans="2:21" x14ac:dyDescent="0.25">
      <c r="B6" s="121" t="s">
        <v>129</v>
      </c>
      <c r="C6" s="278">
        <v>4</v>
      </c>
      <c r="E6" s="515" t="s">
        <v>131</v>
      </c>
      <c r="F6" s="516"/>
      <c r="G6" s="517"/>
      <c r="H6" s="34"/>
      <c r="Q6" s="190" t="s">
        <v>135</v>
      </c>
      <c r="R6" s="355">
        <f>G10-1</f>
        <v>13</v>
      </c>
      <c r="S6" s="355"/>
      <c r="T6" s="355"/>
      <c r="U6" s="355"/>
    </row>
    <row r="7" spans="2:21" ht="18" x14ac:dyDescent="0.25">
      <c r="B7" s="121" t="s">
        <v>200</v>
      </c>
      <c r="C7" s="279">
        <f>50/Entradas2!C18</f>
        <v>43.478260869565219</v>
      </c>
      <c r="E7" s="518"/>
      <c r="F7" s="519"/>
      <c r="G7" s="520"/>
      <c r="H7" s="237"/>
      <c r="Q7" s="190" t="s">
        <v>133</v>
      </c>
      <c r="R7" s="355">
        <f>G4/R4</f>
        <v>13.635112098652501</v>
      </c>
      <c r="S7" s="355"/>
      <c r="T7" s="355"/>
      <c r="U7" s="355"/>
    </row>
    <row r="8" spans="2:21" ht="15.75" thickBot="1" x14ac:dyDescent="0.3">
      <c r="B8" s="122" t="s">
        <v>136</v>
      </c>
      <c r="C8" s="280">
        <f>Entradas2!C22</f>
        <v>23</v>
      </c>
      <c r="E8" s="163"/>
      <c r="F8" s="164"/>
      <c r="G8" s="165"/>
      <c r="H8" s="237"/>
      <c r="Q8" s="190" t="s">
        <v>137</v>
      </c>
      <c r="R8" s="355">
        <v>20</v>
      </c>
      <c r="S8" s="355"/>
      <c r="T8" s="355"/>
      <c r="U8" s="355"/>
    </row>
    <row r="9" spans="2:21" ht="15.75" thickBot="1" x14ac:dyDescent="0.3">
      <c r="E9" s="34"/>
      <c r="F9" s="34"/>
      <c r="G9" s="34"/>
      <c r="H9" s="34"/>
      <c r="R9" s="355">
        <f>1.2*19</f>
        <v>22.8</v>
      </c>
      <c r="S9" s="355"/>
      <c r="T9" s="355"/>
      <c r="U9" s="355"/>
    </row>
    <row r="10" spans="2:21" ht="15.75" thickBot="1" x14ac:dyDescent="0.3">
      <c r="B10" s="521" t="s">
        <v>214</v>
      </c>
      <c r="C10" s="465"/>
      <c r="E10" s="489" t="s">
        <v>134</v>
      </c>
      <c r="F10" s="491"/>
      <c r="G10" s="282">
        <f>ROUNDUP(R7,0)</f>
        <v>14</v>
      </c>
      <c r="R10" s="355">
        <f>E101</f>
        <v>12.5</v>
      </c>
      <c r="S10" s="355"/>
      <c r="T10" s="355"/>
      <c r="U10" s="355"/>
    </row>
    <row r="11" spans="2:21" ht="15.75" thickBot="1" x14ac:dyDescent="0.3">
      <c r="B11" s="122" t="s">
        <v>204</v>
      </c>
      <c r="C11" s="280">
        <v>0.7</v>
      </c>
      <c r="E11" s="529" t="s">
        <v>139</v>
      </c>
      <c r="F11" s="530"/>
      <c r="G11" s="588">
        <f>LARGE(R11:R12,1)</f>
        <v>2.2800000000000002</v>
      </c>
      <c r="Q11" s="190" t="s">
        <v>138</v>
      </c>
      <c r="R11" s="355">
        <f>(LARGE(R8:R10,1))/10</f>
        <v>2.2800000000000002</v>
      </c>
      <c r="S11" s="355"/>
      <c r="T11" s="355"/>
      <c r="U11" s="355"/>
    </row>
    <row r="12" spans="2:21" ht="15.75" thickBot="1" x14ac:dyDescent="0.3">
      <c r="E12" s="531"/>
      <c r="F12" s="532"/>
      <c r="G12" s="589"/>
      <c r="Q12" s="190" t="s">
        <v>140</v>
      </c>
      <c r="R12" s="355">
        <f>((C8)-G10*(E101/10))/R6</f>
        <v>0.42307692307692307</v>
      </c>
      <c r="S12" s="355"/>
      <c r="T12" s="355"/>
      <c r="U12" s="355"/>
    </row>
    <row r="13" spans="2:21" ht="15.75" thickBot="1" x14ac:dyDescent="0.3">
      <c r="B13" s="521" t="s">
        <v>215</v>
      </c>
      <c r="C13" s="465"/>
      <c r="R13" s="355"/>
      <c r="S13" s="355"/>
      <c r="T13" s="355"/>
      <c r="U13" s="355"/>
    </row>
    <row r="14" spans="2:21" ht="18.75" thickBot="1" x14ac:dyDescent="0.3">
      <c r="B14" s="122" t="s">
        <v>201</v>
      </c>
      <c r="C14" s="280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355">
        <f>G10*R4</f>
        <v>17.180584824319183</v>
      </c>
      <c r="S14" s="355"/>
      <c r="T14" s="355"/>
      <c r="U14" s="355"/>
    </row>
    <row r="15" spans="2:21" ht="15.75" thickBot="1" x14ac:dyDescent="0.3">
      <c r="E15" s="492" t="s">
        <v>143</v>
      </c>
      <c r="F15" s="493"/>
      <c r="G15" s="141">
        <f>'4 Estacas1'!O6-C6+C8/2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 s="276"/>
      <c r="R15" s="355"/>
      <c r="S15" s="355"/>
      <c r="T15" s="355"/>
      <c r="U15" s="355"/>
    </row>
    <row r="16" spans="2:21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32.100893429131069</v>
      </c>
      <c r="H16" s="497"/>
      <c r="I16" s="498"/>
      <c r="J16" s="499"/>
      <c r="K16" s="276"/>
      <c r="Q16" s="190" t="s">
        <v>144</v>
      </c>
      <c r="R16" s="355">
        <f>0.3*0.7*Entradas2!C13^(2/3)</f>
        <v>1.795474744010531</v>
      </c>
      <c r="S16" s="355"/>
      <c r="T16" s="355"/>
      <c r="U16" s="355"/>
    </row>
    <row r="17" spans="2:21" ht="18.75" thickBot="1" x14ac:dyDescent="0.3">
      <c r="B17" s="122" t="s">
        <v>202</v>
      </c>
      <c r="C17" s="280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355">
        <f>R16/Entradas2!C17</f>
        <v>1.2824819600075221</v>
      </c>
      <c r="S17" s="355"/>
      <c r="T17" s="355"/>
      <c r="U17" s="355"/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  <c r="R18" s="355"/>
      <c r="S18" s="355"/>
      <c r="T18" s="355"/>
      <c r="U18" s="355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355">
        <f>C14*C17*C20*R17</f>
        <v>2.885584410016925</v>
      </c>
      <c r="S19" s="355"/>
      <c r="T19" s="355" t="s">
        <v>147</v>
      </c>
      <c r="U19" s="355">
        <f>R19/10</f>
        <v>0.28855844100169248</v>
      </c>
    </row>
    <row r="20" spans="2:21" ht="18.75" thickBot="1" x14ac:dyDescent="0.3">
      <c r="B20" s="122" t="s">
        <v>203</v>
      </c>
      <c r="C20" s="280">
        <v>1</v>
      </c>
      <c r="R20" s="355"/>
      <c r="S20" s="355"/>
      <c r="T20" s="355"/>
      <c r="U20" s="355"/>
    </row>
    <row r="21" spans="2:21" x14ac:dyDescent="0.25">
      <c r="E21" s="515" t="s">
        <v>150</v>
      </c>
      <c r="F21" s="517"/>
      <c r="G21" s="592">
        <f>IF(E101=20,8*E101,5*E101)</f>
        <v>62.5</v>
      </c>
      <c r="Q21" s="190" t="s">
        <v>148</v>
      </c>
      <c r="R21" s="355">
        <f>(E101/10)*(C7/U19)/4</f>
        <v>47.085631855279672</v>
      </c>
      <c r="S21" s="355"/>
      <c r="T21" s="355"/>
      <c r="U21" s="355"/>
    </row>
    <row r="22" spans="2:21" ht="15.75" thickBot="1" x14ac:dyDescent="0.3">
      <c r="B22" s="103"/>
      <c r="E22" s="525"/>
      <c r="F22" s="526"/>
      <c r="G22" s="593"/>
      <c r="R22" s="355"/>
      <c r="S22" s="355"/>
      <c r="T22" s="355"/>
      <c r="U22" s="355"/>
    </row>
    <row r="23" spans="2:21" x14ac:dyDescent="0.25">
      <c r="E23" s="529" t="s">
        <v>151</v>
      </c>
      <c r="F23" s="530"/>
      <c r="G23" s="590">
        <f>IF(E101=20,CEILING(R24,1),CEILING(R23,1))</f>
        <v>247</v>
      </c>
      <c r="Q23" s="190" t="s">
        <v>152</v>
      </c>
      <c r="R23" s="355">
        <f>3*'4 Estacas1'!O7+2*('4 Estacas1'!O6-C6-(G21/10)/2+PI()*(G21/10)/4+10*(E101/10))</f>
        <v>246.06747704246811</v>
      </c>
      <c r="S23" s="355"/>
      <c r="T23" s="355"/>
      <c r="U23" s="355"/>
    </row>
    <row r="24" spans="2:21" ht="15.75" thickBot="1" x14ac:dyDescent="0.3">
      <c r="E24" s="531"/>
      <c r="F24" s="532"/>
      <c r="G24" s="591"/>
      <c r="H24" s="190">
        <f>ROUNDUP(G23,0)</f>
        <v>247</v>
      </c>
      <c r="Q24" s="190" t="s">
        <v>153</v>
      </c>
      <c r="R24" s="355">
        <f>3*'4 Estacas1'!O7+2*('4 Estacas1'!O6-C6-(G21/10)/2+PI()*(G21/10)/2+2*(E101/10))</f>
        <v>235.88495408493623</v>
      </c>
      <c r="S24" s="355"/>
      <c r="T24" s="355"/>
      <c r="U24" s="355"/>
    </row>
    <row r="27" spans="2:21" x14ac:dyDescent="0.25">
      <c r="Q27" s="190" t="s">
        <v>168</v>
      </c>
      <c r="R27" s="190">
        <f>2*E101/10</f>
        <v>2.5</v>
      </c>
    </row>
    <row r="28" spans="2:21" x14ac:dyDescent="0.25">
      <c r="Q28" s="354" t="s">
        <v>169</v>
      </c>
      <c r="R28" s="190">
        <f>E101</f>
        <v>12.5</v>
      </c>
    </row>
    <row r="43" spans="1:9" x14ac:dyDescent="0.25">
      <c r="A43" s="363"/>
      <c r="B43" s="363"/>
      <c r="C43" s="363"/>
    </row>
    <row r="44" spans="1:9" x14ac:dyDescent="0.25">
      <c r="A44" s="363"/>
      <c r="B44" s="363"/>
      <c r="C44" s="363"/>
    </row>
    <row r="45" spans="1:9" x14ac:dyDescent="0.25">
      <c r="A45" s="363"/>
      <c r="B45" s="363"/>
      <c r="C45" s="363"/>
    </row>
    <row r="46" spans="1:9" x14ac:dyDescent="0.25">
      <c r="A46" s="363"/>
      <c r="B46" s="363"/>
      <c r="C46" s="363"/>
    </row>
    <row r="47" spans="1:9" x14ac:dyDescent="0.25">
      <c r="G47" s="190"/>
      <c r="H47" s="190"/>
      <c r="I47" s="190"/>
    </row>
    <row r="48" spans="1:9" x14ac:dyDescent="0.25">
      <c r="G48" s="190"/>
      <c r="H48" s="190"/>
      <c r="I48" s="190"/>
    </row>
    <row r="49" spans="7:9" x14ac:dyDescent="0.25">
      <c r="G49" s="190"/>
      <c r="H49" s="190"/>
      <c r="I49" s="190"/>
    </row>
    <row r="50" spans="7:9" x14ac:dyDescent="0.25">
      <c r="G50" s="190"/>
      <c r="H50" s="190"/>
      <c r="I50" s="190"/>
    </row>
    <row r="51" spans="7:9" x14ac:dyDescent="0.25">
      <c r="G51" s="190"/>
      <c r="H51" s="190"/>
      <c r="I51" s="190"/>
    </row>
    <row r="52" spans="7:9" ht="18" x14ac:dyDescent="0.35">
      <c r="G52" s="190"/>
      <c r="H52" s="190"/>
      <c r="I52" s="190" t="s">
        <v>213</v>
      </c>
    </row>
    <row r="53" spans="7:9" x14ac:dyDescent="0.25">
      <c r="G53" s="190"/>
      <c r="H53" s="190"/>
      <c r="I53" s="190"/>
    </row>
    <row r="54" spans="7:9" x14ac:dyDescent="0.25">
      <c r="G54" s="190"/>
      <c r="H54" s="190"/>
      <c r="I54" s="190"/>
    </row>
    <row r="98" spans="1:6" x14ac:dyDescent="0.25">
      <c r="A98" s="381"/>
      <c r="B98" s="381"/>
      <c r="C98" s="381"/>
    </row>
    <row r="99" spans="1:6" x14ac:dyDescent="0.25">
      <c r="A99" s="381"/>
      <c r="B99" s="381"/>
      <c r="C99" s="381"/>
    </row>
    <row r="100" spans="1:6" x14ac:dyDescent="0.25">
      <c r="A100" s="382"/>
      <c r="B100" s="384">
        <v>4</v>
      </c>
      <c r="C100" s="384"/>
      <c r="D100" s="356"/>
      <c r="E100" s="356"/>
      <c r="F100" s="190"/>
    </row>
    <row r="101" spans="1:6" x14ac:dyDescent="0.25">
      <c r="A101" s="382"/>
      <c r="B101" s="386">
        <v>6.3</v>
      </c>
      <c r="C101" s="384"/>
      <c r="D101" s="356" t="s">
        <v>132</v>
      </c>
      <c r="E101" s="356">
        <f>IF(B100=1,B101,IF(B100=2,B102,IF(B100=3,B103,IF(B100=4,B104,IF(B100=5,B105,IF(B100=6,B106))))))</f>
        <v>12.5</v>
      </c>
      <c r="F101" s="190"/>
    </row>
    <row r="102" spans="1:6" x14ac:dyDescent="0.25">
      <c r="A102" s="382"/>
      <c r="B102" s="386">
        <v>8</v>
      </c>
      <c r="C102" s="384"/>
      <c r="D102" s="356"/>
      <c r="E102" s="356"/>
      <c r="F102" s="190"/>
    </row>
    <row r="103" spans="1:6" x14ac:dyDescent="0.25">
      <c r="A103" s="382"/>
      <c r="B103" s="386">
        <v>10</v>
      </c>
      <c r="C103" s="384"/>
      <c r="D103" s="356"/>
      <c r="E103" s="356"/>
      <c r="F103" s="190"/>
    </row>
    <row r="104" spans="1:6" x14ac:dyDescent="0.25">
      <c r="A104" s="382"/>
      <c r="B104" s="386">
        <v>12.5</v>
      </c>
      <c r="C104" s="384"/>
      <c r="D104" s="356"/>
      <c r="E104" s="356"/>
      <c r="F104" s="190"/>
    </row>
    <row r="105" spans="1:6" x14ac:dyDescent="0.25">
      <c r="A105" s="382"/>
      <c r="B105" s="386">
        <v>16</v>
      </c>
      <c r="C105" s="384"/>
      <c r="D105" s="356"/>
      <c r="E105" s="356"/>
      <c r="F105" s="190"/>
    </row>
    <row r="106" spans="1:6" x14ac:dyDescent="0.25">
      <c r="A106" s="382"/>
      <c r="B106" s="386">
        <v>20</v>
      </c>
      <c r="C106" s="384"/>
      <c r="D106" s="356"/>
      <c r="E106" s="356"/>
      <c r="F106" s="190"/>
    </row>
    <row r="107" spans="1:6" x14ac:dyDescent="0.25">
      <c r="A107" s="382"/>
      <c r="B107" s="382"/>
      <c r="C107" s="382"/>
      <c r="D107" s="190"/>
      <c r="E107" s="190"/>
      <c r="F107" s="190"/>
    </row>
    <row r="108" spans="1:6" x14ac:dyDescent="0.25">
      <c r="A108" s="381"/>
      <c r="B108" s="381"/>
      <c r="C108" s="381"/>
    </row>
    <row r="109" spans="1:6" x14ac:dyDescent="0.25">
      <c r="A109" s="381"/>
      <c r="B109" s="381"/>
      <c r="C109" s="381"/>
    </row>
  </sheetData>
  <mergeCells count="23">
    <mergeCell ref="E15:F15"/>
    <mergeCell ref="H15:J16"/>
    <mergeCell ref="B16:C16"/>
    <mergeCell ref="E16:F16"/>
    <mergeCell ref="E23:F24"/>
    <mergeCell ref="G23:G24"/>
    <mergeCell ref="E17:G17"/>
    <mergeCell ref="F18:G18"/>
    <mergeCell ref="B19:C19"/>
    <mergeCell ref="F19:G19"/>
    <mergeCell ref="E21:F22"/>
    <mergeCell ref="G21:G22"/>
    <mergeCell ref="E11:F12"/>
    <mergeCell ref="G11:G12"/>
    <mergeCell ref="B13:C13"/>
    <mergeCell ref="E14:G14"/>
    <mergeCell ref="H14:J14"/>
    <mergeCell ref="B1:G2"/>
    <mergeCell ref="B4:C4"/>
    <mergeCell ref="E4:F4"/>
    <mergeCell ref="E6:G7"/>
    <mergeCell ref="B10:C10"/>
    <mergeCell ref="E10:F10"/>
  </mergeCells>
  <conditionalFormatting sqref="E15:E16 G15:G16">
    <cfRule type="expression" dxfId="69" priority="1">
      <formula>$G$16&gt;$G$15</formula>
    </cfRule>
    <cfRule type="expression" dxfId="68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Drop Down 2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latorio41">
                <anchor moveWithCells="1" sizeWithCells="1">
                  <from>
                    <xdr:col>7</xdr:col>
                    <xdr:colOff>361950</xdr:colOff>
                    <xdr:row>21</xdr:row>
                    <xdr:rowOff>123825</xdr:rowOff>
                  </from>
                  <to>
                    <xdr:col>9</xdr:col>
                    <xdr:colOff>552450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anterior41">
                <anchor moveWithCells="1" sizeWithCells="1">
                  <from>
                    <xdr:col>7</xdr:col>
                    <xdr:colOff>361950</xdr:colOff>
                    <xdr:row>18</xdr:row>
                    <xdr:rowOff>114300</xdr:rowOff>
                  </from>
                  <to>
                    <xdr:col>9</xdr:col>
                    <xdr:colOff>552450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/>
  <dimension ref="B1:U47"/>
  <sheetViews>
    <sheetView showGridLines="0" showRowColHeaders="0" zoomScale="85" zoomScaleNormal="85" workbookViewId="0"/>
  </sheetViews>
  <sheetFormatPr defaultRowHeight="15" x14ac:dyDescent="0.25"/>
  <cols>
    <col min="2" max="2" width="10" customWidth="1"/>
    <col min="3" max="3" width="9" customWidth="1"/>
    <col min="4" max="4" width="12.85546875" customWidth="1"/>
    <col min="5" max="5" width="3.85546875" customWidth="1"/>
    <col min="6" max="6" width="12.7109375" customWidth="1"/>
    <col min="7" max="7" width="8.7109375" customWidth="1"/>
    <col min="8" max="8" width="18" customWidth="1"/>
    <col min="9" max="9" width="1.7109375" customWidth="1"/>
    <col min="10" max="10" width="7" customWidth="1"/>
    <col min="11" max="11" width="11.7109375" customWidth="1"/>
    <col min="12" max="12" width="10.28515625" customWidth="1"/>
    <col min="13" max="13" width="3.140625" customWidth="1"/>
    <col min="14" max="14" width="11.7109375" customWidth="1"/>
    <col min="15" max="15" width="12.42578125" customWidth="1"/>
    <col min="16" max="16" width="32.5703125" bestFit="1" customWidth="1"/>
    <col min="19" max="19" width="32.5703125" bestFit="1" customWidth="1"/>
  </cols>
  <sheetData>
    <row r="1" spans="2:21" ht="15" customHeight="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4"/>
    </row>
    <row r="2" spans="2:21" ht="15.75" customHeight="1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7"/>
    </row>
    <row r="3" spans="2:21" ht="15.75" thickBot="1" x14ac:dyDescent="0.3"/>
    <row r="4" spans="2:21" x14ac:dyDescent="0.25">
      <c r="B4" s="20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13" t="s">
        <v>184</v>
      </c>
      <c r="Q4" s="117" t="str">
        <f>'4 Estacas1'!N15</f>
        <v>Estaca E4</v>
      </c>
      <c r="U4" s="182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114" t="s">
        <v>185</v>
      </c>
      <c r="Q5" s="118">
        <f>'4 Estacas1'!P15</f>
        <v>505.21739130434781</v>
      </c>
      <c r="U5" s="182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114" t="s">
        <v>222</v>
      </c>
      <c r="Q6" s="118">
        <f>'4 Estacas1'!U8</f>
        <v>9642.8571428571449</v>
      </c>
      <c r="R6" s="34"/>
      <c r="U6" s="182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114" t="s">
        <v>174</v>
      </c>
      <c r="Q7" s="118">
        <f>'4 Estacas1'!U7</f>
        <v>35020.732562085206</v>
      </c>
      <c r="R7" s="34"/>
      <c r="U7" s="182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114" t="s">
        <v>175</v>
      </c>
      <c r="Q8" s="118">
        <f>'4 Estacas1'!U9</f>
        <v>11640.208695652174</v>
      </c>
      <c r="R8" s="34"/>
      <c r="U8" s="182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114" t="s">
        <v>176</v>
      </c>
      <c r="Q9" s="118">
        <f>'4 Estacas1'!U10</f>
        <v>15178.571428571429</v>
      </c>
      <c r="R9" s="34"/>
      <c r="U9" s="182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115" t="s">
        <v>177</v>
      </c>
      <c r="Q10" s="118">
        <f>'4 Estacas1'!U11</f>
        <v>5241.839852037232</v>
      </c>
      <c r="R10" s="34"/>
      <c r="U10" s="184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115" t="s">
        <v>178</v>
      </c>
      <c r="Q11" s="118">
        <f>'4 Estacas1'!U12</f>
        <v>2564.9639200150441</v>
      </c>
      <c r="R11" s="34"/>
      <c r="U11" s="182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116" t="s">
        <v>179</v>
      </c>
      <c r="Q12" s="118">
        <f>'4 Estacas1'!U13</f>
        <v>727.5130434782609</v>
      </c>
      <c r="R12" s="34"/>
      <c r="U12" s="182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114" t="s">
        <v>187</v>
      </c>
      <c r="Q13" s="118">
        <f>'4 Estacas1'!U5</f>
        <v>0.9</v>
      </c>
      <c r="R13" s="34"/>
      <c r="U13" s="182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114" t="s">
        <v>188</v>
      </c>
      <c r="Q14" s="118">
        <f>'4 Estacas1'!U6</f>
        <v>1</v>
      </c>
      <c r="R14" s="34"/>
      <c r="U14" s="182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114" t="s">
        <v>69</v>
      </c>
      <c r="Q15" s="118">
        <f>'4 Estacas1'!O6</f>
        <v>26.5</v>
      </c>
      <c r="R15" s="34"/>
      <c r="U15" s="182"/>
    </row>
    <row r="16" spans="2:21" ht="18" x14ac:dyDescent="0.35">
      <c r="B16" s="41"/>
      <c r="C16" s="34"/>
      <c r="D16" s="34"/>
      <c r="E16" s="34"/>
      <c r="F16" s="34"/>
      <c r="G16" s="34"/>
      <c r="H16" s="34"/>
      <c r="I16" s="183"/>
      <c r="J16" s="183"/>
      <c r="K16" s="183"/>
      <c r="L16" s="183"/>
      <c r="M16" s="183"/>
      <c r="N16" s="183"/>
      <c r="O16" s="34"/>
      <c r="P16" s="114" t="s">
        <v>198</v>
      </c>
      <c r="Q16" s="118">
        <f>'4 Estacas1'!O7</f>
        <v>57.5</v>
      </c>
      <c r="R16" s="34"/>
      <c r="U16" s="182"/>
    </row>
    <row r="17" spans="2:21" x14ac:dyDescent="0.25">
      <c r="B17" s="41"/>
      <c r="C17" s="558" t="s">
        <v>165</v>
      </c>
      <c r="D17" s="613"/>
      <c r="E17" s="613"/>
      <c r="F17" s="613"/>
      <c r="G17" s="613"/>
      <c r="H17" s="613"/>
      <c r="I17" s="34"/>
      <c r="J17" s="34"/>
      <c r="K17" s="558" t="s">
        <v>166</v>
      </c>
      <c r="L17" s="558"/>
      <c r="M17" s="34"/>
      <c r="N17" s="34"/>
      <c r="O17" s="34"/>
      <c r="P17" s="114" t="s">
        <v>186</v>
      </c>
      <c r="Q17" s="118">
        <f>Entradas2!C22</f>
        <v>23</v>
      </c>
      <c r="R17" s="34"/>
      <c r="U17" s="182"/>
    </row>
    <row r="18" spans="2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114" t="s">
        <v>158</v>
      </c>
      <c r="Q18" s="118">
        <f>Entradas2!C13</f>
        <v>25</v>
      </c>
      <c r="R18" s="34"/>
      <c r="U18" s="182"/>
    </row>
    <row r="19" spans="2:2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114" t="s">
        <v>189</v>
      </c>
      <c r="Q19" s="118">
        <f>((2*Q15+3*Q16)/100)*((2*Q15)/100)*(Q14/100)*1.05</f>
        <v>1.2549075000000002E-2</v>
      </c>
      <c r="R19" s="34"/>
      <c r="U19" s="182"/>
    </row>
    <row r="20" spans="2:21" x14ac:dyDescent="0.25">
      <c r="B20" s="41"/>
      <c r="C20" s="34"/>
      <c r="D20" s="34"/>
      <c r="E20" s="34"/>
      <c r="F20" s="34"/>
      <c r="G20" s="34"/>
      <c r="H20" s="34"/>
      <c r="I20" s="112"/>
      <c r="J20" s="34"/>
      <c r="K20" s="34"/>
      <c r="L20" s="34"/>
      <c r="M20" s="34"/>
      <c r="N20" s="34"/>
      <c r="O20" s="34"/>
      <c r="P20" s="114" t="s">
        <v>196</v>
      </c>
      <c r="Q20" s="119" t="s">
        <v>197</v>
      </c>
      <c r="R20" s="34"/>
      <c r="U20" s="185"/>
    </row>
    <row r="21" spans="2:21" x14ac:dyDescent="0.25">
      <c r="B21" s="41"/>
      <c r="C21" s="34"/>
      <c r="D21" s="34"/>
      <c r="E21" s="34"/>
      <c r="F21" s="34"/>
      <c r="G21" s="34"/>
      <c r="H21" s="34"/>
      <c r="I21" s="112"/>
      <c r="J21" s="34"/>
      <c r="K21" s="34"/>
      <c r="L21" s="34"/>
      <c r="M21" s="34"/>
      <c r="N21" s="34"/>
      <c r="O21" s="34"/>
      <c r="P21" s="114" t="s">
        <v>190</v>
      </c>
      <c r="Q21" s="119">
        <f>'4 Est1 Arm'!E101</f>
        <v>12.5</v>
      </c>
      <c r="R21" s="34"/>
      <c r="U21" s="182"/>
    </row>
    <row r="22" spans="2:21" x14ac:dyDescent="0.25">
      <c r="B22" s="41"/>
      <c r="C22" s="34"/>
      <c r="D22" s="34"/>
      <c r="E22" s="34"/>
      <c r="F22" s="34"/>
      <c r="G22" s="34"/>
      <c r="H22" s="112"/>
      <c r="I22" s="34"/>
      <c r="J22" s="34"/>
      <c r="K22" s="34"/>
      <c r="L22" s="34"/>
      <c r="M22" s="34"/>
      <c r="N22" s="34"/>
      <c r="O22" s="34"/>
      <c r="P22" s="114" t="s">
        <v>206</v>
      </c>
      <c r="Q22" s="119">
        <f>'4 Est1 Arm'!G11</f>
        <v>2.2800000000000002</v>
      </c>
      <c r="R22" s="34"/>
      <c r="U22" s="182"/>
    </row>
    <row r="23" spans="2:21" ht="18.75" thickBot="1" x14ac:dyDescent="0.4">
      <c r="B23" s="41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127" t="s">
        <v>207</v>
      </c>
      <c r="Q23" s="128">
        <f>'4 Est1 Arm'!G21</f>
        <v>62.5</v>
      </c>
      <c r="R23" s="34"/>
      <c r="U23" s="182"/>
    </row>
    <row r="24" spans="2:21" x14ac:dyDescent="0.25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188"/>
      <c r="R24" s="34"/>
      <c r="S24" s="34"/>
      <c r="T24" s="42"/>
    </row>
    <row r="25" spans="2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42"/>
      <c r="R25" s="34"/>
      <c r="S25" s="34"/>
      <c r="T25" s="42"/>
    </row>
    <row r="26" spans="2:21" x14ac:dyDescent="0.25">
      <c r="B26" s="41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42"/>
      <c r="S26" s="34"/>
      <c r="T26" s="42"/>
    </row>
    <row r="27" spans="2:21" x14ac:dyDescent="0.25">
      <c r="B27" s="41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42"/>
      <c r="S27" s="34"/>
      <c r="T27" s="42"/>
    </row>
    <row r="28" spans="2:21" x14ac:dyDescent="0.25">
      <c r="B28" s="41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42"/>
      <c r="S28" s="34"/>
      <c r="T28" s="42"/>
    </row>
    <row r="29" spans="2:21" x14ac:dyDescent="0.25">
      <c r="B29" s="41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42"/>
      <c r="S29" s="34"/>
      <c r="T29" s="42"/>
    </row>
    <row r="30" spans="2:21" x14ac:dyDescent="0.25">
      <c r="B30" s="41"/>
      <c r="C30" s="34"/>
      <c r="D30" s="34"/>
      <c r="E30" s="558"/>
      <c r="F30" s="558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42"/>
      <c r="S30" s="34"/>
      <c r="T30" s="42"/>
    </row>
    <row r="31" spans="2:21" x14ac:dyDescent="0.25">
      <c r="B31" s="41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42"/>
      <c r="S31" s="34"/>
      <c r="T31" s="42"/>
    </row>
    <row r="32" spans="2:21" x14ac:dyDescent="0.25">
      <c r="B32" s="41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42"/>
      <c r="S32" s="34"/>
      <c r="T32" s="34"/>
    </row>
    <row r="33" spans="2:17" x14ac:dyDescent="0.25">
      <c r="B33" s="41"/>
      <c r="C33" s="34"/>
      <c r="D33" s="186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42"/>
    </row>
    <row r="34" spans="2:17" x14ac:dyDescent="0.25">
      <c r="B34" s="41"/>
      <c r="C34" s="34"/>
      <c r="D34" s="186"/>
      <c r="E34" s="34"/>
      <c r="F34" s="34"/>
      <c r="G34" s="145" t="str">
        <f>CONCATENATE(IF(Q21=20,2*Q21/10,0)," cm")</f>
        <v>0 cm</v>
      </c>
      <c r="H34" s="34"/>
      <c r="I34" s="34"/>
      <c r="J34" s="34"/>
      <c r="K34" s="34"/>
      <c r="L34" s="34"/>
      <c r="M34" s="34"/>
      <c r="N34" s="145" t="str">
        <f>CONCATENATE(IF(Q21=20,2*Q21/10,0)," cm")</f>
        <v>0 cm</v>
      </c>
      <c r="O34" s="34"/>
      <c r="P34" s="34"/>
      <c r="Q34" s="42"/>
    </row>
    <row r="35" spans="2:17" ht="15" customHeight="1" x14ac:dyDescent="0.25">
      <c r="B35" s="41"/>
      <c r="C35" s="34"/>
      <c r="D35" s="186"/>
      <c r="E35" s="34"/>
      <c r="F35" s="614" t="str">
        <f>CONCATENATE(IF(Q21&lt;20,Q21, "Dobra de 8Ф")," cm")</f>
        <v>12,5 cm</v>
      </c>
      <c r="G35" s="34"/>
      <c r="H35" s="34"/>
      <c r="I35" s="34"/>
      <c r="J35" s="34"/>
      <c r="K35" s="34"/>
      <c r="L35" s="34"/>
      <c r="M35" s="34"/>
      <c r="N35" s="34"/>
      <c r="O35" s="610" t="str">
        <f>CONCATENATE(IF(Q21&lt;20,Q21, "Dobra de 8Ф")," cm")</f>
        <v>12,5 cm</v>
      </c>
      <c r="P35" s="34"/>
      <c r="Q35" s="42"/>
    </row>
    <row r="36" spans="2:17" x14ac:dyDescent="0.25">
      <c r="B36" s="41"/>
      <c r="C36" s="34"/>
      <c r="D36" s="186"/>
      <c r="E36" s="34"/>
      <c r="F36" s="614"/>
      <c r="G36" s="34"/>
      <c r="H36" s="34"/>
      <c r="I36" s="34"/>
      <c r="J36" s="34"/>
      <c r="K36" s="34"/>
      <c r="L36" s="34"/>
      <c r="M36" s="34"/>
      <c r="N36" s="34"/>
      <c r="O36" s="610"/>
      <c r="P36" s="34"/>
      <c r="Q36" s="42"/>
    </row>
    <row r="37" spans="2:17" x14ac:dyDescent="0.25">
      <c r="B37" s="41"/>
      <c r="C37" s="34"/>
      <c r="D37" s="186"/>
      <c r="E37" s="187"/>
      <c r="F37" s="614"/>
      <c r="G37" s="34"/>
      <c r="H37" s="563" t="str">
        <f>CONCATENATE(3*Q16+2*Q15-2*'4 Est1 Arm'!C6-Q23/10," cm")</f>
        <v>211,25 cm</v>
      </c>
      <c r="I37" s="563"/>
      <c r="J37" s="563"/>
      <c r="K37" s="563"/>
      <c r="L37" s="563"/>
      <c r="M37" s="563"/>
      <c r="N37" s="34"/>
      <c r="O37" s="610"/>
      <c r="P37" s="34"/>
      <c r="Q37" s="42"/>
    </row>
    <row r="38" spans="2:17" x14ac:dyDescent="0.25">
      <c r="B38" s="41"/>
      <c r="C38" s="34"/>
      <c r="D38" s="186"/>
      <c r="E38" s="186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42"/>
    </row>
    <row r="39" spans="2:17" x14ac:dyDescent="0.25">
      <c r="B39" s="41"/>
      <c r="C39" s="34"/>
      <c r="D39" s="186"/>
      <c r="E39" s="186"/>
      <c r="F39" s="34"/>
      <c r="G39" s="34"/>
      <c r="H39" s="559" t="str">
        <f>CONCATENATE('4 Est1 Arm'!G10," Ф ",Q21," mm"," c/ ",'4 Est1 Arm'!G23," cm.")</f>
        <v>14 Ф 12,5 mm c/ 247 cm.</v>
      </c>
      <c r="I39" s="559"/>
      <c r="J39" s="559"/>
      <c r="K39" s="559"/>
      <c r="L39" s="559"/>
      <c r="M39" s="34"/>
      <c r="N39" s="34"/>
      <c r="O39" s="34"/>
      <c r="P39" s="34"/>
      <c r="Q39" s="42"/>
    </row>
    <row r="40" spans="2:17" x14ac:dyDescent="0.25">
      <c r="B40" s="41"/>
      <c r="C40" s="34"/>
      <c r="D40" s="186"/>
      <c r="E40" s="186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42"/>
    </row>
    <row r="41" spans="2:17" x14ac:dyDescent="0.25">
      <c r="B41" s="41"/>
      <c r="C41" s="34"/>
      <c r="D41" s="186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42"/>
    </row>
    <row r="42" spans="2:17" ht="15.75" thickBot="1" x14ac:dyDescent="0.3">
      <c r="B42" s="41"/>
      <c r="C42" s="34"/>
      <c r="D42" s="186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42"/>
    </row>
    <row r="43" spans="2:17" ht="15.75" thickBot="1" x14ac:dyDescent="0.3">
      <c r="B43" s="41"/>
      <c r="C43" s="34"/>
      <c r="D43" s="186"/>
      <c r="E43" s="34"/>
      <c r="F43" s="566" t="s">
        <v>195</v>
      </c>
      <c r="G43" s="567"/>
      <c r="H43" s="567"/>
      <c r="I43" s="567"/>
      <c r="J43" s="567"/>
      <c r="K43" s="567"/>
      <c r="L43" s="567"/>
      <c r="M43" s="567"/>
      <c r="N43" s="567"/>
      <c r="O43" s="568"/>
      <c r="P43" s="34"/>
      <c r="Q43" s="42"/>
    </row>
    <row r="44" spans="2:17" ht="18" x14ac:dyDescent="0.35">
      <c r="B44" s="41"/>
      <c r="C44" s="34"/>
      <c r="D44" s="186"/>
      <c r="E44" s="34"/>
      <c r="F44" s="609" t="s">
        <v>194</v>
      </c>
      <c r="G44" s="612"/>
      <c r="H44" s="599" t="s">
        <v>193</v>
      </c>
      <c r="I44" s="600"/>
      <c r="J44" s="570" t="s">
        <v>192</v>
      </c>
      <c r="K44" s="599"/>
      <c r="L44" s="569" t="s">
        <v>191</v>
      </c>
      <c r="M44" s="570"/>
      <c r="N44" s="570"/>
      <c r="O44" s="571"/>
      <c r="P44" s="34"/>
      <c r="Q44" s="42"/>
    </row>
    <row r="45" spans="2:17" ht="15.75" thickBot="1" x14ac:dyDescent="0.3">
      <c r="B45" s="41"/>
      <c r="C45" s="34"/>
      <c r="D45" s="186"/>
      <c r="E45" s="34"/>
      <c r="F45" s="573">
        <f>Q21</f>
        <v>12.5</v>
      </c>
      <c r="G45" s="486"/>
      <c r="H45" s="486">
        <f>('4 Est1 Arm'!G23/100)*'4 Est1 Arm'!G10</f>
        <v>34.580000000000005</v>
      </c>
      <c r="I45" s="486"/>
      <c r="J45" s="486">
        <f>IF(Q21=6.3,0.245,IF(Q21=8,0.395,IF(Q21=10,0.617,IF(Q21=12.5,0.963,IF(Q21=16,1.578,IF(Q21=20,2.466))))))</f>
        <v>0.96299999999999997</v>
      </c>
      <c r="K45" s="605"/>
      <c r="L45" s="611">
        <f>(J45*H45)*1.1</f>
        <v>36.630594000000009</v>
      </c>
      <c r="M45" s="564"/>
      <c r="N45" s="564"/>
      <c r="O45" s="565"/>
      <c r="P45" s="34"/>
      <c r="Q45" s="42"/>
    </row>
    <row r="46" spans="2:17" x14ac:dyDescent="0.25">
      <c r="B46" s="41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42"/>
    </row>
    <row r="47" spans="2:17" ht="15.75" thickBot="1" x14ac:dyDescent="0.3">
      <c r="B47" s="163"/>
      <c r="C47" s="164"/>
      <c r="D47" s="164"/>
      <c r="E47" s="189"/>
      <c r="F47" s="189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5"/>
    </row>
  </sheetData>
  <mergeCells count="17">
    <mergeCell ref="B1:Q2"/>
    <mergeCell ref="H37:M37"/>
    <mergeCell ref="E30:F30"/>
    <mergeCell ref="C17:H17"/>
    <mergeCell ref="F35:F37"/>
    <mergeCell ref="K17:L17"/>
    <mergeCell ref="F43:O43"/>
    <mergeCell ref="H39:L39"/>
    <mergeCell ref="O35:O37"/>
    <mergeCell ref="L44:O44"/>
    <mergeCell ref="L45:O45"/>
    <mergeCell ref="F44:G44"/>
    <mergeCell ref="H44:I44"/>
    <mergeCell ref="J44:K44"/>
    <mergeCell ref="F45:G45"/>
    <mergeCell ref="H45:I45"/>
    <mergeCell ref="J45:K45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39942" r:id="rId3">
          <objectPr defaultSize="0" autoPict="0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9</xdr:col>
                <xdr:colOff>352425</xdr:colOff>
                <xdr:row>15</xdr:row>
                <xdr:rowOff>0</xdr:rowOff>
              </to>
            </anchor>
          </objectPr>
        </oleObject>
      </mc:Choice>
      <mc:Fallback>
        <oleObject progId="AutoCAD.Drawing.18" shapeId="39942" r:id="rId3"/>
      </mc:Fallback>
    </mc:AlternateContent>
    <mc:AlternateContent xmlns:mc="http://schemas.openxmlformats.org/markup-compatibility/2006">
      <mc:Choice Requires="x14">
        <oleObject progId="AutoCAD.Drawing.18" shapeId="39943" r:id="rId5">
          <objectPr defaultSize="0" autoPict="0" r:id="rId6">
            <anchor moveWithCells="1">
              <from>
                <xdr:col>1</xdr:col>
                <xdr:colOff>9525</xdr:colOff>
                <xdr:row>17</xdr:row>
                <xdr:rowOff>19050</xdr:rowOff>
              </from>
              <to>
                <xdr:col>9</xdr:col>
                <xdr:colOff>104775</xdr:colOff>
                <xdr:row>30</xdr:row>
                <xdr:rowOff>0</xdr:rowOff>
              </to>
            </anchor>
          </objectPr>
        </oleObject>
      </mc:Choice>
      <mc:Fallback>
        <oleObject progId="AutoCAD.Drawing.18" shapeId="39943" r:id="rId5"/>
      </mc:Fallback>
    </mc:AlternateContent>
    <mc:AlternateContent xmlns:mc="http://schemas.openxmlformats.org/markup-compatibility/2006">
      <mc:Choice Requires="x14">
        <oleObject progId="AutoCAD.Drawing.18" shapeId="39945" r:id="rId7">
          <objectPr defaultSize="0" autoPict="0" r:id="rId8">
            <anchor moveWithCells="1">
              <from>
                <xdr:col>5</xdr:col>
                <xdr:colOff>19050</xdr:colOff>
                <xdr:row>31</xdr:row>
                <xdr:rowOff>180975</xdr:rowOff>
              </from>
              <to>
                <xdr:col>15</xdr:col>
                <xdr:colOff>47625</xdr:colOff>
                <xdr:row>39</xdr:row>
                <xdr:rowOff>152400</xdr:rowOff>
              </to>
            </anchor>
          </objectPr>
        </oleObject>
      </mc:Choice>
      <mc:Fallback>
        <oleObject progId="AutoCAD.Drawing.18" shapeId="39945" r:id="rId7"/>
      </mc:Fallback>
    </mc:AlternateContent>
    <mc:AlternateContent xmlns:mc="http://schemas.openxmlformats.org/markup-compatibility/2006">
      <mc:Choice Requires="x14">
        <oleObject progId="AutoCAD.Drawing.18" shapeId="39946" r:id="rId9">
          <objectPr defaultSize="0" autoPict="0" r:id="rId10">
            <anchor moveWithCells="1">
              <from>
                <xdr:col>10</xdr:col>
                <xdr:colOff>9525</xdr:colOff>
                <xdr:row>17</xdr:row>
                <xdr:rowOff>9525</xdr:rowOff>
              </from>
              <to>
                <xdr:col>11</xdr:col>
                <xdr:colOff>676275</xdr:colOff>
                <xdr:row>30</xdr:row>
                <xdr:rowOff>0</xdr:rowOff>
              </to>
            </anchor>
          </objectPr>
        </oleObject>
      </mc:Choice>
      <mc:Fallback>
        <oleObject progId="AutoCAD.Drawing.18" shapeId="39946" r:id="rId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11" name="Button 2">
              <controlPr defaultSize="0" print="0" autoFill="0" autoPict="0" macro="[0]!inicio">
                <anchor moveWithCells="1" sizeWithCells="1">
                  <from>
                    <xdr:col>15</xdr:col>
                    <xdr:colOff>495300</xdr:colOff>
                    <xdr:row>43</xdr:row>
                    <xdr:rowOff>9525</xdr:rowOff>
                  </from>
                  <to>
                    <xdr:col>16</xdr:col>
                    <xdr:colOff>581025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AE40"/>
  <sheetViews>
    <sheetView showGridLines="0" showRowColHeaders="0" zoomScale="85" zoomScaleNormal="85" workbookViewId="0">
      <selection activeCell="P13" sqref="P13"/>
    </sheetView>
  </sheetViews>
  <sheetFormatPr defaultRowHeight="15" x14ac:dyDescent="0.25"/>
  <cols>
    <col min="7" max="7" width="10.5703125" customWidth="1"/>
    <col min="9" max="9" width="11.7109375" bestFit="1" customWidth="1"/>
    <col min="10" max="10" width="10.7109375" bestFit="1" customWidth="1"/>
    <col min="15" max="15" width="21.42578125" bestFit="1" customWidth="1"/>
    <col min="16" max="16" width="8.7109375" bestFit="1" customWidth="1"/>
    <col min="17" max="17" width="19.7109375" bestFit="1" customWidth="1"/>
    <col min="18" max="18" width="12.5703125" bestFit="1" customWidth="1"/>
    <col min="25" max="25" width="9.140625" style="350"/>
    <col min="26" max="26" width="21.42578125" style="350" bestFit="1" customWidth="1"/>
    <col min="27" max="28" width="9.140625" style="350"/>
    <col min="29" max="29" width="12.5703125" style="350" bestFit="1" customWidth="1"/>
    <col min="30" max="31" width="9.140625" style="350"/>
  </cols>
  <sheetData>
    <row r="1" spans="2:30" ht="15.75" thickBot="1" x14ac:dyDescent="0.3"/>
    <row r="2" spans="2:30" x14ac:dyDescent="0.25">
      <c r="B2" s="20"/>
      <c r="C2" s="320"/>
      <c r="D2" s="320"/>
      <c r="E2" s="320"/>
      <c r="F2" s="320"/>
      <c r="G2" s="317"/>
      <c r="O2" s="461" t="s">
        <v>170</v>
      </c>
      <c r="P2" s="462"/>
      <c r="Q2" s="24"/>
    </row>
    <row r="3" spans="2:30" ht="15.75" thickBot="1" x14ac:dyDescent="0.3">
      <c r="B3" s="41"/>
      <c r="C3" s="322"/>
      <c r="D3" s="322"/>
      <c r="E3" s="322"/>
      <c r="F3" s="322"/>
      <c r="G3" s="42"/>
      <c r="O3" s="463"/>
      <c r="P3" s="464"/>
      <c r="Q3" s="24"/>
    </row>
    <row r="4" spans="2:30" ht="15.75" thickBot="1" x14ac:dyDescent="0.3">
      <c r="B4" s="41"/>
      <c r="C4" s="322"/>
      <c r="D4" s="322"/>
      <c r="E4" s="322"/>
      <c r="F4" s="322"/>
      <c r="G4" s="42"/>
      <c r="J4" s="89" t="s">
        <v>77</v>
      </c>
      <c r="K4" s="90" t="s">
        <v>78</v>
      </c>
      <c r="L4" s="90" t="s">
        <v>80</v>
      </c>
      <c r="M4" s="91" t="s">
        <v>81</v>
      </c>
      <c r="O4" s="24"/>
      <c r="P4" s="24"/>
      <c r="Q4" s="24"/>
      <c r="Z4" s="350" t="s">
        <v>60</v>
      </c>
      <c r="AA4" s="350">
        <f>Blocos!L1</f>
        <v>2</v>
      </c>
    </row>
    <row r="5" spans="2:30" x14ac:dyDescent="0.25">
      <c r="B5" s="41"/>
      <c r="C5" s="322"/>
      <c r="D5" s="322"/>
      <c r="E5" s="322"/>
      <c r="F5" s="322"/>
      <c r="G5" s="42"/>
      <c r="I5" s="72" t="s">
        <v>73</v>
      </c>
      <c r="J5" s="75">
        <f>Entradas2!C22</f>
        <v>23</v>
      </c>
      <c r="K5" s="52">
        <f>Entradas2!C22</f>
        <v>23</v>
      </c>
      <c r="L5" s="52">
        <f>Entradas2!C22</f>
        <v>23</v>
      </c>
      <c r="M5" s="50">
        <f>Entradas2!C22</f>
        <v>23</v>
      </c>
      <c r="O5" s="146" t="s">
        <v>172</v>
      </c>
      <c r="P5" s="147">
        <f>AB7/100</f>
        <v>0.45</v>
      </c>
      <c r="Q5" s="579" t="s">
        <v>210</v>
      </c>
      <c r="Z5" s="351" t="s">
        <v>86</v>
      </c>
      <c r="AA5" s="350">
        <f>Entradas2!C12</f>
        <v>45</v>
      </c>
      <c r="AC5" s="351" t="s">
        <v>108</v>
      </c>
      <c r="AD5" s="350">
        <f>Entradas2!C9*AB7/100</f>
        <v>0</v>
      </c>
    </row>
    <row r="6" spans="2:30" ht="15.75" thickBot="1" x14ac:dyDescent="0.3">
      <c r="B6" s="41"/>
      <c r="C6" s="322"/>
      <c r="D6" s="322"/>
      <c r="E6" s="322"/>
      <c r="F6" s="322"/>
      <c r="G6" s="42"/>
      <c r="I6" s="73" t="s">
        <v>69</v>
      </c>
      <c r="J6" s="76">
        <f>Entradas2!C22/2+15</f>
        <v>26.5</v>
      </c>
      <c r="K6" s="48">
        <f>Entradas2!C22/2+15</f>
        <v>26.5</v>
      </c>
      <c r="L6" s="48">
        <f>Entradas2!C22/2+15</f>
        <v>26.5</v>
      </c>
      <c r="M6" s="57">
        <f>Entradas2!C22/2+15</f>
        <v>26.5</v>
      </c>
      <c r="O6" s="148" t="s">
        <v>173</v>
      </c>
      <c r="P6" s="149">
        <f>AA8/100</f>
        <v>0.55000000000000004</v>
      </c>
      <c r="Q6" s="580"/>
      <c r="Z6" s="351" t="s">
        <v>102</v>
      </c>
      <c r="AA6" s="350">
        <f>SQRT((J8^2)+(J9^2))*100</f>
        <v>40.658639918226477</v>
      </c>
      <c r="AC6" s="351" t="s">
        <v>109</v>
      </c>
      <c r="AD6" s="350">
        <f>Entradas2!C8*AB7/100</f>
        <v>0</v>
      </c>
    </row>
    <row r="7" spans="2:30" ht="18" x14ac:dyDescent="0.25">
      <c r="B7" s="41"/>
      <c r="C7" s="322"/>
      <c r="D7" s="322"/>
      <c r="E7" s="322"/>
      <c r="F7" s="322"/>
      <c r="G7" s="42"/>
      <c r="I7" s="73" t="s">
        <v>79</v>
      </c>
      <c r="J7" s="76">
        <f>Entradas2!C22*Entradas2!L21</f>
        <v>57.5</v>
      </c>
      <c r="K7" s="48">
        <f>Entradas2!C22*Entradas2!L21</f>
        <v>57.5</v>
      </c>
      <c r="L7" s="48">
        <f>Entradas2!C22*Entradas2!L21</f>
        <v>57.5</v>
      </c>
      <c r="M7" s="57">
        <f>Entradas2!C22*Entradas2!L21</f>
        <v>57.5</v>
      </c>
      <c r="O7" s="146" t="s">
        <v>174</v>
      </c>
      <c r="P7" s="147">
        <f>AA18</f>
        <v>35864.605635870394</v>
      </c>
      <c r="Q7" s="586" t="str">
        <f>IF(P7&gt;P8,"Opção: Aumentar o fck do Concreto","Verificação Atendida")</f>
        <v>Opção: Aumentar o fck do Concreto</v>
      </c>
      <c r="Z7" s="351" t="s">
        <v>103</v>
      </c>
      <c r="AA7" s="350">
        <f>AA6*(TAN(RADIANS(AA5)))</f>
        <v>40.65863991822647</v>
      </c>
      <c r="AB7" s="350">
        <f>CEILING(AA7,5)</f>
        <v>45</v>
      </c>
    </row>
    <row r="8" spans="2:30" ht="18.75" thickBot="1" x14ac:dyDescent="0.3">
      <c r="B8" s="41"/>
      <c r="C8" s="322"/>
      <c r="D8" s="322"/>
      <c r="E8" s="322"/>
      <c r="F8" s="322"/>
      <c r="G8" s="42"/>
      <c r="I8" s="73" t="s">
        <v>98</v>
      </c>
      <c r="J8" s="76">
        <f>-(J7/2)/100</f>
        <v>-0.28749999999999998</v>
      </c>
      <c r="K8" s="48">
        <f>(K7/2)/100</f>
        <v>0.28749999999999998</v>
      </c>
      <c r="L8" s="48">
        <f>(-L7/2)/100</f>
        <v>-0.28749999999999998</v>
      </c>
      <c r="M8" s="57">
        <f>M7/200</f>
        <v>0.28749999999999998</v>
      </c>
      <c r="O8" s="150" t="s">
        <v>212</v>
      </c>
      <c r="P8" s="151">
        <f>AA15</f>
        <v>9642.8571428571449</v>
      </c>
      <c r="Q8" s="587"/>
      <c r="Z8" s="351" t="s">
        <v>104</v>
      </c>
      <c r="AA8" s="350">
        <f>AB7+10</f>
        <v>55</v>
      </c>
    </row>
    <row r="9" spans="2:30" ht="18" x14ac:dyDescent="0.25">
      <c r="B9" s="41"/>
      <c r="C9" s="322"/>
      <c r="D9" s="322"/>
      <c r="E9" s="322"/>
      <c r="F9" s="322"/>
      <c r="G9" s="42"/>
      <c r="I9" s="73" t="s">
        <v>101</v>
      </c>
      <c r="J9" s="76">
        <f>J7/200</f>
        <v>0.28749999999999998</v>
      </c>
      <c r="K9" s="48">
        <f>K7/200</f>
        <v>0.28749999999999998</v>
      </c>
      <c r="L9" s="48">
        <f>-(L7/2)/100</f>
        <v>-0.28749999999999998</v>
      </c>
      <c r="M9" s="57">
        <f>-M7/200</f>
        <v>-0.28749999999999998</v>
      </c>
      <c r="O9" s="146" t="s">
        <v>175</v>
      </c>
      <c r="P9" s="147">
        <f>AA24</f>
        <v>11920.695652173916</v>
      </c>
      <c r="Q9" s="586" t="str">
        <f>IF(P9&gt;P10,"Opção: Aumentar a Sessão do Pilar","Verificação Atendida")</f>
        <v>Verificação Atendida</v>
      </c>
      <c r="Z9" s="351" t="s">
        <v>87</v>
      </c>
      <c r="AA9" s="350">
        <f>(PI()*(J5^2)/4)/10000</f>
        <v>4.154756284372501E-2</v>
      </c>
    </row>
    <row r="10" spans="2:30" ht="18.75" thickBot="1" x14ac:dyDescent="0.3">
      <c r="B10" s="41"/>
      <c r="C10" s="322"/>
      <c r="D10" s="322"/>
      <c r="E10" s="322"/>
      <c r="F10" s="322"/>
      <c r="G10" s="42"/>
      <c r="I10" s="73" t="s">
        <v>72</v>
      </c>
      <c r="J10" s="76">
        <f>SUMSQ(J8:M8)</f>
        <v>0.33062499999999995</v>
      </c>
      <c r="K10" s="48">
        <f>SUMSQ(J8:M8)</f>
        <v>0.33062499999999995</v>
      </c>
      <c r="L10" s="48">
        <f>SUMSQ(J8:M8)</f>
        <v>0.33062499999999995</v>
      </c>
      <c r="M10" s="57">
        <f>SUMSQ(J8:M8)</f>
        <v>0.33062499999999995</v>
      </c>
      <c r="O10" s="150" t="s">
        <v>176</v>
      </c>
      <c r="P10" s="151">
        <f>AA29</f>
        <v>15178.571428571429</v>
      </c>
      <c r="Q10" s="587"/>
      <c r="Z10" s="351" t="s">
        <v>88</v>
      </c>
      <c r="AA10" s="350">
        <f>AA9*SIN(RADIANS(AA5))</f>
        <v>2.9378563428572192E-2</v>
      </c>
    </row>
    <row r="11" spans="2:30" ht="18" x14ac:dyDescent="0.25">
      <c r="B11" s="41"/>
      <c r="C11" s="322"/>
      <c r="D11" s="322"/>
      <c r="E11" s="322"/>
      <c r="F11" s="322"/>
      <c r="G11" s="42"/>
      <c r="I11" s="73" t="s">
        <v>74</v>
      </c>
      <c r="J11" s="76">
        <f>SUMSQ(J9:M9)</f>
        <v>0.33062499999999995</v>
      </c>
      <c r="K11" s="48">
        <f>SUMSQ(J9:M9)</f>
        <v>0.33062499999999995</v>
      </c>
      <c r="L11" s="48">
        <f>SUMSQ(J9:M9)</f>
        <v>0.33062499999999995</v>
      </c>
      <c r="M11" s="57">
        <f>SUMSQ(J9:M9)</f>
        <v>0.33062499999999995</v>
      </c>
      <c r="O11" s="152" t="s">
        <v>177</v>
      </c>
      <c r="P11" s="147">
        <f>AA33</f>
        <v>5368.1492460622258</v>
      </c>
      <c r="Q11" s="586" t="str">
        <f>IF(P11&gt;P12,"Opção: Aumentar o Diâmetro da Estaca","Verificação Atendida")</f>
        <v>Opção: Aumentar o Diâmetro da Estaca</v>
      </c>
    </row>
    <row r="12" spans="2:30" ht="18.75" thickBot="1" x14ac:dyDescent="0.3">
      <c r="B12" s="41"/>
      <c r="C12" s="322"/>
      <c r="D12" s="322"/>
      <c r="E12" s="322"/>
      <c r="F12" s="322"/>
      <c r="G12" s="42"/>
      <c r="I12" s="158" t="s">
        <v>76</v>
      </c>
      <c r="J12" s="176">
        <f>(Entradas2!$C$5/Entradas2!$F$5)-('4 Estacas2'!$AD$5+Entradas2!$C$6)*ABS('4 Estacas2'!J9)/'4 Estacas2'!J11-('4 Estacas2'!$AD$6+Entradas2!$C$7)*ABS('4 Estacas2'!J8)/'4 Estacas2'!J10</f>
        <v>482.60869565217388</v>
      </c>
      <c r="K12" s="177">
        <f>(Entradas2!$C$5/Entradas2!$F$5)-($AD$5+Entradas2!$C$6)*ABS('4 Estacas2'!K9)/'4 Estacas2'!K11+('4 Estacas2'!$AD$6+Entradas2!$C$7)*'4 Estacas2'!K8/'4 Estacas2'!K10</f>
        <v>500</v>
      </c>
      <c r="L12" s="177">
        <f>(Entradas2!$C$5/Entradas2!$F$5)+($AD$5+Entradas2!$C$6)*ABS('4 Estacas2'!L9)/'4 Estacas2'!L11-('4 Estacas2'!$AD$6+Entradas2!$C$7)*'4 Estacas2'!L8/'4 Estacas2'!L10</f>
        <v>517.39130434782612</v>
      </c>
      <c r="M12" s="178">
        <f>(Entradas2!$C$5/Entradas2!$F$5)+($AD$5+Entradas2!$C$6)*ABS('4 Estacas2'!M9)/'4 Estacas2'!M11+('4 Estacas2'!$AD$6+Entradas2!$C$7)*'4 Estacas2'!M8/'4 Estacas2'!M10</f>
        <v>517.39130434782612</v>
      </c>
      <c r="O12" s="153" t="s">
        <v>178</v>
      </c>
      <c r="P12" s="151">
        <f>AA36</f>
        <v>2564.9639200150441</v>
      </c>
      <c r="Q12" s="587"/>
      <c r="Z12" s="352" t="s">
        <v>90</v>
      </c>
      <c r="AA12" s="350">
        <f>(K15)/(AA10*SIN(RADIANS(AA5)))</f>
        <v>24905.976136021109</v>
      </c>
      <c r="AC12" s="351" t="s">
        <v>113</v>
      </c>
      <c r="AD12" s="350">
        <f>K15/(SIN(RADIANS(AA5)))</f>
        <v>731.7017996626015</v>
      </c>
    </row>
    <row r="13" spans="2:30" ht="18.75" thickBot="1" x14ac:dyDescent="0.3">
      <c r="B13" s="41"/>
      <c r="C13" s="322"/>
      <c r="D13" s="322"/>
      <c r="E13" s="322"/>
      <c r="F13" s="322"/>
      <c r="G13" s="42"/>
      <c r="O13" s="154" t="s">
        <v>179</v>
      </c>
      <c r="P13" s="155">
        <f>AA38</f>
        <v>745.04347826086973</v>
      </c>
      <c r="Q13" s="24"/>
      <c r="AC13" s="351" t="s">
        <v>114</v>
      </c>
      <c r="AD13" s="350">
        <f>AD12*Entradas2!C16*Entradas2!C19</f>
        <v>1053.6505915141461</v>
      </c>
    </row>
    <row r="14" spans="2:30" ht="15.75" thickBot="1" x14ac:dyDescent="0.3">
      <c r="B14" s="41"/>
      <c r="C14" s="322"/>
      <c r="D14" s="322"/>
      <c r="E14" s="322"/>
      <c r="F14" s="322"/>
      <c r="G14" s="42"/>
      <c r="I14" s="574" t="s">
        <v>219</v>
      </c>
      <c r="J14" s="575"/>
      <c r="K14" s="576"/>
      <c r="O14" s="24"/>
      <c r="P14" s="24"/>
      <c r="Q14" s="24"/>
      <c r="Z14" s="352" t="s">
        <v>107</v>
      </c>
      <c r="AA14" s="350">
        <f>0.6*(1-Entradas2!C13/250)*AA27</f>
        <v>9.6428571428571441</v>
      </c>
    </row>
    <row r="15" spans="2:30" ht="15.75" thickBot="1" x14ac:dyDescent="0.3">
      <c r="B15" s="41"/>
      <c r="C15" s="322"/>
      <c r="D15" s="322"/>
      <c r="E15" s="322"/>
      <c r="F15" s="322"/>
      <c r="G15" s="42"/>
      <c r="I15" s="174" t="str">
        <f>IF((LARGE(J12:M12,1))=J12,"Estaca E1",IF((LARGE(J12:M12,1))=K12,"Estaca E2",IF((LARGE(J12:M12,1))=L12,"Estaca E3","Estaca E4")))</f>
        <v>Estaca E3</v>
      </c>
      <c r="J15" s="175" t="s">
        <v>75</v>
      </c>
      <c r="K15" s="173">
        <f>LARGE(J12:M12,1)</f>
        <v>517.39130434782612</v>
      </c>
      <c r="O15" s="502" t="s">
        <v>180</v>
      </c>
      <c r="P15" s="503"/>
      <c r="Q15" s="504"/>
      <c r="Z15" s="352" t="s">
        <v>89</v>
      </c>
      <c r="AA15" s="350">
        <f>AA14*1000</f>
        <v>9642.8571428571449</v>
      </c>
    </row>
    <row r="16" spans="2:30" x14ac:dyDescent="0.25">
      <c r="B16" s="41"/>
      <c r="C16" s="322"/>
      <c r="D16" s="322"/>
      <c r="E16" s="322"/>
      <c r="F16" s="322"/>
      <c r="G16" s="42"/>
      <c r="I16" s="107" t="s">
        <v>99</v>
      </c>
      <c r="J16" s="108">
        <f>IF($I$15=$J$4,J8,IF($I$15=$K$4,K8,IF($I$15=$L$4,L8,IF($I$15=$M$4,M8))))</f>
        <v>-0.28749999999999998</v>
      </c>
      <c r="O16" s="156"/>
      <c r="P16" s="584" t="s">
        <v>181</v>
      </c>
      <c r="Q16" s="539"/>
      <c r="Z16" s="351" t="s">
        <v>91</v>
      </c>
      <c r="AA16" s="350">
        <f>K15*Entradas2!C16*Entradas2!C19</f>
        <v>745.04347826086962</v>
      </c>
    </row>
    <row r="17" spans="2:30" ht="15.75" thickBot="1" x14ac:dyDescent="0.3">
      <c r="B17" s="41"/>
      <c r="C17" s="322"/>
      <c r="D17" s="322"/>
      <c r="E17" s="322"/>
      <c r="F17" s="322"/>
      <c r="G17" s="42"/>
      <c r="I17" s="109" t="s">
        <v>100</v>
      </c>
      <c r="J17" s="110">
        <f>IF($I$15=$J$4,J9,IF($I$15=$K$4,K9,IF($I$15=$L$4,L9,IF($I$15=$M$4,M9))))</f>
        <v>-0.28749999999999998</v>
      </c>
      <c r="O17" s="157"/>
      <c r="P17" s="585" t="s">
        <v>182</v>
      </c>
      <c r="Q17" s="501"/>
    </row>
    <row r="18" spans="2:30" ht="15.75" thickBot="1" x14ac:dyDescent="0.3">
      <c r="B18" s="318"/>
      <c r="C18" s="321"/>
      <c r="D18" s="321"/>
      <c r="E18" s="321"/>
      <c r="F18" s="321"/>
      <c r="G18" s="319"/>
      <c r="Z18" s="352" t="s">
        <v>92</v>
      </c>
      <c r="AA18" s="350">
        <f>(AA16)/(AA10*SIN(RADIANS(AA5)))</f>
        <v>35864.605635870394</v>
      </c>
    </row>
    <row r="19" spans="2:30" ht="15.75" thickBot="1" x14ac:dyDescent="0.3">
      <c r="B19" s="322"/>
      <c r="C19" s="322"/>
      <c r="D19" s="322"/>
      <c r="E19" s="322"/>
      <c r="F19" s="322"/>
      <c r="G19" s="322"/>
    </row>
    <row r="20" spans="2:30" ht="12" customHeight="1" x14ac:dyDescent="0.25">
      <c r="B20" s="472" t="str">
        <f>IF(AA4=4,"Bloco Selecionado está Correto","Bloco Selecionado Incorreto")</f>
        <v>Bloco Selecionado Incorreto</v>
      </c>
      <c r="C20" s="473"/>
      <c r="D20" s="473"/>
      <c r="E20" s="473"/>
      <c r="F20" s="473"/>
      <c r="G20" s="474"/>
      <c r="I20" s="478" t="str">
        <f>IF(K15&gt;Entradas2!$C$24,"ATENÇÃO: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J20" s="479"/>
      <c r="K20" s="479"/>
      <c r="L20" s="480"/>
      <c r="Z20" s="351" t="s">
        <v>93</v>
      </c>
      <c r="AA20" s="350">
        <f>Entradas2!C10*Entradas2!C11</f>
        <v>2500</v>
      </c>
    </row>
    <row r="21" spans="2:30" ht="15.75" thickBot="1" x14ac:dyDescent="0.3">
      <c r="B21" s="475"/>
      <c r="C21" s="476"/>
      <c r="D21" s="476"/>
      <c r="E21" s="476"/>
      <c r="F21" s="476"/>
      <c r="G21" s="477"/>
      <c r="I21" s="481"/>
      <c r="J21" s="482"/>
      <c r="K21" s="482"/>
      <c r="L21" s="483"/>
      <c r="Z21" s="351" t="s">
        <v>94</v>
      </c>
      <c r="AA21" s="350">
        <f>AA20/10000</f>
        <v>0.25</v>
      </c>
    </row>
    <row r="22" spans="2:30" x14ac:dyDescent="0.25">
      <c r="Z22" s="351" t="s">
        <v>95</v>
      </c>
      <c r="AA22" s="350">
        <f>(AA21*SIN(RADIANS(AA5)))/Entradas2!F5</f>
        <v>8.8388347648318433E-2</v>
      </c>
    </row>
    <row r="23" spans="2:30" ht="15" customHeight="1" x14ac:dyDescent="0.25"/>
    <row r="24" spans="2:30" ht="15.75" customHeight="1" x14ac:dyDescent="0.25">
      <c r="Z24" s="351" t="s">
        <v>110</v>
      </c>
      <c r="AA24" s="350">
        <f>AD13/AA22</f>
        <v>11920.695652173916</v>
      </c>
    </row>
    <row r="27" spans="2:30" x14ac:dyDescent="0.25">
      <c r="Z27" s="351" t="s">
        <v>105</v>
      </c>
      <c r="AA27" s="350">
        <f>Entradas2!C13/Entradas2!C17</f>
        <v>17.857142857142858</v>
      </c>
      <c r="AC27" s="351" t="s">
        <v>120</v>
      </c>
      <c r="AD27" s="350">
        <f>AA27*1000</f>
        <v>17857.142857142859</v>
      </c>
    </row>
    <row r="28" spans="2:30" x14ac:dyDescent="0.25">
      <c r="Z28" s="353"/>
    </row>
    <row r="29" spans="2:30" x14ac:dyDescent="0.25">
      <c r="Z29" s="352" t="s">
        <v>96</v>
      </c>
      <c r="AA29" s="350">
        <f>0.85*(AD27)</f>
        <v>15178.571428571429</v>
      </c>
    </row>
    <row r="30" spans="2:30" x14ac:dyDescent="0.25">
      <c r="Z30" s="353"/>
    </row>
    <row r="31" spans="2:30" x14ac:dyDescent="0.25">
      <c r="Z31" s="351" t="s">
        <v>111</v>
      </c>
      <c r="AA31" s="350">
        <f>(AA22+AA10)/2</f>
        <v>5.888345553844531E-2</v>
      </c>
    </row>
    <row r="33" spans="26:28" x14ac:dyDescent="0.25">
      <c r="Z33" s="352" t="s">
        <v>112</v>
      </c>
      <c r="AA33" s="350">
        <f>(0.3*AD13)/AA31</f>
        <v>5368.1492460622258</v>
      </c>
    </row>
    <row r="35" spans="26:28" x14ac:dyDescent="0.25">
      <c r="Z35" s="352" t="s">
        <v>116</v>
      </c>
      <c r="AA35" s="350" t="s">
        <v>119</v>
      </c>
      <c r="AB35" s="350">
        <f>0.3*((Entradas2!C13)^(2/3))</f>
        <v>2.5649639200150443</v>
      </c>
    </row>
    <row r="36" spans="26:28" x14ac:dyDescent="0.25">
      <c r="Z36" s="352" t="s">
        <v>115</v>
      </c>
      <c r="AA36" s="350">
        <f>AB35*1000</f>
        <v>2564.9639200150441</v>
      </c>
    </row>
    <row r="38" spans="26:28" x14ac:dyDescent="0.25">
      <c r="Z38" s="352" t="s">
        <v>118</v>
      </c>
      <c r="AA38" s="350">
        <f>AD13*COS(RADIANS(AA5))</f>
        <v>745.04347826086973</v>
      </c>
    </row>
    <row r="40" spans="26:28" x14ac:dyDescent="0.25">
      <c r="Z40" s="352" t="s">
        <v>220</v>
      </c>
      <c r="AA40" s="350">
        <f>Entradas2!C24</f>
        <v>670</v>
      </c>
    </row>
  </sheetData>
  <mergeCells count="11">
    <mergeCell ref="O2:P3"/>
    <mergeCell ref="Q5:Q6"/>
    <mergeCell ref="Q7:Q8"/>
    <mergeCell ref="Q9:Q10"/>
    <mergeCell ref="Q11:Q12"/>
    <mergeCell ref="P16:Q16"/>
    <mergeCell ref="P17:Q17"/>
    <mergeCell ref="I14:K14"/>
    <mergeCell ref="B20:G21"/>
    <mergeCell ref="I20:L21"/>
    <mergeCell ref="O15:Q15"/>
  </mergeCells>
  <conditionalFormatting sqref="B20:G21">
    <cfRule type="expression" dxfId="67" priority="17">
      <formula>$AA$4&lt;&gt;4</formula>
    </cfRule>
    <cfRule type="expression" dxfId="66" priority="18">
      <formula>$AA$4=4</formula>
    </cfRule>
  </conditionalFormatting>
  <conditionalFormatting sqref="I20:L21">
    <cfRule type="expression" dxfId="65" priority="13">
      <formula>$AA$40&lt;$K$15</formula>
    </cfRule>
    <cfRule type="expression" dxfId="64" priority="14">
      <formula>$K$15&lt;=$AA$40</formula>
    </cfRule>
  </conditionalFormatting>
  <conditionalFormatting sqref="O7:P8">
    <cfRule type="expression" dxfId="63" priority="5">
      <formula>$P$8&lt;$P$7</formula>
    </cfRule>
    <cfRule type="expression" dxfId="62" priority="6">
      <formula>$P$8&gt;=$P$7</formula>
    </cfRule>
  </conditionalFormatting>
  <conditionalFormatting sqref="O9:P10">
    <cfRule type="expression" dxfId="61" priority="3">
      <formula>$P$10&lt;$P$9</formula>
    </cfRule>
    <cfRule type="expression" dxfId="60" priority="4">
      <formula>$P$10&gt;=$P$9</formula>
    </cfRule>
  </conditionalFormatting>
  <conditionalFormatting sqref="O11:P12">
    <cfRule type="expression" dxfId="59" priority="1">
      <formula>$P$12&lt;$P$11</formula>
    </cfRule>
    <cfRule type="expression" dxfId="58" priority="2">
      <formula>$P$12&gt;=$P$11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9218" r:id="rId3">
          <objectPr defaultSize="0" autoPict="0" r:id="rId4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6</xdr:col>
                <xdr:colOff>685800</xdr:colOff>
                <xdr:row>17</xdr:row>
                <xdr:rowOff>180975</xdr:rowOff>
              </to>
            </anchor>
          </objectPr>
        </oleObject>
      </mc:Choice>
      <mc:Fallback>
        <oleObject progId="AutoCAD.Drawing.18" shapeId="9218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ntes2">
                <anchor moveWithCells="1" sizeWithCells="1">
                  <from>
                    <xdr:col>13</xdr:col>
                    <xdr:colOff>142875</xdr:colOff>
                    <xdr:row>18</xdr:row>
                    <xdr:rowOff>9525</xdr:rowOff>
                  </from>
                  <to>
                    <xdr:col>14</xdr:col>
                    <xdr:colOff>1247775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macro98">
                <anchor moveWithCells="1" sizeWithCells="1">
                  <from>
                    <xdr:col>15</xdr:col>
                    <xdr:colOff>190500</xdr:colOff>
                    <xdr:row>18</xdr:row>
                    <xdr:rowOff>9525</xdr:rowOff>
                  </from>
                  <to>
                    <xdr:col>17</xdr:col>
                    <xdr:colOff>9525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B1:N26"/>
  <sheetViews>
    <sheetView showGridLines="0" showRowColHeaders="0" zoomScale="85" zoomScaleNormal="85" workbookViewId="0"/>
  </sheetViews>
  <sheetFormatPr defaultRowHeight="15" x14ac:dyDescent="0.25"/>
  <sheetData>
    <row r="1" spans="2:14" ht="15" customHeight="1" x14ac:dyDescent="0.25"/>
    <row r="2" spans="2:14" ht="15.75" customHeight="1" thickBot="1" x14ac:dyDescent="0.3"/>
    <row r="3" spans="2:14" ht="15" customHeight="1" x14ac:dyDescent="0.25">
      <c r="B3" s="505" t="s">
        <v>238</v>
      </c>
      <c r="C3" s="506"/>
      <c r="D3" s="506"/>
      <c r="E3" s="506"/>
      <c r="F3" s="506"/>
      <c r="G3" s="506"/>
      <c r="H3" s="506"/>
      <c r="I3" s="506"/>
      <c r="J3" s="506"/>
      <c r="K3" s="506"/>
      <c r="L3" s="506"/>
      <c r="M3" s="506"/>
      <c r="N3" s="507"/>
    </row>
    <row r="4" spans="2:14" ht="15.75" customHeight="1" thickBot="1" x14ac:dyDescent="0.3">
      <c r="B4" s="508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10"/>
    </row>
    <row r="6" spans="2:14" ht="15.75" thickBot="1" x14ac:dyDescent="0.3"/>
    <row r="7" spans="2:14" x14ac:dyDescent="0.25">
      <c r="B7" s="20"/>
      <c r="C7" s="230"/>
      <c r="D7" s="230"/>
      <c r="E7" s="230"/>
      <c r="F7" s="230"/>
      <c r="G7" s="231"/>
      <c r="I7" s="20"/>
      <c r="J7" s="230"/>
      <c r="K7" s="230"/>
      <c r="L7" s="230"/>
      <c r="M7" s="230"/>
      <c r="N7" s="231"/>
    </row>
    <row r="8" spans="2:14" x14ac:dyDescent="0.25">
      <c r="B8" s="41"/>
      <c r="C8" s="34"/>
      <c r="D8" s="34"/>
      <c r="E8" s="34"/>
      <c r="F8" s="34"/>
      <c r="G8" s="42"/>
      <c r="I8" s="41"/>
      <c r="J8" s="34"/>
      <c r="K8" s="34"/>
      <c r="L8" s="34"/>
      <c r="M8" s="34"/>
      <c r="N8" s="42"/>
    </row>
    <row r="9" spans="2:14" x14ac:dyDescent="0.25">
      <c r="B9" s="41"/>
      <c r="C9" s="34"/>
      <c r="D9" s="34"/>
      <c r="E9" s="34"/>
      <c r="F9" s="34"/>
      <c r="G9" s="42"/>
      <c r="I9" s="41"/>
      <c r="J9" s="34"/>
      <c r="K9" s="34"/>
      <c r="L9" s="34"/>
      <c r="M9" s="34"/>
      <c r="N9" s="42"/>
    </row>
    <row r="10" spans="2:14" x14ac:dyDescent="0.25">
      <c r="B10" s="41"/>
      <c r="C10" s="34"/>
      <c r="D10" s="34"/>
      <c r="E10" s="34"/>
      <c r="F10" s="34"/>
      <c r="G10" s="42"/>
      <c r="I10" s="41"/>
      <c r="J10" s="34"/>
      <c r="K10" s="34"/>
      <c r="L10" s="34"/>
      <c r="M10" s="34"/>
      <c r="N10" s="42"/>
    </row>
    <row r="11" spans="2:14" ht="15" customHeight="1" x14ac:dyDescent="0.35">
      <c r="B11" s="41"/>
      <c r="C11" s="34"/>
      <c r="D11" s="208"/>
      <c r="E11" s="208"/>
      <c r="F11" s="208"/>
      <c r="G11" s="209"/>
      <c r="H11" s="207"/>
      <c r="I11" s="210"/>
      <c r="J11" s="208"/>
      <c r="K11" s="208"/>
      <c r="L11" s="34"/>
      <c r="M11" s="34"/>
      <c r="N11" s="42"/>
    </row>
    <row r="12" spans="2:14" ht="15" customHeight="1" x14ac:dyDescent="0.35">
      <c r="B12" s="41"/>
      <c r="C12" s="34"/>
      <c r="D12" s="208"/>
      <c r="E12" s="208"/>
      <c r="F12" s="208"/>
      <c r="G12" s="209"/>
      <c r="H12" s="207"/>
      <c r="I12" s="210"/>
      <c r="J12" s="208"/>
      <c r="K12" s="208"/>
      <c r="L12" s="34"/>
      <c r="M12" s="34"/>
      <c r="N12" s="42"/>
    </row>
    <row r="13" spans="2:14" ht="15" customHeight="1" x14ac:dyDescent="0.35">
      <c r="B13" s="41"/>
      <c r="C13" s="34"/>
      <c r="D13" s="208"/>
      <c r="E13" s="208"/>
      <c r="F13" s="208"/>
      <c r="G13" s="209"/>
      <c r="H13" s="207"/>
      <c r="I13" s="210"/>
      <c r="J13" s="208"/>
      <c r="K13" s="208"/>
      <c r="L13" s="34"/>
      <c r="M13" s="34"/>
      <c r="N13" s="42"/>
    </row>
    <row r="14" spans="2:14" ht="15" customHeight="1" x14ac:dyDescent="0.35">
      <c r="B14" s="41"/>
      <c r="C14" s="34"/>
      <c r="D14" s="208"/>
      <c r="E14" s="208"/>
      <c r="F14" s="208"/>
      <c r="G14" s="209"/>
      <c r="H14" s="207"/>
      <c r="I14" s="210"/>
      <c r="J14" s="208"/>
      <c r="K14" s="208"/>
      <c r="L14" s="34"/>
      <c r="M14" s="34"/>
      <c r="N14" s="42"/>
    </row>
    <row r="15" spans="2:14" x14ac:dyDescent="0.25">
      <c r="B15" s="41"/>
      <c r="C15" s="34"/>
      <c r="D15" s="34"/>
      <c r="E15" s="34"/>
      <c r="F15" s="34"/>
      <c r="G15" s="42"/>
      <c r="I15" s="41"/>
      <c r="J15" s="34"/>
      <c r="K15" s="34"/>
      <c r="L15" s="34"/>
      <c r="M15" s="34"/>
      <c r="N15" s="42"/>
    </row>
    <row r="16" spans="2:14" x14ac:dyDescent="0.25">
      <c r="B16" s="41"/>
      <c r="C16" s="34"/>
      <c r="D16" s="34"/>
      <c r="E16" s="34"/>
      <c r="F16" s="34"/>
      <c r="G16" s="42"/>
      <c r="I16" s="41"/>
      <c r="J16" s="34"/>
      <c r="K16" s="34"/>
      <c r="L16" s="34"/>
      <c r="M16" s="34"/>
      <c r="N16" s="42"/>
    </row>
    <row r="17" spans="2:14" x14ac:dyDescent="0.25">
      <c r="B17" s="41"/>
      <c r="C17" s="34"/>
      <c r="D17" s="34"/>
      <c r="E17" s="34"/>
      <c r="F17" s="34"/>
      <c r="G17" s="42"/>
      <c r="I17" s="41"/>
      <c r="J17" s="34"/>
      <c r="K17" s="34"/>
      <c r="L17" s="34"/>
      <c r="M17" s="34"/>
      <c r="N17" s="42"/>
    </row>
    <row r="18" spans="2:14" x14ac:dyDescent="0.25">
      <c r="B18" s="41"/>
      <c r="C18" s="34"/>
      <c r="D18" s="34"/>
      <c r="E18" s="34"/>
      <c r="F18" s="34"/>
      <c r="G18" s="42"/>
      <c r="I18" s="41"/>
      <c r="J18" s="34"/>
      <c r="K18" s="34"/>
      <c r="L18" s="34"/>
      <c r="M18" s="34"/>
      <c r="N18" s="42"/>
    </row>
    <row r="19" spans="2:14" x14ac:dyDescent="0.25">
      <c r="B19" s="41"/>
      <c r="C19" s="34"/>
      <c r="D19" s="34"/>
      <c r="E19" s="34"/>
      <c r="F19" s="34"/>
      <c r="G19" s="42"/>
      <c r="I19" s="41"/>
      <c r="J19" s="34"/>
      <c r="K19" s="34"/>
      <c r="L19" s="34"/>
      <c r="M19" s="34"/>
      <c r="N19" s="42"/>
    </row>
    <row r="20" spans="2:14" x14ac:dyDescent="0.25">
      <c r="B20" s="41"/>
      <c r="C20" s="34"/>
      <c r="D20" s="34"/>
      <c r="E20" s="34"/>
      <c r="F20" s="34"/>
      <c r="G20" s="42"/>
      <c r="I20" s="41"/>
      <c r="J20" s="34"/>
      <c r="K20" s="34"/>
      <c r="L20" s="34"/>
      <c r="M20" s="34"/>
      <c r="N20" s="42"/>
    </row>
    <row r="21" spans="2:14" x14ac:dyDescent="0.25">
      <c r="B21" s="41"/>
      <c r="C21" s="34"/>
      <c r="D21" s="34"/>
      <c r="E21" s="34"/>
      <c r="F21" s="34"/>
      <c r="G21" s="42"/>
      <c r="I21" s="41"/>
      <c r="J21" s="34"/>
      <c r="K21" s="34"/>
      <c r="L21" s="34"/>
      <c r="M21" s="34"/>
      <c r="N21" s="42"/>
    </row>
    <row r="22" spans="2:14" x14ac:dyDescent="0.25">
      <c r="B22" s="41"/>
      <c r="C22" s="34"/>
      <c r="D22" s="34"/>
      <c r="E22" s="34"/>
      <c r="F22" s="34"/>
      <c r="G22" s="42"/>
      <c r="I22" s="41"/>
      <c r="J22" s="34"/>
      <c r="K22" s="34"/>
      <c r="L22" s="34"/>
      <c r="M22" s="34"/>
      <c r="N22" s="42"/>
    </row>
    <row r="23" spans="2:14" x14ac:dyDescent="0.25">
      <c r="B23" s="41"/>
      <c r="C23" s="34"/>
      <c r="D23" s="34"/>
      <c r="E23" s="34"/>
      <c r="F23" s="34"/>
      <c r="G23" s="42"/>
      <c r="I23" s="41"/>
      <c r="J23" s="34"/>
      <c r="K23" s="34"/>
      <c r="L23" s="34"/>
      <c r="M23" s="34"/>
      <c r="N23" s="42"/>
    </row>
    <row r="24" spans="2:14" ht="15.75" thickBot="1" x14ac:dyDescent="0.3">
      <c r="B24" s="232"/>
      <c r="C24" s="233"/>
      <c r="D24" s="233"/>
      <c r="E24" s="233"/>
      <c r="F24" s="233"/>
      <c r="G24" s="234"/>
      <c r="I24" s="232"/>
      <c r="J24" s="233"/>
      <c r="K24" s="233"/>
      <c r="L24" s="233"/>
      <c r="M24" s="233"/>
      <c r="N24" s="234"/>
    </row>
    <row r="25" spans="2:14" x14ac:dyDescent="0.25">
      <c r="B25" s="217"/>
      <c r="C25" s="218"/>
      <c r="D25" s="218"/>
      <c r="E25" s="218"/>
      <c r="F25" s="218"/>
      <c r="G25" s="219"/>
      <c r="I25" s="211"/>
      <c r="J25" s="212"/>
      <c r="K25" s="212"/>
      <c r="L25" s="212"/>
      <c r="M25" s="212"/>
      <c r="N25" s="213"/>
    </row>
    <row r="26" spans="2:14" ht="15.75" thickBot="1" x14ac:dyDescent="0.3">
      <c r="B26" s="220"/>
      <c r="C26" s="221"/>
      <c r="D26" s="221"/>
      <c r="E26" s="221"/>
      <c r="F26" s="221"/>
      <c r="G26" s="222"/>
      <c r="I26" s="214"/>
      <c r="J26" s="215"/>
      <c r="K26" s="215"/>
      <c r="L26" s="215"/>
      <c r="M26" s="215"/>
      <c r="N26" s="216"/>
    </row>
  </sheetData>
  <mergeCells count="1">
    <mergeCell ref="B3:N4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23555" r:id="rId3">
          <objectPr defaultSize="0" autoPict="0" r:id="rId4">
            <anchor moveWithCells="1">
              <from>
                <xdr:col>1</xdr:col>
                <xdr:colOff>66675</xdr:colOff>
                <xdr:row>6</xdr:row>
                <xdr:rowOff>57150</xdr:rowOff>
              </from>
              <to>
                <xdr:col>6</xdr:col>
                <xdr:colOff>533400</xdr:colOff>
                <xdr:row>23</xdr:row>
                <xdr:rowOff>152400</xdr:rowOff>
              </to>
            </anchor>
          </objectPr>
        </oleObject>
      </mc:Choice>
      <mc:Fallback>
        <oleObject progId="AutoCAD.Drawing.18" shapeId="23555" r:id="rId3"/>
      </mc:Fallback>
    </mc:AlternateContent>
    <mc:AlternateContent xmlns:mc="http://schemas.openxmlformats.org/markup-compatibility/2006">
      <mc:Choice Requires="x14">
        <oleObject progId="AutoCAD.Drawing.18" shapeId="23556" r:id="rId5">
          <objectPr defaultSize="0" autoPict="0" r:id="rId6">
            <anchor moveWithCells="1">
              <from>
                <xdr:col>8</xdr:col>
                <xdr:colOff>57150</xdr:colOff>
                <xdr:row>6</xdr:row>
                <xdr:rowOff>66675</xdr:rowOff>
              </from>
              <to>
                <xdr:col>13</xdr:col>
                <xdr:colOff>542925</xdr:colOff>
                <xdr:row>23</xdr:row>
                <xdr:rowOff>171450</xdr:rowOff>
              </to>
            </anchor>
          </objectPr>
        </oleObject>
      </mc:Choice>
      <mc:Fallback>
        <oleObject progId="AutoCAD.Drawing.18" shapeId="23556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7" name="Option Button 7">
              <controlPr defaultSize="0" autoFill="0" autoLine="0" autoPict="0" macro="[0]!quatroestescolha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6</xdr:col>
                    <xdr:colOff>571500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8" name="Option Button 8">
              <controlPr defaultSize="0" autoFill="0" autoLine="0" autoPict="0" macro="[0]!quatroestescolhadiag">
                <anchor moveWithCells="1">
                  <from>
                    <xdr:col>8</xdr:col>
                    <xdr:colOff>28575</xdr:colOff>
                    <xdr:row>24</xdr:row>
                    <xdr:rowOff>28575</xdr:rowOff>
                  </from>
                  <to>
                    <xdr:col>13</xdr:col>
                    <xdr:colOff>542925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9" name="Button 9">
              <controlPr defaultSize="0" print="0" autoFill="0" autoPict="0" macro="[0]!macro101">
                <anchor moveWithCells="1" sizeWithCells="1">
                  <from>
                    <xdr:col>6</xdr:col>
                    <xdr:colOff>95250</xdr:colOff>
                    <xdr:row>27</xdr:row>
                    <xdr:rowOff>28575</xdr:rowOff>
                  </from>
                  <to>
                    <xdr:col>8</xdr:col>
                    <xdr:colOff>285750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A1:V61"/>
  <sheetViews>
    <sheetView showGridLines="0" showRowColHeaders="0" zoomScale="85" zoomScaleNormal="85" workbookViewId="0">
      <selection activeCell="G4" sqref="G4"/>
    </sheetView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0.8554687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2" width="9.140625" style="190"/>
  </cols>
  <sheetData>
    <row r="1" spans="2:20" x14ac:dyDescent="0.25">
      <c r="B1" s="505" t="s">
        <v>233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12.116981802412683</v>
      </c>
      <c r="Q4" s="190" t="s">
        <v>130</v>
      </c>
      <c r="R4" s="190">
        <f>(PI()*(E54/10)^2)/4</f>
        <v>1.227184630308513</v>
      </c>
    </row>
    <row r="5" spans="2:20" ht="18.75" thickBot="1" x14ac:dyDescent="0.3">
      <c r="B5" s="120" t="s">
        <v>167</v>
      </c>
      <c r="C5" s="197">
        <f>'4 Estacas2'!P13*COS(RADIANS(45))</f>
        <v>526.82529575707315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9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Q7" s="190" t="s">
        <v>133</v>
      </c>
      <c r="R7" s="190">
        <f>G4/R4</f>
        <v>9.8738050519476328</v>
      </c>
    </row>
    <row r="8" spans="2:20" ht="15.75" thickBot="1" x14ac:dyDescent="0.3">
      <c r="B8" s="122" t="s">
        <v>136</v>
      </c>
      <c r="C8" s="8">
        <f>Entradas2!C22</f>
        <v>23</v>
      </c>
      <c r="E8" s="194"/>
      <c r="F8" s="195"/>
      <c r="G8" s="196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10</v>
      </c>
      <c r="R10" s="190">
        <f>E54</f>
        <v>12.5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((C8)-G10*(E54/10))/T6</f>
        <v>1.1666666666666667</v>
      </c>
    </row>
    <row r="13" spans="2:20" ht="15.75" thickBot="1" x14ac:dyDescent="0.3">
      <c r="B13" s="521" t="s">
        <v>215</v>
      </c>
      <c r="C13" s="465"/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12.27184630308513</v>
      </c>
    </row>
    <row r="15" spans="2:20" ht="15.75" thickBot="1" x14ac:dyDescent="0.3">
      <c r="E15" s="492" t="s">
        <v>143</v>
      </c>
      <c r="F15" s="493"/>
      <c r="G15" s="141">
        <f>'4 Estacas2'!J6-C6+C8/2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32.544004478076474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IF(E54=20,8*E54,5*E54)</f>
        <v>62.5</v>
      </c>
      <c r="Q21" s="190" t="s">
        <v>148</v>
      </c>
      <c r="R21" s="190">
        <f>(E54/10)*(C7/U19)/4</f>
        <v>47.085631855279672</v>
      </c>
    </row>
    <row r="22" spans="2:21" ht="15" customHeight="1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IF(E54=20,CEILING(R24,1),CEILING(R23,1))</f>
        <v>132</v>
      </c>
      <c r="Q23" s="190" t="s">
        <v>152</v>
      </c>
      <c r="R23" s="190">
        <f>'4 Estacas2'!J7+2*('4 Estacas2'!J6-C6-(G21/10)/2+(PI())*(G21/10)/4+10*(E54/10))</f>
        <v>131.06747704246811</v>
      </c>
    </row>
    <row r="24" spans="2:21" ht="15.75" thickBot="1" x14ac:dyDescent="0.3">
      <c r="E24" s="531"/>
      <c r="F24" s="532"/>
      <c r="G24" s="547"/>
      <c r="H24" s="190">
        <f>ROUNDUP(G23,0)</f>
        <v>132</v>
      </c>
      <c r="Q24" s="190" t="s">
        <v>153</v>
      </c>
      <c r="R24" s="190">
        <f>'4 Estacas2'!J7+2*('4 Estacas2'!J6-C6-(G21/10)/2+PI()*(G21/10)/2+2*(E54/10))</f>
        <v>120.88495408493621</v>
      </c>
    </row>
    <row r="27" spans="2:21" x14ac:dyDescent="0.25">
      <c r="Q27" s="190" t="s">
        <v>168</v>
      </c>
      <c r="R27" s="190">
        <f>2*E54/10</f>
        <v>2.5</v>
      </c>
    </row>
    <row r="28" spans="2:21" x14ac:dyDescent="0.25">
      <c r="Q28" s="354" t="s">
        <v>169</v>
      </c>
      <c r="R28" s="190">
        <f>E54</f>
        <v>12.5</v>
      </c>
    </row>
    <row r="49" spans="1:9" x14ac:dyDescent="0.25">
      <c r="A49" s="363"/>
      <c r="B49" s="363"/>
      <c r="C49" s="363"/>
    </row>
    <row r="50" spans="1:9" x14ac:dyDescent="0.25">
      <c r="A50" s="363"/>
      <c r="B50" s="363"/>
      <c r="C50" s="363"/>
    </row>
    <row r="51" spans="1:9" x14ac:dyDescent="0.25">
      <c r="A51" s="382"/>
      <c r="B51" s="382"/>
      <c r="C51" s="382"/>
    </row>
    <row r="52" spans="1:9" x14ac:dyDescent="0.25">
      <c r="A52" s="382"/>
      <c r="B52" s="382"/>
      <c r="C52" s="382"/>
    </row>
    <row r="53" spans="1:9" x14ac:dyDescent="0.25">
      <c r="A53" s="382"/>
      <c r="B53" s="384">
        <v>4</v>
      </c>
      <c r="C53" s="384"/>
      <c r="D53" s="356"/>
      <c r="E53" s="356"/>
      <c r="F53" s="190"/>
      <c r="G53" s="190"/>
      <c r="H53" s="190"/>
      <c r="I53" s="190"/>
    </row>
    <row r="54" spans="1:9" x14ac:dyDescent="0.25">
      <c r="A54" s="382"/>
      <c r="B54" s="386">
        <v>6.3</v>
      </c>
      <c r="C54" s="384"/>
      <c r="D54" s="356" t="s">
        <v>132</v>
      </c>
      <c r="E54" s="356">
        <f>IF(B53=1,B54,IF(B53=2,B55,IF(B53=3,B56,IF(B53=4,B57,IF(B53=5,B58,IF(B53=6,B59))))))</f>
        <v>12.5</v>
      </c>
      <c r="F54" s="190"/>
      <c r="G54" s="190"/>
      <c r="H54" s="190"/>
      <c r="I54" s="190"/>
    </row>
    <row r="55" spans="1:9" x14ac:dyDescent="0.25">
      <c r="A55" s="382"/>
      <c r="B55" s="386">
        <v>8</v>
      </c>
      <c r="C55" s="384"/>
      <c r="D55" s="356"/>
      <c r="E55" s="356"/>
      <c r="F55" s="190"/>
      <c r="G55" s="190"/>
      <c r="H55" s="190"/>
      <c r="I55" s="190"/>
    </row>
    <row r="56" spans="1:9" x14ac:dyDescent="0.25">
      <c r="A56" s="382"/>
      <c r="B56" s="386">
        <v>10</v>
      </c>
      <c r="C56" s="384"/>
      <c r="D56" s="356"/>
      <c r="E56" s="356"/>
      <c r="F56" s="190"/>
      <c r="G56" s="190"/>
      <c r="H56" s="190"/>
      <c r="I56" s="190"/>
    </row>
    <row r="57" spans="1:9" x14ac:dyDescent="0.25">
      <c r="A57" s="382"/>
      <c r="B57" s="386">
        <v>12.5</v>
      </c>
      <c r="C57" s="384"/>
      <c r="D57" s="356"/>
      <c r="E57" s="356"/>
      <c r="F57" s="190"/>
      <c r="G57" s="190"/>
      <c r="H57" s="190"/>
      <c r="I57" s="190"/>
    </row>
    <row r="58" spans="1:9" ht="18" x14ac:dyDescent="0.35">
      <c r="A58" s="382"/>
      <c r="B58" s="386">
        <v>16</v>
      </c>
      <c r="C58" s="384"/>
      <c r="D58" s="356"/>
      <c r="E58" s="356"/>
      <c r="F58" s="190"/>
      <c r="G58" s="190"/>
      <c r="H58" s="190"/>
      <c r="I58" s="190" t="s">
        <v>213</v>
      </c>
    </row>
    <row r="59" spans="1:9" x14ac:dyDescent="0.25">
      <c r="A59" s="382"/>
      <c r="B59" s="386">
        <v>20</v>
      </c>
      <c r="C59" s="384"/>
      <c r="D59" s="356"/>
      <c r="E59" s="356"/>
      <c r="F59" s="190"/>
      <c r="G59" s="190"/>
      <c r="H59" s="190"/>
      <c r="I59" s="190"/>
    </row>
    <row r="60" spans="1:9" x14ac:dyDescent="0.25">
      <c r="A60" s="382"/>
      <c r="B60" s="382"/>
      <c r="C60" s="382"/>
      <c r="D60" s="190"/>
      <c r="E60" s="190"/>
      <c r="F60" s="190"/>
      <c r="G60" s="190"/>
      <c r="H60" s="190"/>
      <c r="I60" s="190"/>
    </row>
    <row r="61" spans="1:9" x14ac:dyDescent="0.25">
      <c r="A61" s="381"/>
      <c r="B61" s="383"/>
      <c r="C61" s="383"/>
      <c r="D61" s="190"/>
      <c r="E61" s="190"/>
      <c r="F61" s="190"/>
      <c r="G61" s="190"/>
      <c r="H61" s="190"/>
      <c r="I61" s="190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57" priority="1">
      <formula>$G$16&gt;$G$15</formula>
    </cfRule>
    <cfRule type="expression" dxfId="56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2" r:id="rId3" name="Drop Down 4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4" name="Button 5">
              <controlPr defaultSize="0" print="0" autoFill="0" autoPict="0" macro="[0]!macro100">
                <anchor moveWithCells="1" sizeWithCells="1">
                  <from>
                    <xdr:col>7</xdr:col>
                    <xdr:colOff>361950</xdr:colOff>
                    <xdr:row>21</xdr:row>
                    <xdr:rowOff>123825</xdr:rowOff>
                  </from>
                  <to>
                    <xdr:col>9</xdr:col>
                    <xdr:colOff>571500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5" name="Button 6">
              <controlPr defaultSize="0" print="0" autoFill="0" autoPict="0" macro="[0]!antes4estacasarm">
                <anchor moveWithCells="1" sizeWithCells="1">
                  <from>
                    <xdr:col>7</xdr:col>
                    <xdr:colOff>352425</xdr:colOff>
                    <xdr:row>18</xdr:row>
                    <xdr:rowOff>133350</xdr:rowOff>
                  </from>
                  <to>
                    <xdr:col>9</xdr:col>
                    <xdr:colOff>561975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A1:W56"/>
  <sheetViews>
    <sheetView showGridLines="0" showRowColHeaders="0" zoomScale="85" zoomScaleNormal="85" workbookViewId="0">
      <selection activeCell="G4" sqref="G4"/>
    </sheetView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3" width="9.140625" style="190"/>
  </cols>
  <sheetData>
    <row r="1" spans="2:20" x14ac:dyDescent="0.25">
      <c r="B1" s="505" t="s">
        <v>231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2*(C5)/(C7)</f>
        <v>6.0584909012063406</v>
      </c>
      <c r="Q4" s="190" t="s">
        <v>130</v>
      </c>
      <c r="R4" s="190">
        <f>(PI()*(E51/10)^2)/4</f>
        <v>0.31172453105244724</v>
      </c>
    </row>
    <row r="5" spans="2:20" ht="18.75" thickBot="1" x14ac:dyDescent="0.3">
      <c r="B5" s="120" t="s">
        <v>167</v>
      </c>
      <c r="C5" s="197">
        <f>'4 Est 2 Armadlados'!C5*0.2</f>
        <v>105.36505915141464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19</v>
      </c>
    </row>
    <row r="7" spans="2:20" ht="18" x14ac:dyDescent="0.25">
      <c r="B7" s="121" t="s">
        <v>200</v>
      </c>
      <c r="C7" s="123">
        <f>(50/Entradas2!C18)*0.8</f>
        <v>34.782608695652179</v>
      </c>
      <c r="E7" s="518"/>
      <c r="F7" s="519"/>
      <c r="G7" s="520"/>
      <c r="H7" s="34"/>
      <c r="Q7" s="190" t="s">
        <v>133</v>
      </c>
      <c r="R7" s="190">
        <f>G4/R4</f>
        <v>19.435399840851819</v>
      </c>
    </row>
    <row r="8" spans="2:20" ht="15.75" thickBot="1" x14ac:dyDescent="0.3">
      <c r="B8" s="122" t="s">
        <v>136</v>
      </c>
      <c r="C8" s="8">
        <f>Entradas2!C22</f>
        <v>23</v>
      </c>
      <c r="E8" s="194"/>
      <c r="F8" s="195"/>
      <c r="G8" s="196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20</v>
      </c>
      <c r="R10" s="190">
        <f>E51</f>
        <v>6.3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R13</f>
        <v>1.1526315789473685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((C8)-G10*(E51/10))/T6</f>
        <v>0.54736842105263162</v>
      </c>
    </row>
    <row r="13" spans="2:20" ht="15.75" thickBot="1" x14ac:dyDescent="0.3">
      <c r="B13" s="521" t="s">
        <v>215</v>
      </c>
      <c r="C13" s="465"/>
      <c r="Q13" s="190" t="s">
        <v>230</v>
      </c>
      <c r="R13" s="190">
        <f>(('4 Estacas2'!J7-'4 Est 2 Armlados dist'!C8)-('4 Est 2 Armlados dist'!G10*'4 Est 2 Armlados dist'!E51/10))/'4 Est 2 Armlados dist'!T6</f>
        <v>1.1526315789473685</v>
      </c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6.2344906210489448</v>
      </c>
    </row>
    <row r="15" spans="2:20" ht="15.75" thickBot="1" x14ac:dyDescent="0.3">
      <c r="E15" s="492" t="s">
        <v>143</v>
      </c>
      <c r="F15" s="493"/>
      <c r="G15" s="141">
        <f>'4 Estacas2'!J6-C6+C8/2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12.914287491300188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IF(E51=20,8*E51,5*E51)</f>
        <v>31.5</v>
      </c>
      <c r="Q21" s="190" t="s">
        <v>148</v>
      </c>
      <c r="R21" s="190">
        <f>(E51/10)*(C7/U19)/4</f>
        <v>18.984926764048765</v>
      </c>
    </row>
    <row r="22" spans="2:21" ht="15.75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IF(E51=20,CEILING(R24,1),CEILING(R23,1))</f>
        <v>117</v>
      </c>
      <c r="Q23" s="190" t="s">
        <v>152</v>
      </c>
      <c r="R23" s="190">
        <f>'4 Estacas2'!J7+2*('4 Estacas2'!J6-C6-(G21/10)/2+(PI())*(G21/10)/4+10*(E51/10))</f>
        <v>116.89800842940392</v>
      </c>
    </row>
    <row r="24" spans="2:21" ht="15.75" thickBot="1" x14ac:dyDescent="0.3">
      <c r="E24" s="531"/>
      <c r="F24" s="532"/>
      <c r="G24" s="547"/>
      <c r="H24" s="190">
        <f>ROUNDUP(G23,0)</f>
        <v>117</v>
      </c>
      <c r="Q24" s="190" t="s">
        <v>153</v>
      </c>
      <c r="R24" s="190">
        <f>'4 Estacas2'!J7+2*('4 Estacas2'!J6-C6-(G21/10)/2+PI()*(G21/10)/2+2*(E51/10))</f>
        <v>111.76601685880786</v>
      </c>
    </row>
    <row r="27" spans="2:21" x14ac:dyDescent="0.25">
      <c r="Q27" s="190" t="s">
        <v>168</v>
      </c>
      <c r="R27" s="190">
        <f>2*E51/10</f>
        <v>1.26</v>
      </c>
    </row>
    <row r="28" spans="2:21" x14ac:dyDescent="0.25">
      <c r="Q28" s="354" t="s">
        <v>169</v>
      </c>
      <c r="R28" s="190">
        <f>E51</f>
        <v>6.3</v>
      </c>
    </row>
    <row r="36" spans="1:3" x14ac:dyDescent="0.25">
      <c r="B36" s="126"/>
    </row>
    <row r="47" spans="1:3" x14ac:dyDescent="0.25">
      <c r="A47" s="381"/>
      <c r="B47" s="381"/>
      <c r="C47" s="381"/>
    </row>
    <row r="48" spans="1:3" x14ac:dyDescent="0.25">
      <c r="A48" s="382"/>
      <c r="B48" s="382"/>
      <c r="C48" s="382"/>
    </row>
    <row r="49" spans="1:9" x14ac:dyDescent="0.25">
      <c r="A49" s="382"/>
      <c r="B49" s="382"/>
      <c r="C49" s="382"/>
    </row>
    <row r="50" spans="1:9" x14ac:dyDescent="0.25">
      <c r="A50" s="382"/>
      <c r="B50" s="384">
        <v>2</v>
      </c>
      <c r="C50" s="384"/>
      <c r="D50" s="356"/>
      <c r="E50" s="356"/>
      <c r="F50" s="190"/>
      <c r="G50" s="190"/>
      <c r="H50" s="190"/>
      <c r="I50" s="190"/>
    </row>
    <row r="51" spans="1:9" x14ac:dyDescent="0.25">
      <c r="A51" s="382"/>
      <c r="B51" s="386">
        <v>5</v>
      </c>
      <c r="C51" s="384"/>
      <c r="D51" s="356" t="s">
        <v>132</v>
      </c>
      <c r="E51" s="356">
        <f>IF(B50=1,B51,IF(B50=2,B52,IF(B50=3,B53,IF(B50=4,B54,IF(B50=5,B55,IF(B50=6,B36))))))</f>
        <v>6.3</v>
      </c>
      <c r="F51" s="190"/>
      <c r="G51" s="190"/>
      <c r="H51" s="190"/>
      <c r="I51" s="190"/>
    </row>
    <row r="52" spans="1:9" x14ac:dyDescent="0.25">
      <c r="A52" s="382"/>
      <c r="B52" s="386">
        <v>6.3</v>
      </c>
      <c r="C52" s="384"/>
      <c r="D52" s="356"/>
      <c r="E52" s="356"/>
      <c r="F52" s="190"/>
      <c r="G52" s="190"/>
      <c r="H52" s="190"/>
      <c r="I52" s="190"/>
    </row>
    <row r="53" spans="1:9" x14ac:dyDescent="0.25">
      <c r="A53" s="382"/>
      <c r="B53" s="387"/>
      <c r="C53" s="382"/>
      <c r="D53" s="190"/>
      <c r="E53" s="190"/>
      <c r="F53" s="190"/>
      <c r="G53" s="190"/>
      <c r="H53" s="190"/>
      <c r="I53" s="190"/>
    </row>
    <row r="54" spans="1:9" x14ac:dyDescent="0.25">
      <c r="A54" s="382"/>
      <c r="B54" s="387"/>
      <c r="C54" s="382"/>
      <c r="D54" s="190"/>
      <c r="E54" s="190"/>
      <c r="F54" s="190"/>
      <c r="G54" s="190"/>
      <c r="H54" s="190"/>
      <c r="I54" s="190"/>
    </row>
    <row r="55" spans="1:9" ht="18" x14ac:dyDescent="0.35">
      <c r="A55" s="382"/>
      <c r="B55" s="387"/>
      <c r="C55" s="382"/>
      <c r="D55" s="190"/>
      <c r="E55" s="190"/>
      <c r="F55" s="190"/>
      <c r="G55" s="190"/>
      <c r="H55" s="190"/>
      <c r="I55" s="190" t="s">
        <v>213</v>
      </c>
    </row>
    <row r="56" spans="1:9" x14ac:dyDescent="0.25">
      <c r="A56" s="381"/>
      <c r="B56" s="381"/>
      <c r="C56" s="381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55" priority="1">
      <formula>$G$16&gt;$G$15</formula>
    </cfRule>
    <cfRule type="expression" dxfId="54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8" r:id="rId3" name="Drop Down 6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4" name="Button 7">
              <controlPr defaultSize="0" print="0" autoFill="0" autoPict="0" macro="[0]!macro103">
                <anchor moveWithCells="1" sizeWithCells="1">
                  <from>
                    <xdr:col>7</xdr:col>
                    <xdr:colOff>371475</xdr:colOff>
                    <xdr:row>21</xdr:row>
                    <xdr:rowOff>152400</xdr:rowOff>
                  </from>
                  <to>
                    <xdr:col>9</xdr:col>
                    <xdr:colOff>581025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5" name="Button 8">
              <controlPr defaultSize="0" print="0" autoFill="0" autoPict="0" macro="[0]!macro102">
                <anchor moveWithCells="1" sizeWithCells="1">
                  <from>
                    <xdr:col>7</xdr:col>
                    <xdr:colOff>371475</xdr:colOff>
                    <xdr:row>18</xdr:row>
                    <xdr:rowOff>133350</xdr:rowOff>
                  </from>
                  <to>
                    <xdr:col>9</xdr:col>
                    <xdr:colOff>581025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3"/>
  <dimension ref="A1:U71"/>
  <sheetViews>
    <sheetView showGridLines="0" showRowColHeaders="0" zoomScale="85" zoomScaleNormal="85" workbookViewId="0">
      <selection activeCell="K30" sqref="K30:L30"/>
    </sheetView>
  </sheetViews>
  <sheetFormatPr defaultRowHeight="15" x14ac:dyDescent="0.25"/>
  <cols>
    <col min="1" max="1" width="3" customWidth="1"/>
    <col min="2" max="2" width="9.140625" customWidth="1"/>
    <col min="3" max="3" width="8.42578125" customWidth="1"/>
    <col min="4" max="4" width="9.7109375" customWidth="1"/>
    <col min="5" max="5" width="14.7109375" customWidth="1"/>
    <col min="6" max="6" width="7.85546875" customWidth="1"/>
    <col min="7" max="7" width="7.5703125" customWidth="1"/>
    <col min="8" max="8" width="2.140625" customWidth="1"/>
    <col min="9" max="9" width="2.85546875" customWidth="1"/>
    <col min="10" max="10" width="10.140625" customWidth="1"/>
    <col min="11" max="11" width="7.5703125" customWidth="1"/>
    <col min="14" max="14" width="7.5703125" customWidth="1"/>
    <col min="15" max="15" width="7.7109375" customWidth="1"/>
    <col min="16" max="16" width="9.85546875" customWidth="1"/>
    <col min="17" max="17" width="6.7109375" customWidth="1"/>
    <col min="18" max="18" width="5.28515625" customWidth="1"/>
    <col min="19" max="19" width="32.5703125" bestFit="1" customWidth="1"/>
    <col min="20" max="20" width="8.85546875" bestFit="1" customWidth="1"/>
    <col min="24" max="24" width="13.42578125" bestFit="1" customWidth="1"/>
    <col min="25" max="25" width="14.28515625" bestFit="1" customWidth="1"/>
    <col min="26" max="26" width="18.85546875" bestFit="1" customWidth="1"/>
    <col min="27" max="27" width="11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113" t="s">
        <v>184</v>
      </c>
      <c r="T4" s="117" t="str">
        <f>'4 Estacas2'!I15</f>
        <v>Estaca E3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'4 Estacas2'!K15</f>
        <v>517.39130434782612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'4 Estacas2'!P8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'4 Estacas2'!P7</f>
        <v>35864.605635870394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'4 Estacas2'!P9</f>
        <v>11920.695652173916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'4 Estacas2'!P10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'4 Estacas2'!P11</f>
        <v>5368.1492460622258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'4 Estacas2'!P12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'4 Estacas2'!P13</f>
        <v>745.04347826086973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'4 Estacas2'!P5</f>
        <v>0.45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'4 Estacas2'!P6</f>
        <v>0.55000000000000004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'4 Estacas2'!J6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34"/>
      <c r="J16" s="34"/>
      <c r="K16" s="558" t="s">
        <v>245</v>
      </c>
      <c r="L16" s="558"/>
      <c r="M16" s="558"/>
      <c r="N16" s="558"/>
      <c r="O16" s="229"/>
      <c r="P16" s="229"/>
      <c r="Q16" s="229"/>
      <c r="R16" s="34"/>
      <c r="S16" s="114" t="s">
        <v>198</v>
      </c>
      <c r="T16" s="118">
        <f>'4 Estacas2'!J7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114" t="s">
        <v>186</v>
      </c>
      <c r="T17" s="118">
        <f>'4 Estacas2'!J5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L18" s="34"/>
      <c r="M18" s="34"/>
      <c r="N18" s="34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x14ac:dyDescent="0.25">
      <c r="A19" s="42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((2*T15+T16)/100)^2</f>
        <v>1.221025</v>
      </c>
      <c r="U19" s="276"/>
    </row>
    <row r="20" spans="1:21" x14ac:dyDescent="0.25">
      <c r="A20" s="42"/>
      <c r="B20" s="560" t="str">
        <f>CONCATENATE(IF(T22&lt;20,T22, "Dobra de 8Ф")," cm")</f>
        <v>12,5 cm</v>
      </c>
      <c r="C20" s="239" t="str">
        <f>CONCATENATE(IF(T22=20,2*T22/10,0)," cm")</f>
        <v>0 cm</v>
      </c>
      <c r="D20" s="34"/>
      <c r="E20" s="34"/>
      <c r="F20" s="238" t="str">
        <f>CONCATENATE(IF(T22=20,2*T22/10,0)," cm")</f>
        <v>0 cm</v>
      </c>
      <c r="G20" s="563" t="str">
        <f>CONCATENATE(IF(T22&lt;20,T22, "Dobra de 8Ф")," cm")</f>
        <v>12,5 cm</v>
      </c>
      <c r="H20" s="563"/>
      <c r="I20" s="112"/>
      <c r="J20" s="560" t="str">
        <f>CONCATENATE(IF(T26&lt;20,T26, "Dobra de 8Ф")," cm")</f>
        <v>6,3 cm</v>
      </c>
      <c r="K20" s="228" t="str">
        <f>CONCATENATE(IF(T26=20,2*T26/10,0)," cm")</f>
        <v>0 cm</v>
      </c>
      <c r="L20" s="34"/>
      <c r="M20" s="34"/>
      <c r="N20" s="34"/>
      <c r="O20" s="228" t="str">
        <f>CONCATENATE(IF(T26=20,2*T26/10,0)," cm")</f>
        <v>0 cm</v>
      </c>
      <c r="P20" s="560" t="str">
        <f>CONCATENATE(IF(T26&lt;20,T26, "Dobra de 8Ф")," cm")</f>
        <v>6,3 cm</v>
      </c>
      <c r="Q20" s="228"/>
      <c r="R20" s="34"/>
      <c r="S20" s="114" t="s">
        <v>196</v>
      </c>
      <c r="T20" s="119" t="s">
        <v>197</v>
      </c>
      <c r="U20" s="276"/>
    </row>
    <row r="21" spans="1:21" x14ac:dyDescent="0.25">
      <c r="A21" s="42"/>
      <c r="B21" s="560"/>
      <c r="C21" s="34"/>
      <c r="D21" s="34"/>
      <c r="E21" s="34"/>
      <c r="F21" s="34"/>
      <c r="G21" s="563"/>
      <c r="H21" s="563"/>
      <c r="I21" s="112"/>
      <c r="J21" s="560"/>
      <c r="K21" s="228"/>
      <c r="L21" s="34"/>
      <c r="M21" s="34"/>
      <c r="N21" s="34"/>
      <c r="O21" s="228"/>
      <c r="P21" s="560"/>
      <c r="Q21" s="228"/>
      <c r="R21" s="34"/>
      <c r="S21" s="594" t="s">
        <v>239</v>
      </c>
      <c r="T21" s="595"/>
      <c r="U21" s="276"/>
    </row>
    <row r="22" spans="1:21" x14ac:dyDescent="0.25">
      <c r="A22" s="42"/>
      <c r="B22" s="560"/>
      <c r="C22" s="563" t="str">
        <f>CONCATENATE(T16+2*T15-2*'4 Est 2 Armadlados'!C6-T24/10," cm")</f>
        <v>96,25 cm</v>
      </c>
      <c r="D22" s="563"/>
      <c r="E22" s="563"/>
      <c r="F22" s="563"/>
      <c r="G22" s="563"/>
      <c r="H22" s="563"/>
      <c r="I22" s="112"/>
      <c r="J22" s="560"/>
      <c r="K22" s="34"/>
      <c r="L22" s="563" t="str">
        <f>CONCATENATE(T16+2*T15-2*'4 Est 2 Armadlados'!C6-T28/10," cm")</f>
        <v>99,35 cm</v>
      </c>
      <c r="M22" s="563"/>
      <c r="N22" s="563"/>
      <c r="O22" s="34"/>
      <c r="P22" s="560"/>
      <c r="Q22" s="228"/>
      <c r="R22" s="34"/>
      <c r="S22" s="114" t="s">
        <v>190</v>
      </c>
      <c r="T22" s="119">
        <f>'4 Est 2 Armadlados'!E54</f>
        <v>12.5</v>
      </c>
      <c r="U22" s="283"/>
    </row>
    <row r="23" spans="1:21" x14ac:dyDescent="0.25">
      <c r="B23" s="41"/>
      <c r="C23" s="563" t="str">
        <f>CONCATENATE('4 Est 2 Armadlados'!G10," Ф ",T22," mm"," c/ ",'4 Est 2 Armadlados'!G23:G24," cm.")</f>
        <v>10 Ф 12,5 mm c/ 132 cm.</v>
      </c>
      <c r="D23" s="563"/>
      <c r="E23" s="563"/>
      <c r="F23" s="34"/>
      <c r="G23" s="34"/>
      <c r="H23" s="34"/>
      <c r="I23" s="34"/>
      <c r="J23" s="34"/>
      <c r="K23" s="559" t="str">
        <f>CONCATENATE('4 Est 2 Armlados dist'!G10," Ф ",T26," mm"," c/ ",'4 Est 2 Armlados dist'!G23," cm.")</f>
        <v>20 Ф 6,3 mm c/ 117 cm.</v>
      </c>
      <c r="L23" s="559"/>
      <c r="M23" s="559"/>
      <c r="N23" s="559"/>
      <c r="O23" s="559"/>
      <c r="P23" s="34"/>
      <c r="Q23" s="34"/>
      <c r="R23" s="34"/>
      <c r="S23" s="114" t="s">
        <v>206</v>
      </c>
      <c r="T23" s="118">
        <f>'4 Est 2 Armadlados'!G11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'4 Est 2 Armadlados'!G21</f>
        <v>62.5</v>
      </c>
      <c r="U24" s="283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P25" s="34"/>
      <c r="Q25" s="34"/>
      <c r="R25" s="34"/>
      <c r="S25" s="594" t="s">
        <v>240</v>
      </c>
      <c r="T25" s="595"/>
      <c r="U25" s="283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114" t="s">
        <v>190</v>
      </c>
      <c r="T26" s="119">
        <f>'4 Est 2 Armlados dist'!E51</f>
        <v>6.3</v>
      </c>
      <c r="U26" s="283"/>
    </row>
    <row r="27" spans="1:21" ht="15.75" thickBot="1" x14ac:dyDescent="0.3">
      <c r="B27" s="41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114" t="s">
        <v>206</v>
      </c>
      <c r="T27" s="118">
        <f>'4 Est 2 Armlados dist'!G11</f>
        <v>1.1526315789473685</v>
      </c>
      <c r="U27" s="283"/>
    </row>
    <row r="28" spans="1:21" ht="18.75" thickBot="1" x14ac:dyDescent="0.4">
      <c r="B28" s="41"/>
      <c r="C28" s="34"/>
      <c r="D28" s="34"/>
      <c r="E28" s="34"/>
      <c r="F28" s="34"/>
      <c r="G28" s="34"/>
      <c r="H28" s="237"/>
      <c r="I28" s="566" t="s">
        <v>243</v>
      </c>
      <c r="J28" s="567"/>
      <c r="K28" s="567"/>
      <c r="L28" s="567"/>
      <c r="M28" s="567"/>
      <c r="N28" s="567"/>
      <c r="O28" s="567"/>
      <c r="P28" s="567"/>
      <c r="Q28" s="568"/>
      <c r="R28" s="34"/>
      <c r="S28" s="127" t="s">
        <v>207</v>
      </c>
      <c r="T28" s="128">
        <f>'4 Est 2 Armlados dist'!G21</f>
        <v>31.5</v>
      </c>
      <c r="U28" s="283"/>
    </row>
    <row r="29" spans="1:21" ht="18" x14ac:dyDescent="0.35">
      <c r="B29" s="41"/>
      <c r="C29" s="34"/>
      <c r="D29" s="34"/>
      <c r="E29" s="34"/>
      <c r="F29" s="34"/>
      <c r="G29" s="34"/>
      <c r="H29" s="237"/>
      <c r="I29" s="569" t="s">
        <v>194</v>
      </c>
      <c r="J29" s="570"/>
      <c r="K29" s="570" t="s">
        <v>193</v>
      </c>
      <c r="L29" s="570"/>
      <c r="M29" s="570" t="s">
        <v>192</v>
      </c>
      <c r="N29" s="570"/>
      <c r="O29" s="570" t="s">
        <v>191</v>
      </c>
      <c r="P29" s="570"/>
      <c r="Q29" s="571"/>
      <c r="R29" s="34"/>
      <c r="S29" s="34"/>
      <c r="T29" s="42"/>
    </row>
    <row r="30" spans="1:21" ht="15.75" thickBot="1" x14ac:dyDescent="0.3">
      <c r="B30" s="41"/>
      <c r="C30" s="34"/>
      <c r="D30" s="34"/>
      <c r="E30" s="34"/>
      <c r="F30" s="34"/>
      <c r="G30" s="34"/>
      <c r="H30" s="237"/>
      <c r="I30" s="573">
        <f>T22</f>
        <v>12.5</v>
      </c>
      <c r="J30" s="486"/>
      <c r="K30" s="486">
        <f>'4 Est 2 Armadlados'!G10*('4 Est 2 Armadlados'!G23/100)*4</f>
        <v>52.800000000000004</v>
      </c>
      <c r="L30" s="486"/>
      <c r="M30" s="486">
        <f>IF(T22=6.3,0.245,IF(T22=8,0.395,IF(T22=10,0.617,IF(T22=12.5,0.963,IF(T22=16,1.578,IF(T22=20,2.466))))))</f>
        <v>0.96299999999999997</v>
      </c>
      <c r="N30" s="486"/>
      <c r="O30" s="564">
        <f>(M30*K30)*1.1</f>
        <v>55.93104000000001</v>
      </c>
      <c r="P30" s="564"/>
      <c r="Q30" s="565"/>
      <c r="R30" s="34"/>
      <c r="S30" s="34"/>
      <c r="T30" s="42"/>
    </row>
    <row r="31" spans="1:21" ht="15.75" thickBot="1" x14ac:dyDescent="0.3">
      <c r="A31" s="42"/>
      <c r="B31" s="34"/>
      <c r="C31" s="34"/>
      <c r="D31" s="34"/>
      <c r="E31" s="34"/>
      <c r="F31" s="34"/>
      <c r="G31" s="34"/>
      <c r="H31" s="237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42"/>
    </row>
    <row r="32" spans="1:21" ht="15.75" thickBot="1" x14ac:dyDescent="0.3">
      <c r="A32" s="42"/>
      <c r="B32" s="34"/>
      <c r="C32" s="34"/>
      <c r="D32" s="34"/>
      <c r="E32" s="34"/>
      <c r="F32" s="34"/>
      <c r="G32" s="34"/>
      <c r="H32" s="237"/>
      <c r="I32" s="566" t="s">
        <v>244</v>
      </c>
      <c r="J32" s="567"/>
      <c r="K32" s="567"/>
      <c r="L32" s="567"/>
      <c r="M32" s="567"/>
      <c r="N32" s="567"/>
      <c r="O32" s="567"/>
      <c r="P32" s="567"/>
      <c r="Q32" s="568"/>
      <c r="R32" s="34"/>
      <c r="S32" s="34"/>
      <c r="T32" s="42"/>
    </row>
    <row r="33" spans="1:20" ht="18" x14ac:dyDescent="0.35">
      <c r="A33" s="42"/>
      <c r="B33" s="34"/>
      <c r="C33" s="34"/>
      <c r="D33" s="34"/>
      <c r="E33" s="34"/>
      <c r="F33" s="34"/>
      <c r="G33" s="34"/>
      <c r="H33" s="237"/>
      <c r="I33" s="569" t="s">
        <v>194</v>
      </c>
      <c r="J33" s="570"/>
      <c r="K33" s="570" t="s">
        <v>193</v>
      </c>
      <c r="L33" s="570"/>
      <c r="M33" s="570" t="s">
        <v>192</v>
      </c>
      <c r="N33" s="570"/>
      <c r="O33" s="570" t="s">
        <v>191</v>
      </c>
      <c r="P33" s="570"/>
      <c r="Q33" s="571"/>
      <c r="R33" s="34"/>
      <c r="S33" s="34"/>
      <c r="T33" s="42"/>
    </row>
    <row r="34" spans="1:20" ht="15.75" thickBot="1" x14ac:dyDescent="0.3">
      <c r="A34" s="42"/>
      <c r="B34" s="34"/>
      <c r="C34" s="34"/>
      <c r="D34" s="34"/>
      <c r="E34" s="34"/>
      <c r="F34" s="34"/>
      <c r="G34" s="34"/>
      <c r="H34" s="237"/>
      <c r="I34" s="573">
        <f>T26</f>
        <v>6.3</v>
      </c>
      <c r="J34" s="486"/>
      <c r="K34" s="486">
        <f>'4 Est 2 Armlados dist'!G10*('4 Est 2 Armlados dist'!G23/100)*2</f>
        <v>46.8</v>
      </c>
      <c r="L34" s="486"/>
      <c r="M34" s="486">
        <f>IF(T26=6.3,0.245,IF(T26=8,0.395,IF(T26=10,0.617,IF(T26=12.5,0.963,IF(T26=16,1.578,IF(T26=20,2.466))))))</f>
        <v>0.245</v>
      </c>
      <c r="N34" s="486"/>
      <c r="O34" s="564">
        <f>(M34*K34)*1.1</f>
        <v>12.6126</v>
      </c>
      <c r="P34" s="564"/>
      <c r="Q34" s="565"/>
      <c r="R34" s="34"/>
      <c r="S34" s="34"/>
      <c r="T34" s="42"/>
    </row>
    <row r="35" spans="1:20" ht="15.75" thickBot="1" x14ac:dyDescent="0.3">
      <c r="A35" s="42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2"/>
    </row>
    <row r="69" spans="5:7" x14ac:dyDescent="0.25">
      <c r="E69" s="381"/>
      <c r="F69" s="381"/>
      <c r="G69" s="381"/>
    </row>
    <row r="70" spans="5:7" x14ac:dyDescent="0.25">
      <c r="E70" s="381"/>
      <c r="F70" s="381">
        <f>'[1]2 Estacas'!K7</f>
        <v>96</v>
      </c>
      <c r="G70" s="381"/>
    </row>
    <row r="71" spans="5:7" x14ac:dyDescent="0.25">
      <c r="E71" s="381"/>
      <c r="F71" s="381"/>
      <c r="G71" s="381"/>
    </row>
  </sheetData>
  <mergeCells count="30">
    <mergeCell ref="I34:J34"/>
    <mergeCell ref="K34:L34"/>
    <mergeCell ref="M34:N34"/>
    <mergeCell ref="O34:Q34"/>
    <mergeCell ref="K16:N16"/>
    <mergeCell ref="I32:Q32"/>
    <mergeCell ref="I33:J33"/>
    <mergeCell ref="K33:L33"/>
    <mergeCell ref="M33:N33"/>
    <mergeCell ref="O33:Q33"/>
    <mergeCell ref="I28:Q28"/>
    <mergeCell ref="I29:J29"/>
    <mergeCell ref="K29:L29"/>
    <mergeCell ref="M29:N29"/>
    <mergeCell ref="O29:Q29"/>
    <mergeCell ref="I30:J30"/>
    <mergeCell ref="C22:F22"/>
    <mergeCell ref="B1:T2"/>
    <mergeCell ref="S21:T21"/>
    <mergeCell ref="J20:J22"/>
    <mergeCell ref="P20:P22"/>
    <mergeCell ref="G20:H22"/>
    <mergeCell ref="B20:B22"/>
    <mergeCell ref="L22:N22"/>
    <mergeCell ref="K30:L30"/>
    <mergeCell ref="M30:N30"/>
    <mergeCell ref="O30:Q30"/>
    <mergeCell ref="S25:T25"/>
    <mergeCell ref="C23:E23"/>
    <mergeCell ref="K23:O23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31078" r:id="rId3">
          <objectPr defaultSize="0" autoPict="0" r:id="rId4">
            <anchor>
              <from>
                <xdr:col>0</xdr:col>
                <xdr:colOff>9525</xdr:colOff>
                <xdr:row>15</xdr:row>
                <xdr:rowOff>123825</xdr:rowOff>
              </from>
              <to>
                <xdr:col>9</xdr:col>
                <xdr:colOff>66675</xdr:colOff>
                <xdr:row>23</xdr:row>
                <xdr:rowOff>57150</xdr:rowOff>
              </to>
            </anchor>
          </objectPr>
        </oleObject>
      </mc:Choice>
      <mc:Fallback>
        <oleObject progId="AutoCAD.Drawing.18" shapeId="131078" r:id="rId3"/>
      </mc:Fallback>
    </mc:AlternateContent>
    <mc:AlternateContent xmlns:mc="http://schemas.openxmlformats.org/markup-compatibility/2006">
      <mc:Choice Requires="x14">
        <oleObject progId="AutoCAD.Drawing.18" shapeId="131082" r:id="rId5">
          <objectPr defaultSize="0" autoPict="0" r:id="rId6">
            <anchor>
              <from>
                <xdr:col>9</xdr:col>
                <xdr:colOff>390525</xdr:colOff>
                <xdr:row>3</xdr:row>
                <xdr:rowOff>47625</xdr:rowOff>
              </from>
              <to>
                <xdr:col>14</xdr:col>
                <xdr:colOff>428625</xdr:colOff>
                <xdr:row>15</xdr:row>
                <xdr:rowOff>9525</xdr:rowOff>
              </to>
            </anchor>
          </objectPr>
        </oleObject>
      </mc:Choice>
      <mc:Fallback>
        <oleObject progId="AutoCAD.Drawing.18" shapeId="131082" r:id="rId5"/>
      </mc:Fallback>
    </mc:AlternateContent>
    <mc:AlternateContent xmlns:mc="http://schemas.openxmlformats.org/markup-compatibility/2006">
      <mc:Choice Requires="x14">
        <oleObject progId="AutoCAD.Drawing.18" shapeId="131083" r:id="rId7">
          <objectPr defaultSize="0" autoPict="0" r:id="rId8">
            <anchor>
              <from>
                <xdr:col>9</xdr:col>
                <xdr:colOff>266700</xdr:colOff>
                <xdr:row>19</xdr:row>
                <xdr:rowOff>0</xdr:rowOff>
              </from>
              <to>
                <xdr:col>15</xdr:col>
                <xdr:colOff>342900</xdr:colOff>
                <xdr:row>23</xdr:row>
                <xdr:rowOff>76200</xdr:rowOff>
              </to>
            </anchor>
          </objectPr>
        </oleObject>
      </mc:Choice>
      <mc:Fallback>
        <oleObject progId="AutoCAD.Drawing.18" shapeId="131083" r:id="rId7"/>
      </mc:Fallback>
    </mc:AlternateContent>
    <mc:AlternateContent xmlns:mc="http://schemas.openxmlformats.org/markup-compatibility/2006">
      <mc:Choice Requires="x14">
        <oleObject progId="AutoCAD.Drawing.18" shapeId="131086" r:id="rId9">
          <objectPr defaultSize="0" autoPict="0" r:id="rId10">
            <anchor moveWithCells="1">
              <from>
                <xdr:col>2</xdr:col>
                <xdr:colOff>28575</xdr:colOff>
                <xdr:row>3</xdr:row>
                <xdr:rowOff>47625</xdr:rowOff>
              </from>
              <to>
                <xdr:col>6</xdr:col>
                <xdr:colOff>152400</xdr:colOff>
                <xdr:row>14</xdr:row>
                <xdr:rowOff>171450</xdr:rowOff>
              </to>
            </anchor>
          </objectPr>
        </oleObject>
      </mc:Choice>
      <mc:Fallback>
        <oleObject progId="AutoCAD.Drawing.18" shapeId="131086" r:id="rId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9" r:id="rId11" name="Button 7">
              <controlPr defaultSize="0" print="0" autoFill="0" autoPict="0" macro="[0]!macro104">
                <anchor moveWithCells="1" sizeWithCells="1">
                  <from>
                    <xdr:col>18</xdr:col>
                    <xdr:colOff>276225</xdr:colOff>
                    <xdr:row>28</xdr:row>
                    <xdr:rowOff>209550</xdr:rowOff>
                  </from>
                  <to>
                    <xdr:col>19</xdr:col>
                    <xdr:colOff>180975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4"/>
  <dimension ref="A1:W63"/>
  <sheetViews>
    <sheetView showGridLines="0" showRowColHeaders="0" zoomScale="85" zoomScaleNormal="85" workbookViewId="0">
      <selection activeCell="C5" sqref="C5"/>
    </sheetView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3" width="9.140625" style="190"/>
  </cols>
  <sheetData>
    <row r="1" spans="2:20" x14ac:dyDescent="0.25">
      <c r="B1" s="505" t="s">
        <v>232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17.136000000000003</v>
      </c>
      <c r="Q4" s="190" t="s">
        <v>130</v>
      </c>
      <c r="R4" s="190">
        <f>(PI()*(E55/10)^2)/4</f>
        <v>0.78539816339744828</v>
      </c>
    </row>
    <row r="5" spans="2:20" ht="18.75" thickBot="1" x14ac:dyDescent="0.3">
      <c r="B5" s="120" t="s">
        <v>167</v>
      </c>
      <c r="C5" s="197">
        <f>'4 Estacas2'!P13</f>
        <v>745.04347826086973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21</v>
      </c>
    </row>
    <row r="7" spans="2:20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Q7" s="190" t="s">
        <v>133</v>
      </c>
      <c r="R7" s="190">
        <f>G4/R4</f>
        <v>21.818232838581753</v>
      </c>
    </row>
    <row r="8" spans="2:20" ht="15.75" thickBot="1" x14ac:dyDescent="0.3">
      <c r="B8" s="122" t="s">
        <v>136</v>
      </c>
      <c r="C8" s="8">
        <f>Entradas2!C22</f>
        <v>23</v>
      </c>
      <c r="E8" s="194"/>
      <c r="F8" s="195"/>
      <c r="G8" s="196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22</v>
      </c>
      <c r="R10" s="190">
        <f>E55</f>
        <v>10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((C8)-G10*(E55/10))/T6</f>
        <v>4.7619047619047616E-2</v>
      </c>
    </row>
    <row r="13" spans="2:20" ht="15.75" thickBot="1" x14ac:dyDescent="0.3">
      <c r="B13" s="521" t="s">
        <v>215</v>
      </c>
      <c r="C13" s="465"/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17.27875959474386</v>
      </c>
    </row>
    <row r="15" spans="2:20" ht="15.75" thickBot="1" x14ac:dyDescent="0.3">
      <c r="E15" s="492" t="s">
        <v>143</v>
      </c>
      <c r="F15" s="493"/>
      <c r="G15" s="198">
        <f>(C8/2)+('4 Estacas2'!J6*SQRT(2))-C6</f>
        <v>44.976659402887023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26.150098015242317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IF(E55=20,8*E55,5*E55)</f>
        <v>50</v>
      </c>
      <c r="Q21" s="190" t="s">
        <v>148</v>
      </c>
      <c r="R21" s="190">
        <f>(E55/10)*(C7/U19)/4</f>
        <v>37.668505484223736</v>
      </c>
    </row>
    <row r="22" spans="2:21" ht="15" customHeight="1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IF(E55=20,CEILING(R24,1),CEILING(R23,1))</f>
        <v>172</v>
      </c>
      <c r="Q23" s="190" t="s">
        <v>152</v>
      </c>
      <c r="R23" s="190">
        <f>('4 Estacas2'!J7*SQRT(2)+2*(('4 Estacas2'!J6*SQRT(2))-C6-(G21/10)/2+(PI())*(G21/10)/4+10*(E55/10)))</f>
        <v>171.1245802762015</v>
      </c>
    </row>
    <row r="24" spans="2:21" ht="15.75" thickBot="1" x14ac:dyDescent="0.3">
      <c r="E24" s="531"/>
      <c r="F24" s="532"/>
      <c r="G24" s="547"/>
      <c r="H24" s="190">
        <f>ROUNDUP(G23,0)</f>
        <v>172</v>
      </c>
      <c r="Q24" s="190" t="s">
        <v>153</v>
      </c>
      <c r="R24" s="190">
        <f>('4 Estacas2'!J7*SQRT(2))+2*(('4 Estacas2'!J6*SQRT(2))-C6-(G21/10)/2+PI()*(G21/10)/2+2*(E55/10))</f>
        <v>162.97856191017598</v>
      </c>
    </row>
    <row r="27" spans="2:21" x14ac:dyDescent="0.25">
      <c r="Q27" s="190" t="s">
        <v>168</v>
      </c>
      <c r="R27" s="190">
        <f>2*E55/10</f>
        <v>2</v>
      </c>
    </row>
    <row r="28" spans="2:21" x14ac:dyDescent="0.25">
      <c r="Q28" s="354" t="s">
        <v>169</v>
      </c>
      <c r="R28" s="190">
        <f>E55</f>
        <v>10</v>
      </c>
    </row>
    <row r="53" spans="1:9" x14ac:dyDescent="0.25">
      <c r="B53" s="363"/>
      <c r="C53" s="363"/>
      <c r="D53" s="363"/>
    </row>
    <row r="54" spans="1:9" x14ac:dyDescent="0.25">
      <c r="A54" s="381"/>
      <c r="B54" s="384">
        <v>3</v>
      </c>
      <c r="C54" s="384"/>
      <c r="D54" s="367"/>
      <c r="E54" s="356"/>
      <c r="F54" s="190"/>
      <c r="G54" s="190"/>
      <c r="H54" s="190"/>
      <c r="I54" s="190"/>
    </row>
    <row r="55" spans="1:9" x14ac:dyDescent="0.25">
      <c r="A55" s="381"/>
      <c r="B55" s="386">
        <v>6.3</v>
      </c>
      <c r="C55" s="384"/>
      <c r="D55" s="356" t="s">
        <v>132</v>
      </c>
      <c r="E55" s="356">
        <f>IF(B54=1,B55,IF(B54=2,B56,IF(B54=3,B57,IF(B54=4,B58,IF(B54=5,B59,IF(B54=6,B60))))))</f>
        <v>10</v>
      </c>
      <c r="F55" s="190"/>
      <c r="G55" s="190"/>
      <c r="H55" s="190"/>
      <c r="I55" s="190"/>
    </row>
    <row r="56" spans="1:9" x14ac:dyDescent="0.25">
      <c r="A56" s="381"/>
      <c r="B56" s="386">
        <v>8</v>
      </c>
      <c r="C56" s="384"/>
      <c r="D56" s="367"/>
      <c r="E56" s="356"/>
      <c r="F56" s="190"/>
      <c r="G56" s="190"/>
      <c r="H56" s="190"/>
      <c r="I56" s="190"/>
    </row>
    <row r="57" spans="1:9" x14ac:dyDescent="0.25">
      <c r="A57" s="381"/>
      <c r="B57" s="386">
        <v>10</v>
      </c>
      <c r="C57" s="384"/>
      <c r="D57" s="367"/>
      <c r="E57" s="356"/>
      <c r="F57" s="190"/>
      <c r="G57" s="190"/>
      <c r="H57" s="190"/>
      <c r="I57" s="190"/>
    </row>
    <row r="58" spans="1:9" x14ac:dyDescent="0.25">
      <c r="A58" s="381"/>
      <c r="B58" s="386">
        <v>12.5</v>
      </c>
      <c r="C58" s="384"/>
      <c r="D58" s="367"/>
      <c r="E58" s="356"/>
      <c r="F58" s="190"/>
      <c r="G58" s="190"/>
      <c r="H58" s="190"/>
      <c r="I58" s="190"/>
    </row>
    <row r="59" spans="1:9" ht="18" x14ac:dyDescent="0.35">
      <c r="A59" s="381"/>
      <c r="B59" s="386">
        <v>16</v>
      </c>
      <c r="C59" s="384"/>
      <c r="D59" s="367"/>
      <c r="E59" s="356"/>
      <c r="F59" s="190"/>
      <c r="G59" s="190"/>
      <c r="H59" s="190"/>
      <c r="I59" s="190" t="s">
        <v>213</v>
      </c>
    </row>
    <row r="60" spans="1:9" x14ac:dyDescent="0.25">
      <c r="A60" s="381"/>
      <c r="B60" s="386">
        <v>20</v>
      </c>
      <c r="C60" s="384"/>
      <c r="D60" s="367"/>
      <c r="E60" s="356"/>
      <c r="F60" s="190"/>
      <c r="G60" s="190"/>
      <c r="H60" s="190"/>
      <c r="I60" s="190"/>
    </row>
    <row r="61" spans="1:9" x14ac:dyDescent="0.25">
      <c r="A61" s="381"/>
      <c r="B61" s="381"/>
      <c r="C61" s="381"/>
    </row>
    <row r="62" spans="1:9" x14ac:dyDescent="0.25">
      <c r="A62" s="381"/>
      <c r="B62" s="381"/>
      <c r="C62" s="381"/>
    </row>
    <row r="63" spans="1:9" x14ac:dyDescent="0.25">
      <c r="A63" s="381"/>
      <c r="B63" s="381"/>
      <c r="C63" s="381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53" priority="1">
      <formula>$G$16&gt;$G$15</formula>
    </cfRule>
    <cfRule type="expression" dxfId="52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MACRO106">
                <anchor moveWithCells="1" sizeWithCells="1">
                  <from>
                    <xdr:col>7</xdr:col>
                    <xdr:colOff>381000</xdr:colOff>
                    <xdr:row>21</xdr:row>
                    <xdr:rowOff>133350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macro105">
                <anchor moveWithCells="1" sizeWithCells="1">
                  <from>
                    <xdr:col>7</xdr:col>
                    <xdr:colOff>381000</xdr:colOff>
                    <xdr:row>18</xdr:row>
                    <xdr:rowOff>133350</xdr:rowOff>
                  </from>
                  <to>
                    <xdr:col>9</xdr:col>
                    <xdr:colOff>590550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5"/>
  <dimension ref="A1:V55"/>
  <sheetViews>
    <sheetView showGridLines="0" showRowColHeaders="0" zoomScale="85" zoomScaleNormal="85" workbookViewId="0">
      <selection activeCell="C5" sqref="C5"/>
    </sheetView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5" max="16" width="9.140625" style="190"/>
    <col min="17" max="17" width="16.85546875" style="190" customWidth="1"/>
    <col min="18" max="18" width="10.28515625" style="190" bestFit="1" customWidth="1"/>
    <col min="19" max="19" width="12.5703125" style="190" customWidth="1"/>
    <col min="20" max="20" width="12.7109375" style="190" customWidth="1"/>
    <col min="21" max="22" width="9.140625" style="190"/>
  </cols>
  <sheetData>
    <row r="1" spans="2:20" x14ac:dyDescent="0.25">
      <c r="B1" s="505" t="s">
        <v>231</v>
      </c>
      <c r="C1" s="506"/>
      <c r="D1" s="506"/>
      <c r="E1" s="506"/>
      <c r="F1" s="506"/>
      <c r="G1" s="507"/>
    </row>
    <row r="2" spans="2:20" ht="15.75" thickBot="1" x14ac:dyDescent="0.3">
      <c r="B2" s="508"/>
      <c r="C2" s="509"/>
      <c r="D2" s="509"/>
      <c r="E2" s="509"/>
      <c r="F2" s="509"/>
      <c r="G2" s="510"/>
    </row>
    <row r="3" spans="2:20" ht="15.75" thickBot="1" x14ac:dyDescent="0.3"/>
    <row r="4" spans="2:20" ht="19.5" thickBot="1" x14ac:dyDescent="0.35">
      <c r="B4" s="511" t="s">
        <v>128</v>
      </c>
      <c r="C4" s="512"/>
      <c r="E4" s="513" t="s">
        <v>205</v>
      </c>
      <c r="F4" s="514"/>
      <c r="G4" s="124">
        <f>2*(C5)/(C7)</f>
        <v>6.0584909012063406</v>
      </c>
      <c r="Q4" s="190" t="s">
        <v>130</v>
      </c>
      <c r="R4" s="190">
        <f>(PI()*(E50/10)^2)/4</f>
        <v>0.19634954084936207</v>
      </c>
    </row>
    <row r="5" spans="2:20" ht="18.75" thickBot="1" x14ac:dyDescent="0.3">
      <c r="B5" s="120" t="s">
        <v>167</v>
      </c>
      <c r="C5" s="197">
        <f>'4 Est 2 Armadlados'!C5*0.2</f>
        <v>105.36505915141464</v>
      </c>
    </row>
    <row r="6" spans="2:20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Q6" s="190" t="s">
        <v>135</v>
      </c>
      <c r="T6" s="190">
        <f>G10-1</f>
        <v>30</v>
      </c>
    </row>
    <row r="7" spans="2:20" ht="18" x14ac:dyDescent="0.25">
      <c r="B7" s="121" t="s">
        <v>200</v>
      </c>
      <c r="C7" s="123">
        <f>(50/Entradas2!C18)*0.8</f>
        <v>34.782608695652179</v>
      </c>
      <c r="E7" s="518"/>
      <c r="F7" s="519"/>
      <c r="G7" s="520"/>
      <c r="H7" s="34"/>
      <c r="Q7" s="190" t="s">
        <v>133</v>
      </c>
      <c r="R7" s="190">
        <f>G4/R4</f>
        <v>30.855640787336348</v>
      </c>
    </row>
    <row r="8" spans="2:20" ht="15.75" thickBot="1" x14ac:dyDescent="0.3">
      <c r="B8" s="122" t="s">
        <v>136</v>
      </c>
      <c r="C8" s="8">
        <f>Entradas2!C22</f>
        <v>23</v>
      </c>
      <c r="E8" s="194"/>
      <c r="F8" s="195"/>
      <c r="G8" s="196"/>
      <c r="H8" s="34"/>
      <c r="Q8" s="190" t="s">
        <v>137</v>
      </c>
      <c r="R8" s="190">
        <v>20</v>
      </c>
    </row>
    <row r="9" spans="2:20" ht="15.75" thickBot="1" x14ac:dyDescent="0.3">
      <c r="E9" s="34"/>
      <c r="F9" s="34"/>
      <c r="G9" s="34"/>
      <c r="H9" s="34"/>
      <c r="R9" s="190">
        <f>1.2*19</f>
        <v>22.8</v>
      </c>
    </row>
    <row r="10" spans="2:20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31</v>
      </c>
      <c r="R10" s="190">
        <f>E50</f>
        <v>5</v>
      </c>
    </row>
    <row r="11" spans="2:20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R13</f>
        <v>1.1526315789473685</v>
      </c>
      <c r="Q11" s="190" t="s">
        <v>138</v>
      </c>
      <c r="R11" s="190">
        <f>(LARGE(R8:R10,1))/10</f>
        <v>2.2800000000000002</v>
      </c>
    </row>
    <row r="12" spans="2:20" ht="15.75" thickBot="1" x14ac:dyDescent="0.3">
      <c r="E12" s="531"/>
      <c r="F12" s="532"/>
      <c r="G12" s="534"/>
      <c r="Q12" s="190" t="s">
        <v>140</v>
      </c>
      <c r="R12" s="190">
        <f>((C8)-G10*(E50/10))/T6</f>
        <v>0.25</v>
      </c>
    </row>
    <row r="13" spans="2:20" ht="15.75" thickBot="1" x14ac:dyDescent="0.3">
      <c r="B13" s="521" t="s">
        <v>215</v>
      </c>
      <c r="C13" s="465"/>
      <c r="Q13" s="190" t="s">
        <v>230</v>
      </c>
      <c r="R13" s="190">
        <f>(('4 Estacas2'!J7-'4 Est 2 Armlados dist'!C8)-('4 Est 2 Armlados dist'!G10*'4 Est 2 Armlados dist'!E51/10))/'4 Est 2 Armlados dist'!T6</f>
        <v>1.1526315789473685</v>
      </c>
    </row>
    <row r="14" spans="2:20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Q14" s="190" t="s">
        <v>149</v>
      </c>
      <c r="R14" s="190">
        <f>G10*R4</f>
        <v>6.0868357663302239</v>
      </c>
    </row>
    <row r="15" spans="2:20" ht="15.75" thickBot="1" x14ac:dyDescent="0.3">
      <c r="E15" s="492" t="s">
        <v>143</v>
      </c>
      <c r="F15" s="493"/>
      <c r="G15" s="141">
        <f>'4 Estacas2'!J6-C6+C8/2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</row>
    <row r="16" spans="2:20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10.49806596066983</v>
      </c>
      <c r="H16" s="497"/>
      <c r="I16" s="498"/>
      <c r="J16" s="499"/>
      <c r="Q16" s="190" t="s">
        <v>144</v>
      </c>
      <c r="R16" s="190">
        <f>0.3*0.7*Entradas2!C13^(2/3)</f>
        <v>1.795474744010531</v>
      </c>
    </row>
    <row r="17" spans="2:21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Q17" s="190" t="s">
        <v>145</v>
      </c>
      <c r="R17" s="190">
        <f>R16/Entradas2!C17</f>
        <v>1.2824819600075221</v>
      </c>
    </row>
    <row r="18" spans="2:21" ht="15.75" thickBot="1" x14ac:dyDescent="0.3">
      <c r="E18" s="143"/>
      <c r="F18" s="538" t="s">
        <v>181</v>
      </c>
      <c r="G18" s="539"/>
      <c r="H18" s="2"/>
      <c r="I18" s="2"/>
      <c r="J18" s="2"/>
    </row>
    <row r="19" spans="2:21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Q19" s="190" t="s">
        <v>146</v>
      </c>
      <c r="R19" s="190">
        <f>C14*C17*C20*R17</f>
        <v>2.885584410016925</v>
      </c>
      <c r="T19" s="190" t="s">
        <v>147</v>
      </c>
      <c r="U19" s="190">
        <f>R19/10</f>
        <v>0.28855844100169248</v>
      </c>
    </row>
    <row r="20" spans="2:21" ht="18.75" thickBot="1" x14ac:dyDescent="0.3">
      <c r="B20" s="122" t="s">
        <v>203</v>
      </c>
      <c r="C20" s="8">
        <v>1</v>
      </c>
    </row>
    <row r="21" spans="2:21" x14ac:dyDescent="0.25">
      <c r="E21" s="515" t="s">
        <v>150</v>
      </c>
      <c r="F21" s="517"/>
      <c r="G21" s="549">
        <f>IF(E50=20,8*E50,5*E50)</f>
        <v>25</v>
      </c>
      <c r="Q21" s="190" t="s">
        <v>148</v>
      </c>
      <c r="R21" s="190">
        <f>(E50/10)*(C7/U19)/4</f>
        <v>15.067402193689496</v>
      </c>
    </row>
    <row r="22" spans="2:21" ht="15.75" thickBot="1" x14ac:dyDescent="0.3">
      <c r="B22" s="103"/>
      <c r="E22" s="525"/>
      <c r="F22" s="526"/>
      <c r="G22" s="550"/>
    </row>
    <row r="23" spans="2:21" x14ac:dyDescent="0.25">
      <c r="E23" s="529" t="s">
        <v>151</v>
      </c>
      <c r="F23" s="530"/>
      <c r="G23" s="546">
        <f>IF(E50=20,CEILING(R24,1),CEILING(R23,1))</f>
        <v>114</v>
      </c>
      <c r="Q23" s="190" t="s">
        <v>152</v>
      </c>
      <c r="R23" s="190">
        <f>'4 Estacas2'!J7+2*('4 Estacas2'!J6-C6-(G21/10)/2+(PI())*(G21/10)/4+10*(E50/10))</f>
        <v>113.92699081698724</v>
      </c>
    </row>
    <row r="24" spans="2:21" ht="15.75" thickBot="1" x14ac:dyDescent="0.3">
      <c r="E24" s="531"/>
      <c r="F24" s="532"/>
      <c r="G24" s="547"/>
      <c r="H24" s="190">
        <f>ROUNDUP(G23,0)</f>
        <v>114</v>
      </c>
      <c r="Q24" s="190" t="s">
        <v>153</v>
      </c>
      <c r="R24" s="190">
        <f>'4 Estacas2'!J7+2*('4 Estacas2'!J6-C6-(G21/10)/2+PI()*(G21/10)/2+2*(E50/10))</f>
        <v>109.85398163397448</v>
      </c>
    </row>
    <row r="27" spans="2:21" x14ac:dyDescent="0.25">
      <c r="Q27" s="190" t="s">
        <v>168</v>
      </c>
      <c r="R27" s="190">
        <f>2*E50/10</f>
        <v>1</v>
      </c>
    </row>
    <row r="28" spans="2:21" x14ac:dyDescent="0.25">
      <c r="Q28" s="354" t="s">
        <v>169</v>
      </c>
      <c r="R28" s="190">
        <f>E50</f>
        <v>5</v>
      </c>
    </row>
    <row r="36" spans="1:3" x14ac:dyDescent="0.25">
      <c r="B36" s="126"/>
    </row>
    <row r="46" spans="1:3" x14ac:dyDescent="0.25">
      <c r="A46" s="381"/>
      <c r="B46" s="381"/>
      <c r="C46" s="381"/>
    </row>
    <row r="47" spans="1:3" x14ac:dyDescent="0.25">
      <c r="A47" s="382"/>
      <c r="B47" s="382"/>
      <c r="C47" s="382"/>
    </row>
    <row r="48" spans="1:3" x14ac:dyDescent="0.25">
      <c r="A48" s="382"/>
      <c r="B48" s="382"/>
      <c r="C48" s="382"/>
    </row>
    <row r="49" spans="1:9" x14ac:dyDescent="0.25">
      <c r="A49" s="382"/>
      <c r="B49" s="384">
        <v>1</v>
      </c>
      <c r="C49" s="384"/>
      <c r="D49" s="356"/>
      <c r="E49" s="356"/>
      <c r="F49" s="190"/>
      <c r="G49" s="190"/>
      <c r="H49" s="190"/>
      <c r="I49" s="190"/>
    </row>
    <row r="50" spans="1:9" x14ac:dyDescent="0.25">
      <c r="A50" s="382"/>
      <c r="B50" s="386">
        <v>5</v>
      </c>
      <c r="C50" s="384"/>
      <c r="D50" s="356" t="s">
        <v>132</v>
      </c>
      <c r="E50" s="356">
        <f>IF(B49=1,B50,IF(B49=2,B51,IF(B49=3,B52,IF(B49=4,B53,IF(B49=5,B54,IF(B49=6,B36))))))</f>
        <v>5</v>
      </c>
      <c r="F50" s="190"/>
      <c r="G50" s="190"/>
      <c r="H50" s="190"/>
      <c r="I50" s="190"/>
    </row>
    <row r="51" spans="1:9" x14ac:dyDescent="0.25">
      <c r="A51" s="382"/>
      <c r="B51" s="386">
        <v>6.3</v>
      </c>
      <c r="C51" s="384"/>
      <c r="D51" s="356"/>
      <c r="E51" s="356"/>
      <c r="F51" s="190"/>
      <c r="G51" s="190"/>
      <c r="H51" s="190"/>
      <c r="I51" s="190"/>
    </row>
    <row r="52" spans="1:9" x14ac:dyDescent="0.25">
      <c r="A52" s="382"/>
      <c r="B52" s="387"/>
      <c r="C52" s="382"/>
      <c r="D52" s="190"/>
      <c r="E52" s="190"/>
      <c r="F52" s="190"/>
      <c r="G52" s="190"/>
      <c r="H52" s="190"/>
      <c r="I52" s="190"/>
    </row>
    <row r="53" spans="1:9" x14ac:dyDescent="0.25">
      <c r="A53" s="382"/>
      <c r="B53" s="387"/>
      <c r="C53" s="382"/>
      <c r="D53" s="190"/>
      <c r="E53" s="190"/>
      <c r="F53" s="190"/>
      <c r="G53" s="190"/>
      <c r="H53" s="190"/>
      <c r="I53" s="190"/>
    </row>
    <row r="54" spans="1:9" ht="18" x14ac:dyDescent="0.35">
      <c r="A54" s="382"/>
      <c r="B54" s="387"/>
      <c r="C54" s="382"/>
      <c r="D54" s="190"/>
      <c r="E54" s="190"/>
      <c r="F54" s="190"/>
      <c r="G54" s="190"/>
      <c r="H54" s="190"/>
      <c r="I54" s="190" t="s">
        <v>213</v>
      </c>
    </row>
    <row r="55" spans="1:9" x14ac:dyDescent="0.25">
      <c r="A55" s="382"/>
      <c r="B55" s="382"/>
      <c r="C55" s="382"/>
    </row>
  </sheetData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51" priority="1">
      <formula>$G$16&gt;$G$15</formula>
    </cfRule>
    <cfRule type="expression" dxfId="50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macro108">
                <anchor moveWithCells="1" sizeWithCells="1">
                  <from>
                    <xdr:col>7</xdr:col>
                    <xdr:colOff>381000</xdr:colOff>
                    <xdr:row>21</xdr:row>
                    <xdr:rowOff>142875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macro107">
                <anchor moveWithCells="1" sizeWithCells="1">
                  <from>
                    <xdr:col>7</xdr:col>
                    <xdr:colOff>371475</xdr:colOff>
                    <xdr:row>18</xdr:row>
                    <xdr:rowOff>133350</xdr:rowOff>
                  </from>
                  <to>
                    <xdr:col>9</xdr:col>
                    <xdr:colOff>581025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/>
  <dimension ref="A1:U71"/>
  <sheetViews>
    <sheetView showGridLines="0" showRowColHeaders="0" zoomScale="85" zoomScaleNormal="85" workbookViewId="0"/>
  </sheetViews>
  <sheetFormatPr defaultRowHeight="15" x14ac:dyDescent="0.25"/>
  <cols>
    <col min="1" max="1" width="3" customWidth="1"/>
    <col min="2" max="2" width="9.140625" customWidth="1"/>
    <col min="3" max="3" width="8.42578125" customWidth="1"/>
    <col min="4" max="4" width="9.7109375" customWidth="1"/>
    <col min="5" max="5" width="14.7109375" customWidth="1"/>
    <col min="6" max="6" width="7.85546875" customWidth="1"/>
    <col min="7" max="7" width="7.5703125" customWidth="1"/>
    <col min="8" max="8" width="2.140625" customWidth="1"/>
    <col min="9" max="9" width="2.85546875" customWidth="1"/>
    <col min="10" max="10" width="10.140625" customWidth="1"/>
    <col min="11" max="11" width="7.5703125" customWidth="1"/>
    <col min="14" max="14" width="7.5703125" customWidth="1"/>
    <col min="15" max="15" width="7.7109375" customWidth="1"/>
    <col min="16" max="16" width="9.85546875" customWidth="1"/>
    <col min="17" max="17" width="6.7109375" customWidth="1"/>
    <col min="18" max="18" width="5.28515625" customWidth="1"/>
    <col min="19" max="19" width="32.5703125" bestFit="1" customWidth="1"/>
    <col min="20" max="20" width="8.85546875" bestFit="1" customWidth="1"/>
    <col min="24" max="24" width="13.42578125" bestFit="1" customWidth="1"/>
    <col min="25" max="25" width="14.28515625" bestFit="1" customWidth="1"/>
    <col min="26" max="26" width="18.85546875" bestFit="1" customWidth="1"/>
    <col min="27" max="27" width="11" bestFit="1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240"/>
      <c r="S4" s="113" t="s">
        <v>184</v>
      </c>
      <c r="T4" s="117" t="str">
        <f>'4 Estacas2'!I15</f>
        <v>Estaca E3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'4 Estacas2'!K15</f>
        <v>517.39130434782612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'4 Estacas2'!P8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'4 Estacas2'!P7</f>
        <v>35864.605635870394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'4 Estacas2'!P9</f>
        <v>11920.695652173916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'4 Estacas2'!P10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'4 Estacas2'!P11</f>
        <v>5368.1492460622258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'4 Estacas2'!P12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'4 Est2 DiagoArm'!C5</f>
        <v>745.04347826086973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'4 Estacas2'!P5</f>
        <v>0.45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'4 Estacas2'!P6</f>
        <v>0.55000000000000004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'4 Estacas2'!J6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34"/>
      <c r="J16" s="34"/>
      <c r="M16" s="34"/>
      <c r="N16" s="34"/>
      <c r="O16" s="239"/>
      <c r="P16" s="239"/>
      <c r="Q16" s="239"/>
      <c r="R16" s="34"/>
      <c r="S16" s="114" t="s">
        <v>198</v>
      </c>
      <c r="T16" s="118">
        <f>'4 Estacas2'!J7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34"/>
      <c r="K17" s="558" t="s">
        <v>245</v>
      </c>
      <c r="L17" s="558"/>
      <c r="M17" s="558"/>
      <c r="N17" s="558"/>
      <c r="O17" s="558"/>
      <c r="P17" s="34"/>
      <c r="Q17" s="34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M18" s="34"/>
      <c r="N18" s="34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x14ac:dyDescent="0.25">
      <c r="A19" s="42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((2*T15+T16)/100)^2</f>
        <v>1.221025</v>
      </c>
      <c r="U19" s="276"/>
    </row>
    <row r="20" spans="1:21" x14ac:dyDescent="0.25">
      <c r="A20" s="42"/>
      <c r="B20" s="560" t="str">
        <f>CONCATENATE(IF(T22&lt;20,T22, "Dobra de 8Ф")," cm")</f>
        <v>12,5 cm</v>
      </c>
      <c r="C20" s="239" t="str">
        <f>CONCATENATE(IF(T22=20,2*T22/10,0)," cm")</f>
        <v>0 cm</v>
      </c>
      <c r="D20" s="34"/>
      <c r="E20" s="34"/>
      <c r="F20" s="238" t="str">
        <f>CONCATENATE(IF(T22=20,2*T22/10,0)," cm")</f>
        <v>0 cm</v>
      </c>
      <c r="G20" s="563" t="str">
        <f>CONCATENATE(IF(T22&lt;20,T22, "Dobra de 8Ф")," cm")</f>
        <v>12,5 cm</v>
      </c>
      <c r="H20" s="563"/>
      <c r="I20" s="112"/>
      <c r="J20" s="560" t="str">
        <f>CONCATENATE(IF(T26&lt;20,T26, "Dobra de 8Ф")," cm")</f>
        <v>6,3 cm</v>
      </c>
      <c r="K20" s="238" t="str">
        <f>CONCATENATE(IF(T26=20,2*T26/10,0)," cm")</f>
        <v>0 cm</v>
      </c>
      <c r="L20" s="34"/>
      <c r="M20" s="34"/>
      <c r="N20" s="34"/>
      <c r="O20" s="238" t="str">
        <f>CONCATENATE(IF(T26=20,2*T26/10,0)," cm")</f>
        <v>0 cm</v>
      </c>
      <c r="P20" s="560" t="str">
        <f>CONCATENATE(IF(T26&lt;20,T26, "Dobra de 8Ф")," cm")</f>
        <v>6,3 cm</v>
      </c>
      <c r="Q20" s="238"/>
      <c r="R20" s="34"/>
      <c r="S20" s="114" t="s">
        <v>196</v>
      </c>
      <c r="T20" s="119" t="s">
        <v>197</v>
      </c>
      <c r="U20" s="276"/>
    </row>
    <row r="21" spans="1:21" x14ac:dyDescent="0.25">
      <c r="A21" s="42"/>
      <c r="B21" s="560"/>
      <c r="C21" s="34"/>
      <c r="D21" s="34"/>
      <c r="E21" s="34"/>
      <c r="F21" s="34"/>
      <c r="G21" s="563"/>
      <c r="H21" s="563"/>
      <c r="I21" s="112"/>
      <c r="J21" s="560"/>
      <c r="K21" s="238"/>
      <c r="L21" s="34"/>
      <c r="M21" s="34"/>
      <c r="N21" s="34"/>
      <c r="O21" s="238"/>
      <c r="P21" s="560"/>
      <c r="Q21" s="238"/>
      <c r="R21" s="34"/>
      <c r="S21" s="594" t="s">
        <v>239</v>
      </c>
      <c r="T21" s="595"/>
      <c r="U21" s="276"/>
    </row>
    <row r="22" spans="1:21" x14ac:dyDescent="0.25">
      <c r="A22" s="42"/>
      <c r="B22" s="560"/>
      <c r="C22" s="563" t="str">
        <f>CONCATENATE(T16+2*T15-2*'4 Est2 DiagoArm'!C6-T24/10," cm")</f>
        <v>96,25 cm</v>
      </c>
      <c r="D22" s="563"/>
      <c r="E22" s="563"/>
      <c r="F22" s="563"/>
      <c r="G22" s="563"/>
      <c r="H22" s="563"/>
      <c r="I22" s="112"/>
      <c r="J22" s="560"/>
      <c r="K22" s="34"/>
      <c r="L22" s="563" t="str">
        <f>CONCATENATE(T16+2*T15-2*'4 Est2 DiagoArmDist'!C6-T28/10," cm")</f>
        <v>99,35 cm</v>
      </c>
      <c r="M22" s="563"/>
      <c r="N22" s="563"/>
      <c r="O22" s="34"/>
      <c r="P22" s="560"/>
      <c r="Q22" s="238"/>
      <c r="R22" s="34"/>
      <c r="S22" s="114" t="s">
        <v>190</v>
      </c>
      <c r="T22" s="119">
        <f>'4 Est 2 Armadlados'!E54</f>
        <v>12.5</v>
      </c>
      <c r="U22" s="283"/>
    </row>
    <row r="23" spans="1:21" x14ac:dyDescent="0.25">
      <c r="B23" s="41"/>
      <c r="C23" s="563" t="str">
        <f>CONCATENATE('4 Est2 DiagoArm'!G10," Ф ",T22," mm"," c/ ",'4 Est2 DiagoArm'!G23:G24," cm.")</f>
        <v>22 Ф 12,5 mm c/ 172 cm.</v>
      </c>
      <c r="D23" s="563"/>
      <c r="E23" s="563"/>
      <c r="F23" s="563"/>
      <c r="G23" s="34"/>
      <c r="H23" s="34"/>
      <c r="I23" s="34"/>
      <c r="J23" s="34"/>
      <c r="K23" s="559" t="str">
        <f>CONCATENATE('4 Est2 DiagoArmDist'!G10," Ф ",T26," mm"," c/ ",'4 Est2 DiagoArmDist'!G23:G24," cm.")</f>
        <v>31 Ф 6,3 mm c/ 114 cm.</v>
      </c>
      <c r="L23" s="559"/>
      <c r="M23" s="559"/>
      <c r="N23" s="559"/>
      <c r="O23" s="559"/>
      <c r="P23" s="34"/>
      <c r="Q23" s="34"/>
      <c r="R23" s="34"/>
      <c r="S23" s="114" t="s">
        <v>206</v>
      </c>
      <c r="T23" s="118">
        <f>'4 Est 2 Armadlados'!G11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'4 Est 2 Armadlados'!G21</f>
        <v>62.5</v>
      </c>
      <c r="U24" s="283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P25" s="34"/>
      <c r="Q25" s="34"/>
      <c r="R25" s="34"/>
      <c r="S25" s="594" t="s">
        <v>240</v>
      </c>
      <c r="T25" s="595"/>
      <c r="U25" s="283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114" t="s">
        <v>190</v>
      </c>
      <c r="T26" s="119">
        <f>'4 Est 2 Armlados dist'!E51</f>
        <v>6.3</v>
      </c>
      <c r="U26" s="283"/>
    </row>
    <row r="27" spans="1:21" ht="15.75" thickBot="1" x14ac:dyDescent="0.3">
      <c r="B27" s="41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114" t="s">
        <v>206</v>
      </c>
      <c r="T27" s="118">
        <f>'4 Est 2 Armlados dist'!G11</f>
        <v>1.1526315789473685</v>
      </c>
      <c r="U27" s="283"/>
    </row>
    <row r="28" spans="1:21" ht="18.75" thickBot="1" x14ac:dyDescent="0.4">
      <c r="B28" s="41"/>
      <c r="C28" s="34"/>
      <c r="D28" s="34"/>
      <c r="E28" s="34"/>
      <c r="F28" s="34"/>
      <c r="G28" s="34"/>
      <c r="H28" s="34"/>
      <c r="I28" s="566" t="s">
        <v>243</v>
      </c>
      <c r="J28" s="567"/>
      <c r="K28" s="567"/>
      <c r="L28" s="567"/>
      <c r="M28" s="567"/>
      <c r="N28" s="567"/>
      <c r="O28" s="567"/>
      <c r="P28" s="567"/>
      <c r="Q28" s="568"/>
      <c r="R28" s="237"/>
      <c r="S28" s="127" t="s">
        <v>207</v>
      </c>
      <c r="T28" s="128">
        <f>'4 Est 2 Armlados dist'!G21</f>
        <v>31.5</v>
      </c>
      <c r="U28" s="283"/>
    </row>
    <row r="29" spans="1:21" ht="18" x14ac:dyDescent="0.35">
      <c r="B29" s="41"/>
      <c r="C29" s="34"/>
      <c r="D29" s="34"/>
      <c r="E29" s="34"/>
      <c r="F29" s="34"/>
      <c r="G29" s="34"/>
      <c r="H29" s="34"/>
      <c r="I29" s="569" t="s">
        <v>194</v>
      </c>
      <c r="J29" s="570"/>
      <c r="K29" s="570" t="s">
        <v>193</v>
      </c>
      <c r="L29" s="570"/>
      <c r="M29" s="570" t="s">
        <v>192</v>
      </c>
      <c r="N29" s="570"/>
      <c r="O29" s="570" t="s">
        <v>191</v>
      </c>
      <c r="P29" s="570"/>
      <c r="Q29" s="571"/>
      <c r="R29" s="237"/>
      <c r="S29" s="34"/>
      <c r="T29" s="42"/>
    </row>
    <row r="30" spans="1:21" ht="15.75" thickBot="1" x14ac:dyDescent="0.3">
      <c r="B30" s="41"/>
      <c r="C30" s="34"/>
      <c r="D30" s="34"/>
      <c r="E30" s="34"/>
      <c r="F30" s="34"/>
      <c r="G30" s="34"/>
      <c r="H30" s="34"/>
      <c r="I30" s="573">
        <f>T22</f>
        <v>12.5</v>
      </c>
      <c r="J30" s="486"/>
      <c r="K30" s="564">
        <f>('4 Est2 DiagoArm'!G23/100)*'4 Est2 DiagoArm'!G10*2</f>
        <v>75.679999999999993</v>
      </c>
      <c r="L30" s="486"/>
      <c r="M30" s="486">
        <f>IF(T22=6.3,0.245,IF(T22=8,0.395,IF(T22=10,0.617,IF(T22=12.5,0.963,IF(T22=16,1.578,IF(T22=20,2.466))))))</f>
        <v>0.96299999999999997</v>
      </c>
      <c r="N30" s="486"/>
      <c r="O30" s="564">
        <f>(M30*K30)*1.1</f>
        <v>80.167823999999996</v>
      </c>
      <c r="P30" s="564"/>
      <c r="Q30" s="565"/>
      <c r="R30" s="237"/>
      <c r="S30" s="34"/>
      <c r="T30" s="42"/>
    </row>
    <row r="31" spans="1:21" ht="15.75" thickBot="1" x14ac:dyDescent="0.3">
      <c r="A31" s="42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237"/>
      <c r="S31" s="34"/>
      <c r="T31" s="42"/>
    </row>
    <row r="32" spans="1:21" ht="15.75" thickBot="1" x14ac:dyDescent="0.3">
      <c r="A32" s="42"/>
      <c r="B32" s="34"/>
      <c r="C32" s="34"/>
      <c r="D32" s="34"/>
      <c r="E32" s="34"/>
      <c r="F32" s="34"/>
      <c r="G32" s="34"/>
      <c r="H32" s="34"/>
      <c r="I32" s="566" t="s">
        <v>244</v>
      </c>
      <c r="J32" s="567"/>
      <c r="K32" s="567"/>
      <c r="L32" s="567"/>
      <c r="M32" s="567"/>
      <c r="N32" s="567"/>
      <c r="O32" s="567"/>
      <c r="P32" s="567"/>
      <c r="Q32" s="568"/>
      <c r="R32" s="237"/>
      <c r="S32" s="34"/>
      <c r="T32" s="42"/>
    </row>
    <row r="33" spans="1:20" ht="18" x14ac:dyDescent="0.35">
      <c r="A33" s="42"/>
      <c r="B33" s="34"/>
      <c r="C33" s="34"/>
      <c r="D33" s="34"/>
      <c r="E33" s="34"/>
      <c r="F33" s="34"/>
      <c r="G33" s="34"/>
      <c r="H33" s="34"/>
      <c r="I33" s="569" t="s">
        <v>194</v>
      </c>
      <c r="J33" s="570"/>
      <c r="K33" s="570" t="s">
        <v>193</v>
      </c>
      <c r="L33" s="570"/>
      <c r="M33" s="570" t="s">
        <v>192</v>
      </c>
      <c r="N33" s="570"/>
      <c r="O33" s="570" t="s">
        <v>191</v>
      </c>
      <c r="P33" s="570"/>
      <c r="Q33" s="571"/>
      <c r="R33" s="237"/>
      <c r="S33" s="34"/>
      <c r="T33" s="42"/>
    </row>
    <row r="34" spans="1:20" ht="15.75" thickBot="1" x14ac:dyDescent="0.3">
      <c r="A34" s="42"/>
      <c r="B34" s="34"/>
      <c r="C34" s="34"/>
      <c r="D34" s="34"/>
      <c r="E34" s="34"/>
      <c r="F34" s="34"/>
      <c r="G34" s="34"/>
      <c r="H34" s="34"/>
      <c r="I34" s="573">
        <f>T26</f>
        <v>6.3</v>
      </c>
      <c r="J34" s="486"/>
      <c r="K34" s="486">
        <f>('4 Est2 DiagoArmDist'!G23/100)*'4 Est2 DiagoArmDist'!G10*2</f>
        <v>70.679999999999993</v>
      </c>
      <c r="L34" s="486"/>
      <c r="M34" s="486">
        <f>IF(T26=6.3,0.245,IF(T26=8,0.395,IF(T26=10,0.617,IF(T26=12.5,0.963,IF(T26=16,1.578,IF(T26=20,2.466))))))</f>
        <v>0.245</v>
      </c>
      <c r="N34" s="486"/>
      <c r="O34" s="564">
        <f>(M34*K34)*1.1</f>
        <v>19.048259999999999</v>
      </c>
      <c r="P34" s="564"/>
      <c r="Q34" s="565"/>
      <c r="R34" s="237"/>
      <c r="S34" s="34"/>
      <c r="T34" s="42"/>
    </row>
    <row r="35" spans="1:20" ht="15.75" thickBot="1" x14ac:dyDescent="0.3">
      <c r="A35" s="42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2"/>
    </row>
    <row r="68" spans="4:7" x14ac:dyDescent="0.25">
      <c r="D68" s="381"/>
      <c r="E68" s="381"/>
      <c r="F68" s="381"/>
      <c r="G68" s="381"/>
    </row>
    <row r="69" spans="4:7" x14ac:dyDescent="0.25">
      <c r="D69" s="381"/>
      <c r="E69" s="381"/>
      <c r="F69" s="381"/>
      <c r="G69" s="381"/>
    </row>
    <row r="70" spans="4:7" x14ac:dyDescent="0.25">
      <c r="D70" s="381"/>
      <c r="E70" s="381"/>
      <c r="F70" s="381">
        <f>'[1]2 Estacas'!K7</f>
        <v>96</v>
      </c>
      <c r="G70" s="381"/>
    </row>
    <row r="71" spans="4:7" x14ac:dyDescent="0.25">
      <c r="D71" s="381"/>
      <c r="E71" s="381"/>
      <c r="F71" s="381"/>
      <c r="G71" s="381"/>
    </row>
  </sheetData>
  <mergeCells count="30">
    <mergeCell ref="I34:J34"/>
    <mergeCell ref="K34:L34"/>
    <mergeCell ref="M34:N34"/>
    <mergeCell ref="O34:Q34"/>
    <mergeCell ref="K17:O17"/>
    <mergeCell ref="I30:J30"/>
    <mergeCell ref="K30:L30"/>
    <mergeCell ref="M30:N30"/>
    <mergeCell ref="O30:Q30"/>
    <mergeCell ref="I32:Q32"/>
    <mergeCell ref="I33:J33"/>
    <mergeCell ref="K33:L33"/>
    <mergeCell ref="M33:N33"/>
    <mergeCell ref="O33:Q33"/>
    <mergeCell ref="K23:O23"/>
    <mergeCell ref="S25:T25"/>
    <mergeCell ref="I28:Q28"/>
    <mergeCell ref="I29:J29"/>
    <mergeCell ref="K29:L29"/>
    <mergeCell ref="M29:N29"/>
    <mergeCell ref="O29:Q29"/>
    <mergeCell ref="C23:F23"/>
    <mergeCell ref="B1:T2"/>
    <mergeCell ref="B20:B22"/>
    <mergeCell ref="G20:H22"/>
    <mergeCell ref="J20:J22"/>
    <mergeCell ref="P20:P22"/>
    <mergeCell ref="S21:T21"/>
    <mergeCell ref="C22:F22"/>
    <mergeCell ref="L22:N22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40294" r:id="rId3">
          <objectPr defaultSize="0" autoPict="0" r:id="rId4">
            <anchor moveWithCells="1">
              <from>
                <xdr:col>2</xdr:col>
                <xdr:colOff>9525</xdr:colOff>
                <xdr:row>3</xdr:row>
                <xdr:rowOff>57150</xdr:rowOff>
              </from>
              <to>
                <xdr:col>6</xdr:col>
                <xdr:colOff>38100</xdr:colOff>
                <xdr:row>15</xdr:row>
                <xdr:rowOff>19050</xdr:rowOff>
              </to>
            </anchor>
          </objectPr>
        </oleObject>
      </mc:Choice>
      <mc:Fallback>
        <oleObject progId="AutoCAD.Drawing.18" shapeId="140294" r:id="rId3"/>
      </mc:Fallback>
    </mc:AlternateContent>
    <mc:AlternateContent xmlns:mc="http://schemas.openxmlformats.org/markup-compatibility/2006">
      <mc:Choice Requires="x14">
        <oleObject progId="AutoCAD.Drawing.18" shapeId="140296" r:id="rId5">
          <objectPr defaultSize="0" autoPict="0" r:id="rId6">
            <anchor moveWithCells="1">
              <from>
                <xdr:col>9</xdr:col>
                <xdr:colOff>590550</xdr:colOff>
                <xdr:row>3</xdr:row>
                <xdr:rowOff>28575</xdr:rowOff>
              </from>
              <to>
                <xdr:col>15</xdr:col>
                <xdr:colOff>238125</xdr:colOff>
                <xdr:row>15</xdr:row>
                <xdr:rowOff>28575</xdr:rowOff>
              </to>
            </anchor>
          </objectPr>
        </oleObject>
      </mc:Choice>
      <mc:Fallback>
        <oleObject progId="AutoCAD.Drawing.18" shapeId="140296" r:id="rId5"/>
      </mc:Fallback>
    </mc:AlternateContent>
    <mc:AlternateContent xmlns:mc="http://schemas.openxmlformats.org/markup-compatibility/2006">
      <mc:Choice Requires="x14">
        <oleObject progId="AutoCAD.Drawing.18" shapeId="140297" r:id="rId7">
          <objectPr defaultSize="0" autoPict="0" r:id="rId8">
            <anchor>
              <from>
                <xdr:col>0</xdr:col>
                <xdr:colOff>0</xdr:colOff>
                <xdr:row>15</xdr:row>
                <xdr:rowOff>114300</xdr:rowOff>
              </from>
              <to>
                <xdr:col>9</xdr:col>
                <xdr:colOff>57150</xdr:colOff>
                <xdr:row>23</xdr:row>
                <xdr:rowOff>47625</xdr:rowOff>
              </to>
            </anchor>
          </objectPr>
        </oleObject>
      </mc:Choice>
      <mc:Fallback>
        <oleObject progId="AutoCAD.Drawing.18" shapeId="140297" r:id="rId7"/>
      </mc:Fallback>
    </mc:AlternateContent>
    <mc:AlternateContent xmlns:mc="http://schemas.openxmlformats.org/markup-compatibility/2006">
      <mc:Choice Requires="x14">
        <oleObject progId="AutoCAD.Drawing.18" shapeId="140298" r:id="rId9">
          <objectPr defaultSize="0" autoPict="0" r:id="rId10">
            <anchor>
              <from>
                <xdr:col>9</xdr:col>
                <xdr:colOff>266700</xdr:colOff>
                <xdr:row>19</xdr:row>
                <xdr:rowOff>0</xdr:rowOff>
              </from>
              <to>
                <xdr:col>15</xdr:col>
                <xdr:colOff>342900</xdr:colOff>
                <xdr:row>23</xdr:row>
                <xdr:rowOff>76200</xdr:rowOff>
              </to>
            </anchor>
          </objectPr>
        </oleObject>
      </mc:Choice>
      <mc:Fallback>
        <oleObject progId="AutoCAD.Drawing.18" shapeId="140298" r:id="rId9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91" r:id="rId11" name="Button 3">
              <controlPr defaultSize="0" print="0" autoFill="0" autoPict="0" macro="[0]!macro109">
                <anchor moveWithCells="1" sizeWithCells="1">
                  <from>
                    <xdr:col>18</xdr:col>
                    <xdr:colOff>276225</xdr:colOff>
                    <xdr:row>28</xdr:row>
                    <xdr:rowOff>209550</xdr:rowOff>
                  </from>
                  <to>
                    <xdr:col>19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AG40"/>
  <sheetViews>
    <sheetView showGridLines="0" showRowColHeaders="0" zoomScale="85" zoomScaleNormal="85" workbookViewId="0"/>
  </sheetViews>
  <sheetFormatPr defaultRowHeight="15" x14ac:dyDescent="0.25"/>
  <cols>
    <col min="9" max="9" width="9.140625" customWidth="1"/>
    <col min="11" max="11" width="11.7109375" bestFit="1" customWidth="1"/>
    <col min="12" max="12" width="12" bestFit="1" customWidth="1"/>
    <col min="18" max="18" width="21.42578125" bestFit="1" customWidth="1"/>
    <col min="20" max="20" width="19.7109375" bestFit="1" customWidth="1"/>
    <col min="21" max="21" width="12.5703125" bestFit="1" customWidth="1"/>
    <col min="29" max="29" width="21.42578125" bestFit="1" customWidth="1"/>
    <col min="30" max="31" width="12" bestFit="1" customWidth="1"/>
    <col min="32" max="32" width="12.5703125" bestFit="1" customWidth="1"/>
  </cols>
  <sheetData>
    <row r="1" spans="2:33" ht="15.75" thickBot="1" x14ac:dyDescent="0.3"/>
    <row r="2" spans="2:33" ht="15.75" thickBot="1" x14ac:dyDescent="0.3">
      <c r="B2" s="20"/>
      <c r="C2" s="92"/>
      <c r="D2" s="92"/>
      <c r="E2" s="92"/>
      <c r="F2" s="92"/>
      <c r="G2" s="92"/>
      <c r="H2" s="92"/>
      <c r="I2" s="21"/>
    </row>
    <row r="3" spans="2:33" ht="15.75" thickBot="1" x14ac:dyDescent="0.3">
      <c r="B3" s="41"/>
      <c r="C3" s="34"/>
      <c r="D3" s="34"/>
      <c r="E3" s="34"/>
      <c r="F3" s="34"/>
      <c r="G3" s="34"/>
      <c r="H3" s="34"/>
      <c r="I3" s="42"/>
      <c r="R3" s="461" t="s">
        <v>170</v>
      </c>
      <c r="S3" s="462"/>
      <c r="T3" s="24"/>
      <c r="AC3" t="s">
        <v>299</v>
      </c>
      <c r="AD3">
        <f>Entradas2!F5</f>
        <v>2</v>
      </c>
    </row>
    <row r="4" spans="2:33" ht="15.75" thickBot="1" x14ac:dyDescent="0.3">
      <c r="B4" s="41"/>
      <c r="C4" s="34"/>
      <c r="D4" s="34"/>
      <c r="E4" s="34"/>
      <c r="F4" s="34"/>
      <c r="G4" s="34"/>
      <c r="H4" s="34"/>
      <c r="I4" s="42"/>
      <c r="L4" s="89" t="s">
        <v>77</v>
      </c>
      <c r="M4" s="90" t="s">
        <v>78</v>
      </c>
      <c r="N4" s="90" t="s">
        <v>80</v>
      </c>
      <c r="O4" s="90" t="s">
        <v>81</v>
      </c>
      <c r="P4" s="91" t="s">
        <v>82</v>
      </c>
      <c r="R4" s="463"/>
      <c r="S4" s="464"/>
      <c r="T4" s="24"/>
    </row>
    <row r="5" spans="2:33" ht="15.75" thickBot="1" x14ac:dyDescent="0.3">
      <c r="B5" s="41"/>
      <c r="C5" s="34"/>
      <c r="D5" s="34"/>
      <c r="E5" s="34"/>
      <c r="F5" s="34"/>
      <c r="G5" s="34"/>
      <c r="H5" s="34"/>
      <c r="I5" s="42"/>
      <c r="K5" s="72" t="s">
        <v>73</v>
      </c>
      <c r="L5" s="75">
        <f>Entradas2!C22</f>
        <v>23</v>
      </c>
      <c r="M5" s="52">
        <f>Entradas2!C22</f>
        <v>23</v>
      </c>
      <c r="N5" s="52">
        <f>Entradas2!C22</f>
        <v>23</v>
      </c>
      <c r="O5" s="52">
        <f>Entradas2!C22</f>
        <v>23</v>
      </c>
      <c r="P5" s="50">
        <f>Entradas2!C22</f>
        <v>23</v>
      </c>
      <c r="R5" s="24"/>
      <c r="S5" s="24"/>
      <c r="T5" s="24"/>
      <c r="AC5" s="97" t="s">
        <v>86</v>
      </c>
      <c r="AD5">
        <f>Entradas2!C12</f>
        <v>45</v>
      </c>
      <c r="AF5" s="97" t="s">
        <v>108</v>
      </c>
      <c r="AG5">
        <f>Entradas2!C9*AE7/100</f>
        <v>0</v>
      </c>
    </row>
    <row r="6" spans="2:33" x14ac:dyDescent="0.25">
      <c r="B6" s="41"/>
      <c r="C6" s="34"/>
      <c r="D6" s="34"/>
      <c r="E6" s="34"/>
      <c r="F6" s="34"/>
      <c r="G6" s="34"/>
      <c r="H6" s="34"/>
      <c r="I6" s="42"/>
      <c r="K6" s="73" t="s">
        <v>69</v>
      </c>
      <c r="L6" s="76">
        <f>L5/2+15</f>
        <v>26.5</v>
      </c>
      <c r="M6" s="48">
        <f>M5/2+15</f>
        <v>26.5</v>
      </c>
      <c r="N6" s="48">
        <f>N5/2+15</f>
        <v>26.5</v>
      </c>
      <c r="O6" s="48">
        <f>O5/2+15</f>
        <v>26.5</v>
      </c>
      <c r="P6" s="57">
        <f>P5/2+15</f>
        <v>26.5</v>
      </c>
      <c r="R6" s="146" t="s">
        <v>172</v>
      </c>
      <c r="S6" s="147">
        <f>AE7/100</f>
        <v>0.65</v>
      </c>
      <c r="T6" s="579" t="s">
        <v>210</v>
      </c>
      <c r="Z6" t="s">
        <v>122</v>
      </c>
      <c r="AA6">
        <f>(SQRT((L8^2)+(L9^2)))*100</f>
        <v>41.463839667835877</v>
      </c>
      <c r="AC6" s="97" t="s">
        <v>102</v>
      </c>
      <c r="AD6" s="99">
        <f>LARGE(AA6:AA8,1)</f>
        <v>60.852280154485584</v>
      </c>
      <c r="AF6" s="97" t="s">
        <v>109</v>
      </c>
      <c r="AG6">
        <f>Entradas2!C8*AE7/100</f>
        <v>0</v>
      </c>
    </row>
    <row r="7" spans="2:33" ht="15.75" thickBot="1" x14ac:dyDescent="0.3">
      <c r="B7" s="41"/>
      <c r="C7" s="34"/>
      <c r="D7" s="34"/>
      <c r="E7" s="34"/>
      <c r="F7" s="34"/>
      <c r="G7" s="34"/>
      <c r="H7" s="34"/>
      <c r="I7" s="42"/>
      <c r="K7" s="73" t="s">
        <v>79</v>
      </c>
      <c r="L7" s="76">
        <f>Entradas2!C22*Entradas2!L21</f>
        <v>57.5</v>
      </c>
      <c r="M7" s="48">
        <f>Entradas2!C22*Entradas2!L21</f>
        <v>57.5</v>
      </c>
      <c r="N7" s="48">
        <f>Entradas2!C22*Entradas2!L21</f>
        <v>57.5</v>
      </c>
      <c r="O7" s="48">
        <f>Entradas2!C22*Entradas2!L21</f>
        <v>57.5</v>
      </c>
      <c r="P7" s="57">
        <f>Entradas2!C22*Entradas2!L21</f>
        <v>57.5</v>
      </c>
      <c r="R7" s="148" t="s">
        <v>173</v>
      </c>
      <c r="S7" s="149">
        <f>AD8/100</f>
        <v>0.75</v>
      </c>
      <c r="T7" s="580"/>
      <c r="Z7" s="99" t="s">
        <v>124</v>
      </c>
      <c r="AA7" s="99">
        <f>(SQRT((N8^2)+(N9^2)))*100</f>
        <v>60.852280154485584</v>
      </c>
      <c r="AC7" s="97" t="s">
        <v>103</v>
      </c>
      <c r="AD7">
        <f>AD6*(TAN(RADIANS(AD5)))</f>
        <v>60.852280154485577</v>
      </c>
      <c r="AE7">
        <f>CEILING(AD7,5)</f>
        <v>65</v>
      </c>
    </row>
    <row r="8" spans="2:33" ht="18" x14ac:dyDescent="0.25">
      <c r="B8" s="41"/>
      <c r="C8" s="34"/>
      <c r="D8" s="34"/>
      <c r="E8" s="34"/>
      <c r="F8" s="34"/>
      <c r="G8" s="34"/>
      <c r="H8" s="34"/>
      <c r="I8" s="42"/>
      <c r="K8" s="73" t="s">
        <v>98</v>
      </c>
      <c r="L8" s="76">
        <f>-L7/200</f>
        <v>-0.28749999999999998</v>
      </c>
      <c r="M8" s="48">
        <f>M7/200</f>
        <v>0.28749999999999998</v>
      </c>
      <c r="N8" s="48">
        <f>-N7/100</f>
        <v>-0.57499999999999996</v>
      </c>
      <c r="O8" s="48">
        <v>0</v>
      </c>
      <c r="P8" s="57">
        <f>P7/100</f>
        <v>0.57499999999999996</v>
      </c>
      <c r="R8" s="146" t="s">
        <v>174</v>
      </c>
      <c r="S8" s="147">
        <f>AD18</f>
        <v>35605.295711970473</v>
      </c>
      <c r="T8" s="586" t="str">
        <f>IF(S8&gt;S9,"Opção: Aumentar o fck do Concreto","Verificação Atendida")</f>
        <v>Opção: Aumentar o fck do Concreto</v>
      </c>
      <c r="Z8" t="s">
        <v>125</v>
      </c>
      <c r="AA8">
        <f>(SQRT((O9^2)))*100</f>
        <v>19.918584287042087</v>
      </c>
      <c r="AC8" s="97" t="s">
        <v>104</v>
      </c>
      <c r="AD8">
        <f>AE7+10</f>
        <v>75</v>
      </c>
    </row>
    <row r="9" spans="2:33" ht="18.75" thickBot="1" x14ac:dyDescent="0.3">
      <c r="B9" s="41"/>
      <c r="C9" s="34"/>
      <c r="D9" s="34"/>
      <c r="E9" s="34"/>
      <c r="F9" s="34"/>
      <c r="G9" s="34"/>
      <c r="H9" s="34"/>
      <c r="I9" s="42"/>
      <c r="K9" s="73" t="s">
        <v>101</v>
      </c>
      <c r="L9" s="76">
        <f>(3*L7*SIN(60*PI()/180)/5)/100</f>
        <v>0.29877876430563133</v>
      </c>
      <c r="M9" s="48">
        <f>(3*L7*SIN(60*PI()/180)/5)/100</f>
        <v>0.29877876430563133</v>
      </c>
      <c r="N9" s="48">
        <f>-(2*N7*SIN(60*PI()/180)/5)/100</f>
        <v>-0.19918584287042088</v>
      </c>
      <c r="O9" s="48">
        <f>-(2*N7*SIN(60*PI()/180)/5)/100</f>
        <v>-0.19918584287042088</v>
      </c>
      <c r="P9" s="57">
        <f>-(2*N7*SIN(60*PI()/180)/5)/100</f>
        <v>-0.19918584287042088</v>
      </c>
      <c r="R9" s="150" t="s">
        <v>212</v>
      </c>
      <c r="S9" s="151">
        <f>AD15</f>
        <v>9642.8571428571449</v>
      </c>
      <c r="T9" s="587"/>
      <c r="AC9" s="97" t="s">
        <v>87</v>
      </c>
      <c r="AD9">
        <f>(PI()*(L5^2)/4)/10000</f>
        <v>4.154756284372501E-2</v>
      </c>
    </row>
    <row r="10" spans="2:33" ht="18" x14ac:dyDescent="0.25">
      <c r="B10" s="41"/>
      <c r="C10" s="34"/>
      <c r="D10" s="34"/>
      <c r="E10" s="34"/>
      <c r="F10" s="34"/>
      <c r="G10" s="34"/>
      <c r="H10" s="34"/>
      <c r="I10" s="42"/>
      <c r="K10" s="73" t="s">
        <v>72</v>
      </c>
      <c r="L10" s="76">
        <f>SUMSQ(L8:P8)</f>
        <v>0.82656249999999987</v>
      </c>
      <c r="M10" s="48">
        <f>SUMSQ(L8:P8)</f>
        <v>0.82656249999999987</v>
      </c>
      <c r="N10" s="48">
        <f>SUMSQ(L8:P8)</f>
        <v>0.82656249999999987</v>
      </c>
      <c r="O10" s="48">
        <f>SUMSQ(L8:P8)</f>
        <v>0.82656249999999987</v>
      </c>
      <c r="P10" s="57">
        <f>SUMSQ(L8:P8)</f>
        <v>0.82656249999999987</v>
      </c>
      <c r="R10" s="146" t="s">
        <v>175</v>
      </c>
      <c r="S10" s="147">
        <f>AD24</f>
        <v>11834.506089300046</v>
      </c>
      <c r="T10" s="586" t="str">
        <f>IF(S10&gt;S11,"Opção: Aumentar a Sessão do Pilar","Verificação Atendida")</f>
        <v>Verificação Atendida</v>
      </c>
      <c r="AC10" s="97" t="s">
        <v>88</v>
      </c>
      <c r="AD10">
        <f>AD9*SIN(RADIANS(AD5))</f>
        <v>2.9378563428572192E-2</v>
      </c>
    </row>
    <row r="11" spans="2:33" ht="18.75" thickBot="1" x14ac:dyDescent="0.3">
      <c r="B11" s="41"/>
      <c r="C11" s="34"/>
      <c r="D11" s="34"/>
      <c r="E11" s="34"/>
      <c r="F11" s="34"/>
      <c r="G11" s="34"/>
      <c r="H11" s="34"/>
      <c r="I11" s="42"/>
      <c r="K11" s="73" t="s">
        <v>74</v>
      </c>
      <c r="L11" s="76">
        <f>SUMSQ(L9:P9)</f>
        <v>0.29756250000000001</v>
      </c>
      <c r="M11" s="48">
        <f>SUMSQ(L9:P9)</f>
        <v>0.29756250000000001</v>
      </c>
      <c r="N11" s="48">
        <f>SUMSQ(L9:P9)</f>
        <v>0.29756250000000001</v>
      </c>
      <c r="O11" s="48">
        <f>SUMSQ(L9:P9)</f>
        <v>0.29756250000000001</v>
      </c>
      <c r="P11" s="57">
        <f>SUMSQ(L9:P9)</f>
        <v>0.29756250000000001</v>
      </c>
      <c r="R11" s="150" t="s">
        <v>176</v>
      </c>
      <c r="S11" s="151">
        <f>AD29</f>
        <v>15178.571428571429</v>
      </c>
      <c r="T11" s="587"/>
    </row>
    <row r="12" spans="2:33" ht="18.75" thickBot="1" x14ac:dyDescent="0.3">
      <c r="B12" s="41"/>
      <c r="C12" s="34"/>
      <c r="D12" s="34"/>
      <c r="E12" s="34"/>
      <c r="F12" s="34"/>
      <c r="G12" s="34"/>
      <c r="H12" s="34"/>
      <c r="I12" s="42"/>
      <c r="K12" s="158" t="s">
        <v>76</v>
      </c>
      <c r="L12" s="176">
        <f>(Entradas2!$C$5/Entradas2!$F$5)-($AG$5+Entradas2!$C$6)*ABS('5 Estacas1'!L9)/'5 Estacas1'!L11-('5 Estacas1'!$AG$6+Entradas2!$C$7)*ABS('5 Estacas1'!L8)/'5 Estacas1'!L10</f>
        <v>486.48086488365874</v>
      </c>
      <c r="M12" s="177">
        <f>(Entradas2!$C$5/Entradas2!$F$5)-($AG$5+Entradas2!$C$6)*ABS('5 Estacas1'!M9)/'5 Estacas1'!M11+('5 Estacas1'!$AG$6+Entradas2!$C$7)*ABS('5 Estacas1'!M8)/'5 Estacas1'!M10</f>
        <v>493.43738662278912</v>
      </c>
      <c r="N12" s="177">
        <f>(Entradas2!$C$5/Entradas2!$F$5)+($AG$5+Entradas2!$C$6)*ABS('5 Estacas1'!N9)/'5 Estacas1'!N11-('5 Estacas1'!$AG$6+Entradas2!$C$7)*ABS('5 Estacas1'!N8)/'5 Estacas1'!N10</f>
        <v>499.73739442538698</v>
      </c>
      <c r="O12" s="59">
        <f>(Entradas2!$C$5/Entradas2!$F$5)+($AG$5+Entradas2!$C$6)*ABS('5 Estacas1'!O9)/'5 Estacas1'!O11</f>
        <v>506.69391616451742</v>
      </c>
      <c r="P12" s="58">
        <f>(Entradas2!$C$5/Entradas2!$F$5)+($AG$5+Entradas2!$C$6)*ABS('5 Estacas1'!P9)/'5 Estacas1'!P11+('5 Estacas1'!$AG$6+Entradas2!$C$7)*ABS('5 Estacas1'!P8)/'5 Estacas1'!P10</f>
        <v>513.6504379036478</v>
      </c>
      <c r="R12" s="152" t="s">
        <v>177</v>
      </c>
      <c r="S12" s="147">
        <f>AD33</f>
        <v>5329.3362060803338</v>
      </c>
      <c r="T12" s="586" t="str">
        <f>IF(S12&gt;S13,"Opção: Aumentar o Diâmetro da Estaca","Verificação Atendida")</f>
        <v>Opção: Aumentar o Diâmetro da Estaca</v>
      </c>
      <c r="AC12" s="98" t="s">
        <v>90</v>
      </c>
      <c r="AD12">
        <f>(M15)/(AD10*SIN(RADIANS(AD5)))</f>
        <v>24725.899799979496</v>
      </c>
      <c r="AF12" s="97" t="s">
        <v>113</v>
      </c>
      <c r="AG12">
        <f>M15/(SIN(RADIANS(AD5)))</f>
        <v>726.41141560221809</v>
      </c>
    </row>
    <row r="13" spans="2:33" ht="18.75" thickBot="1" x14ac:dyDescent="0.3">
      <c r="B13" s="41"/>
      <c r="C13" s="34"/>
      <c r="D13" s="34"/>
      <c r="E13" s="34"/>
      <c r="F13" s="34"/>
      <c r="G13" s="34"/>
      <c r="H13" s="34"/>
      <c r="I13" s="42"/>
      <c r="R13" s="153" t="s">
        <v>178</v>
      </c>
      <c r="S13" s="151">
        <f>AD36</f>
        <v>2564.9639200150441</v>
      </c>
      <c r="T13" s="587"/>
      <c r="AF13" s="97" t="s">
        <v>114</v>
      </c>
      <c r="AG13">
        <f>AG12*Entradas2!C16*Entradas2!C19</f>
        <v>1046.032438467194</v>
      </c>
    </row>
    <row r="14" spans="2:33" ht="18.75" thickBot="1" x14ac:dyDescent="0.3">
      <c r="B14" s="41"/>
      <c r="C14" s="34"/>
      <c r="D14" s="34"/>
      <c r="E14" s="34"/>
      <c r="F14" s="34"/>
      <c r="G14" s="34"/>
      <c r="H14" s="34"/>
      <c r="I14" s="42"/>
      <c r="K14" s="615" t="s">
        <v>183</v>
      </c>
      <c r="L14" s="616"/>
      <c r="M14" s="617"/>
      <c r="R14" s="154" t="s">
        <v>179</v>
      </c>
      <c r="S14" s="155">
        <f>AD38</f>
        <v>739.6566305812529</v>
      </c>
      <c r="T14" s="24"/>
      <c r="AC14" s="98" t="s">
        <v>107</v>
      </c>
      <c r="AD14">
        <f>0.6*(1-Entradas2!C13/250)*AD27</f>
        <v>9.6428571428571441</v>
      </c>
    </row>
    <row r="15" spans="2:33" ht="15.75" thickBot="1" x14ac:dyDescent="0.3">
      <c r="B15" s="41"/>
      <c r="C15" s="34"/>
      <c r="D15" s="34"/>
      <c r="E15" s="34"/>
      <c r="F15" s="34"/>
      <c r="G15" s="34"/>
      <c r="H15" s="34"/>
      <c r="I15" s="42"/>
      <c r="K15" s="325" t="str">
        <f>IF(M15=L12,"Estaca E1",IF(M15=M12,"Estaca E2",IF(M15=N12,"Estaca E3",IF(M15=O12,"Estaca E4",IF(M15=P12,"Estaca E5")))))</f>
        <v>Estaca E5</v>
      </c>
      <c r="L15" s="130" t="s">
        <v>75</v>
      </c>
      <c r="M15" s="131">
        <f>LARGE(L12:P12,1)</f>
        <v>513.6504379036478</v>
      </c>
      <c r="R15" s="24"/>
      <c r="S15" s="24"/>
      <c r="T15" s="24"/>
      <c r="AC15" s="98" t="s">
        <v>89</v>
      </c>
      <c r="AD15">
        <f>AD14*1000</f>
        <v>9642.8571428571449</v>
      </c>
    </row>
    <row r="16" spans="2:33" ht="15.75" thickBot="1" x14ac:dyDescent="0.3">
      <c r="B16" s="41"/>
      <c r="C16" s="34"/>
      <c r="D16" s="34"/>
      <c r="E16" s="34"/>
      <c r="F16" s="34"/>
      <c r="G16" s="34"/>
      <c r="H16" s="34"/>
      <c r="I16" s="42"/>
      <c r="K16" s="169" t="s">
        <v>99</v>
      </c>
      <c r="L16" s="170">
        <f>IF($K$15=$L$4,L8,IF($K$15=$M$4,M8,IF($K$15=$N$4,N8,IF($K$15=$O$4,O8,IF($K$15=$P$4,P8)))))</f>
        <v>0.57499999999999996</v>
      </c>
      <c r="R16" s="502" t="s">
        <v>180</v>
      </c>
      <c r="S16" s="503"/>
      <c r="T16" s="504"/>
      <c r="AC16" s="97" t="s">
        <v>91</v>
      </c>
      <c r="AD16">
        <f>M15*Entradas2!C16*Entradas2!C19</f>
        <v>739.65663058125278</v>
      </c>
    </row>
    <row r="17" spans="2:33" ht="17.25" customHeight="1" thickBot="1" x14ac:dyDescent="0.3">
      <c r="B17" s="22"/>
      <c r="C17" s="93"/>
      <c r="D17" s="93"/>
      <c r="E17" s="93"/>
      <c r="F17" s="93"/>
      <c r="G17" s="93"/>
      <c r="H17" s="93"/>
      <c r="I17" s="23"/>
      <c r="K17" s="109" t="s">
        <v>100</v>
      </c>
      <c r="L17" s="324">
        <f>IF($K$15=$L$4,L9,IF($K$15=$M$4,M9,IF($K$15=$N$4,N9,IF($K$15=$O$4,O9,IF($K$15=$P$4,P9)))))</f>
        <v>-0.19918584287042088</v>
      </c>
      <c r="R17" s="156"/>
      <c r="S17" s="584" t="s">
        <v>181</v>
      </c>
      <c r="T17" s="539"/>
    </row>
    <row r="18" spans="2:33" ht="15.75" thickBot="1" x14ac:dyDescent="0.3">
      <c r="R18" s="157"/>
      <c r="S18" s="585" t="s">
        <v>182</v>
      </c>
      <c r="T18" s="501"/>
      <c r="AC18" s="98" t="s">
        <v>92</v>
      </c>
      <c r="AD18">
        <f>(AD16)/(AD10*SIN(RADIANS(AD5)))</f>
        <v>35605.295711970473</v>
      </c>
    </row>
    <row r="19" spans="2:33" ht="15.75" thickBot="1" x14ac:dyDescent="0.3"/>
    <row r="20" spans="2:33" x14ac:dyDescent="0.25">
      <c r="B20" s="472" t="str">
        <f>IF(AD3=5,"Bloco Selecionado está Correto","Bloco Selecionado Incorreto")</f>
        <v>Bloco Selecionado Incorreto</v>
      </c>
      <c r="C20" s="473"/>
      <c r="D20" s="473"/>
      <c r="E20" s="473"/>
      <c r="F20" s="473"/>
      <c r="G20" s="473"/>
      <c r="H20" s="474"/>
      <c r="K20" s="478" t="str">
        <f>IF(M15&gt;Entradas2!$C$24,"ATENÇÃO: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L20" s="479"/>
      <c r="M20" s="479"/>
      <c r="N20" s="480"/>
      <c r="AC20" s="97" t="s">
        <v>93</v>
      </c>
      <c r="AD20">
        <f>Entradas2!C11*Entradas2!C10</f>
        <v>2500</v>
      </c>
    </row>
    <row r="21" spans="2:33" ht="15.75" thickBot="1" x14ac:dyDescent="0.3">
      <c r="B21" s="475"/>
      <c r="C21" s="476"/>
      <c r="D21" s="476"/>
      <c r="E21" s="476"/>
      <c r="F21" s="476"/>
      <c r="G21" s="476"/>
      <c r="H21" s="477"/>
      <c r="K21" s="481"/>
      <c r="L21" s="482"/>
      <c r="M21" s="482"/>
      <c r="N21" s="483"/>
      <c r="AC21" s="97" t="s">
        <v>94</v>
      </c>
      <c r="AD21">
        <f>AD20/10000</f>
        <v>0.25</v>
      </c>
    </row>
    <row r="22" spans="2:33" x14ac:dyDescent="0.25">
      <c r="AC22" s="97" t="s">
        <v>95</v>
      </c>
      <c r="AD22">
        <f>(AD21*SIN(RADIANS(AD5)))/Entradas2!F5</f>
        <v>8.8388347648318433E-2</v>
      </c>
    </row>
    <row r="24" spans="2:33" x14ac:dyDescent="0.25">
      <c r="AC24" s="97" t="s">
        <v>110</v>
      </c>
      <c r="AD24">
        <f>AG13/AD22</f>
        <v>11834.506089300046</v>
      </c>
    </row>
    <row r="27" spans="2:33" x14ac:dyDescent="0.25">
      <c r="AC27" s="97" t="s">
        <v>105</v>
      </c>
      <c r="AD27">
        <f>Entradas2!C13/Entradas2!C17</f>
        <v>17.857142857142858</v>
      </c>
      <c r="AF27" s="97" t="s">
        <v>120</v>
      </c>
      <c r="AG27">
        <f>AD27*1000</f>
        <v>17857.142857142859</v>
      </c>
    </row>
    <row r="28" spans="2:33" x14ac:dyDescent="0.25">
      <c r="AC28" s="96"/>
    </row>
    <row r="29" spans="2:33" x14ac:dyDescent="0.25">
      <c r="AC29" s="98" t="s">
        <v>96</v>
      </c>
      <c r="AD29">
        <f>0.85*(AG27)</f>
        <v>15178.571428571429</v>
      </c>
    </row>
    <row r="30" spans="2:33" x14ac:dyDescent="0.25">
      <c r="AC30" s="96"/>
    </row>
    <row r="31" spans="2:33" x14ac:dyDescent="0.25">
      <c r="AC31" s="97" t="s">
        <v>111</v>
      </c>
      <c r="AD31">
        <f>(AD22+AD10)/2</f>
        <v>5.888345553844531E-2</v>
      </c>
    </row>
    <row r="33" spans="29:31" x14ac:dyDescent="0.25">
      <c r="AC33" s="98" t="s">
        <v>112</v>
      </c>
      <c r="AD33">
        <f>(0.3*AG13)/AD31</f>
        <v>5329.3362060803338</v>
      </c>
    </row>
    <row r="35" spans="29:31" x14ac:dyDescent="0.25">
      <c r="AC35" s="98" t="s">
        <v>116</v>
      </c>
      <c r="AD35" t="s">
        <v>119</v>
      </c>
      <c r="AE35">
        <f>0.3*((Entradas2!C13)^(2/3))</f>
        <v>2.5649639200150443</v>
      </c>
    </row>
    <row r="36" spans="29:31" x14ac:dyDescent="0.25">
      <c r="AC36" s="98" t="s">
        <v>115</v>
      </c>
      <c r="AD36">
        <f>AE35*1000</f>
        <v>2564.9639200150441</v>
      </c>
    </row>
    <row r="38" spans="29:31" x14ac:dyDescent="0.25">
      <c r="AC38" s="98" t="s">
        <v>118</v>
      </c>
      <c r="AD38">
        <f>AG13*COS(RADIANS(AD5))</f>
        <v>739.6566305812529</v>
      </c>
    </row>
    <row r="40" spans="29:31" x14ac:dyDescent="0.25">
      <c r="AC40" s="98" t="s">
        <v>218</v>
      </c>
      <c r="AD40">
        <f>Entradas2!C24</f>
        <v>670</v>
      </c>
    </row>
  </sheetData>
  <sheetProtection password="DED7" sheet="1" objects="1" scenarios="1"/>
  <mergeCells count="11">
    <mergeCell ref="K14:M14"/>
    <mergeCell ref="R3:S4"/>
    <mergeCell ref="T6:T7"/>
    <mergeCell ref="T8:T9"/>
    <mergeCell ref="T10:T11"/>
    <mergeCell ref="T12:T13"/>
    <mergeCell ref="R16:T16"/>
    <mergeCell ref="S17:T17"/>
    <mergeCell ref="S18:T18"/>
    <mergeCell ref="K20:N21"/>
    <mergeCell ref="B20:H21"/>
  </mergeCells>
  <conditionalFormatting sqref="R8:S9">
    <cfRule type="expression" dxfId="49" priority="20">
      <formula>$S$9&gt;=$S$8</formula>
    </cfRule>
    <cfRule type="expression" dxfId="48" priority="21">
      <formula>$S$8&gt;$S$9</formula>
    </cfRule>
  </conditionalFormatting>
  <conditionalFormatting sqref="R12:S13">
    <cfRule type="expression" dxfId="47" priority="16">
      <formula>$S$12&gt;$S$13</formula>
    </cfRule>
    <cfRule type="expression" dxfId="46" priority="17">
      <formula>$S$13&gt;=$S$12</formula>
    </cfRule>
  </conditionalFormatting>
  <conditionalFormatting sqref="R10:S11">
    <cfRule type="expression" dxfId="45" priority="8">
      <formula>$S$10&gt;$S$11</formula>
    </cfRule>
    <cfRule type="expression" dxfId="44" priority="9">
      <formula>$S$11&gt;=$S$10</formula>
    </cfRule>
  </conditionalFormatting>
  <conditionalFormatting sqref="K20:N21">
    <cfRule type="expression" dxfId="43" priority="5">
      <formula>$M$15&lt;=$AD$40</formula>
    </cfRule>
    <cfRule type="expression" dxfId="42" priority="6">
      <formula>$M$15&gt;$AD$40</formula>
    </cfRule>
  </conditionalFormatting>
  <conditionalFormatting sqref="B20:H21">
    <cfRule type="expression" dxfId="41" priority="1">
      <formula>$AD$3&lt;5</formula>
    </cfRule>
    <cfRule type="expression" dxfId="40" priority="2">
      <formula>$AD$3=5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utoCAD.Drawing.18" shapeId="10245" r:id="rId4">
          <objectPr defaultSize="0" autoPict="0" r:id="rId5">
            <anchor moveWithCells="1">
              <from>
                <xdr:col>1</xdr:col>
                <xdr:colOff>38100</xdr:colOff>
                <xdr:row>1</xdr:row>
                <xdr:rowOff>28575</xdr:rowOff>
              </from>
              <to>
                <xdr:col>8</xdr:col>
                <xdr:colOff>590550</xdr:colOff>
                <xdr:row>15</xdr:row>
                <xdr:rowOff>66675</xdr:rowOff>
              </to>
            </anchor>
          </objectPr>
        </oleObject>
      </mc:Choice>
      <mc:Fallback>
        <oleObject progId="AutoCAD.Drawing.18" shapeId="102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antes2">
                <anchor moveWithCells="1" sizeWithCells="1">
                  <from>
                    <xdr:col>16</xdr:col>
                    <xdr:colOff>114300</xdr:colOff>
                    <xdr:row>19</xdr:row>
                    <xdr:rowOff>9525</xdr:rowOff>
                  </from>
                  <to>
                    <xdr:col>17</xdr:col>
                    <xdr:colOff>1219200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macro110">
                <anchor moveWithCells="1" sizeWithCells="1">
                  <from>
                    <xdr:col>18</xdr:col>
                    <xdr:colOff>190500</xdr:colOff>
                    <xdr:row>19</xdr:row>
                    <xdr:rowOff>9525</xdr:rowOff>
                  </from>
                  <to>
                    <xdr:col>19</xdr:col>
                    <xdr:colOff>1295400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21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2.42578125" customWidth="1"/>
    <col min="7" max="7" width="11" customWidth="1"/>
    <col min="8" max="8" width="8.85546875" customWidth="1"/>
    <col min="17" max="17" width="16.85546875" customWidth="1"/>
    <col min="18" max="18" width="10.28515625" bestFit="1" customWidth="1"/>
    <col min="19" max="19" width="12.5703125" customWidth="1"/>
    <col min="20" max="20" width="12.7109375" customWidth="1"/>
  </cols>
  <sheetData>
    <row r="1" spans="2:22" x14ac:dyDescent="0.25">
      <c r="B1" s="505" t="s">
        <v>257</v>
      </c>
      <c r="C1" s="506"/>
      <c r="D1" s="506"/>
      <c r="E1" s="506"/>
      <c r="F1" s="506"/>
      <c r="G1" s="507"/>
      <c r="O1" s="190"/>
      <c r="P1" s="190"/>
      <c r="Q1" s="190"/>
      <c r="R1" s="190"/>
      <c r="S1" s="190"/>
      <c r="T1" s="190"/>
      <c r="U1" s="190"/>
      <c r="V1" s="190"/>
    </row>
    <row r="2" spans="2:22" ht="15.75" thickBot="1" x14ac:dyDescent="0.3">
      <c r="B2" s="508"/>
      <c r="C2" s="509"/>
      <c r="D2" s="509"/>
      <c r="E2" s="509"/>
      <c r="F2" s="509"/>
      <c r="G2" s="510"/>
      <c r="O2" s="190"/>
      <c r="P2" s="190"/>
      <c r="Q2" s="190"/>
      <c r="R2" s="190"/>
      <c r="S2" s="190"/>
      <c r="T2" s="190"/>
      <c r="U2" s="190"/>
      <c r="V2" s="190"/>
    </row>
    <row r="3" spans="2:22" ht="15.75" thickBot="1" x14ac:dyDescent="0.3">
      <c r="O3" s="190"/>
      <c r="P3" s="190"/>
      <c r="Q3" s="190"/>
      <c r="R3" s="190"/>
      <c r="S3" s="190"/>
      <c r="T3" s="190"/>
      <c r="U3" s="190"/>
      <c r="V3" s="190"/>
    </row>
    <row r="4" spans="2:22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15.991376353166686</v>
      </c>
      <c r="O4" s="190"/>
      <c r="P4" s="190"/>
      <c r="Q4" s="190" t="s">
        <v>130</v>
      </c>
      <c r="R4" s="190">
        <f>(PI()*(F107/10)^2)/4</f>
        <v>2.0106192982974678</v>
      </c>
      <c r="S4" s="190"/>
      <c r="T4" s="190"/>
      <c r="U4" s="190"/>
      <c r="V4" s="190"/>
    </row>
    <row r="5" spans="2:22" ht="18.75" thickBot="1" x14ac:dyDescent="0.3">
      <c r="B5" s="120" t="s">
        <v>167</v>
      </c>
      <c r="C5" s="197">
        <f>IF('5 Estacas1'!K15="Estaca E1",0.7*'5 Estacas1'!AD38,IF('5 Estacas1'!K15="Estaca E2",0.7*'5 Estacas1'!AD38,IF('5 Estacas1'!K15="Estaca E3",0.94*'5 Estacas1'!AD38,IF('5 Estacas1'!K15="Estaca E5",0.94*'5 Estacas1'!AD38,IF('5 Estacas1'!K15="Estaca E4",'5 Estacas1'!AD38)))))</f>
        <v>695.27723274637765</v>
      </c>
      <c r="O5" s="190"/>
      <c r="P5" s="190"/>
      <c r="Q5" s="190"/>
      <c r="R5" s="190"/>
      <c r="S5" s="190"/>
      <c r="T5" s="190"/>
      <c r="U5" s="190"/>
      <c r="V5" s="190"/>
    </row>
    <row r="6" spans="2:22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O6" s="190"/>
      <c r="P6" s="190"/>
      <c r="Q6" s="190" t="s">
        <v>135</v>
      </c>
      <c r="R6" s="190"/>
      <c r="S6" s="190"/>
      <c r="T6" s="190">
        <f>G10-1</f>
        <v>7</v>
      </c>
      <c r="U6" s="190"/>
      <c r="V6" s="190"/>
    </row>
    <row r="7" spans="2:22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O7" s="190"/>
      <c r="P7" s="190"/>
      <c r="Q7" s="190" t="s">
        <v>133</v>
      </c>
      <c r="R7" s="190">
        <f>G4/R4</f>
        <v>7.9534581045291395</v>
      </c>
      <c r="S7" s="190"/>
      <c r="T7" s="190"/>
      <c r="U7" s="190"/>
      <c r="V7" s="190"/>
    </row>
    <row r="8" spans="2:22" ht="15.75" thickBot="1" x14ac:dyDescent="0.3">
      <c r="B8" s="122" t="s">
        <v>136</v>
      </c>
      <c r="C8" s="8">
        <f>Entradas2!C22</f>
        <v>23</v>
      </c>
      <c r="E8" s="243"/>
      <c r="F8" s="244"/>
      <c r="G8" s="245"/>
      <c r="H8" s="34"/>
      <c r="O8" s="190"/>
      <c r="P8" s="190"/>
      <c r="Q8" s="190" t="s">
        <v>137</v>
      </c>
      <c r="R8" s="190">
        <v>20</v>
      </c>
      <c r="S8" s="190"/>
      <c r="T8" s="190"/>
      <c r="U8" s="190"/>
      <c r="V8" s="190"/>
    </row>
    <row r="9" spans="2:22" ht="15.75" thickBot="1" x14ac:dyDescent="0.3">
      <c r="E9" s="34"/>
      <c r="F9" s="34"/>
      <c r="G9" s="34"/>
      <c r="H9" s="34"/>
      <c r="O9" s="190"/>
      <c r="P9" s="190"/>
      <c r="Q9" s="190"/>
      <c r="R9" s="190">
        <f>1.2*19</f>
        <v>22.8</v>
      </c>
      <c r="S9" s="190"/>
      <c r="T9" s="190"/>
      <c r="U9" s="190"/>
      <c r="V9" s="190"/>
    </row>
    <row r="10" spans="2:22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8</v>
      </c>
      <c r="O10" s="190"/>
      <c r="P10" s="190"/>
      <c r="Q10" s="190"/>
      <c r="R10" s="190">
        <f>F107</f>
        <v>16</v>
      </c>
      <c r="S10" s="190"/>
      <c r="T10" s="190"/>
      <c r="U10" s="190"/>
      <c r="V10" s="190"/>
    </row>
    <row r="11" spans="2:22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LARGE(R11:R12,1)</f>
        <v>2.2800000000000002</v>
      </c>
      <c r="O11" s="190"/>
      <c r="P11" s="190"/>
      <c r="Q11" s="190" t="s">
        <v>138</v>
      </c>
      <c r="R11" s="190">
        <f>(LARGE(R8:R10,1))/10</f>
        <v>2.2800000000000002</v>
      </c>
      <c r="S11" s="190"/>
      <c r="T11" s="190"/>
      <c r="U11" s="190"/>
      <c r="V11" s="190"/>
    </row>
    <row r="12" spans="2:22" ht="15.75" thickBot="1" x14ac:dyDescent="0.3">
      <c r="E12" s="531"/>
      <c r="F12" s="532"/>
      <c r="G12" s="534"/>
      <c r="O12" s="190"/>
      <c r="P12" s="190"/>
      <c r="Q12" s="190" t="s">
        <v>140</v>
      </c>
      <c r="R12" s="190">
        <f>((C8)-G10*(F107/10))/T6</f>
        <v>1.4571428571428571</v>
      </c>
      <c r="S12" s="190"/>
      <c r="T12" s="190"/>
      <c r="U12" s="190"/>
      <c r="V12" s="190"/>
    </row>
    <row r="13" spans="2:22" ht="15.75" thickBot="1" x14ac:dyDescent="0.3">
      <c r="B13" s="521" t="s">
        <v>215</v>
      </c>
      <c r="C13" s="465"/>
      <c r="O13" s="190"/>
      <c r="P13" s="190"/>
      <c r="Q13" s="190"/>
      <c r="R13" s="190"/>
      <c r="S13" s="190"/>
      <c r="T13" s="190"/>
      <c r="U13" s="190"/>
      <c r="V13" s="190"/>
    </row>
    <row r="14" spans="2:22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O14" s="190"/>
      <c r="P14" s="190"/>
      <c r="Q14" s="190" t="s">
        <v>149</v>
      </c>
      <c r="R14" s="190">
        <f>G10*R4</f>
        <v>16.084954386379742</v>
      </c>
      <c r="S14" s="190"/>
      <c r="T14" s="190"/>
      <c r="U14" s="190"/>
      <c r="V14" s="190"/>
    </row>
    <row r="15" spans="2:22" ht="17.25" customHeight="1" thickBot="1" x14ac:dyDescent="0.3">
      <c r="E15" s="618" t="s">
        <v>143</v>
      </c>
      <c r="F15" s="619"/>
      <c r="G15" s="259">
        <f>(0.87*'5 Estacas1'!L6-C6+C8/2)</f>
        <v>30.555</v>
      </c>
      <c r="H15" s="494" t="str">
        <f>IF(G16&lt;=G15,"Verificação Atendida","Aumentar o Diâmetro da Barra ou fck do Concreto")</f>
        <v>Aumentar o Diâmetro da Barra ou fck do Concreto</v>
      </c>
      <c r="I15" s="495"/>
      <c r="J15" s="496"/>
      <c r="O15" s="190"/>
      <c r="P15" s="190"/>
      <c r="Q15" s="190"/>
      <c r="R15" s="190"/>
      <c r="S15" s="190"/>
      <c r="T15" s="190"/>
      <c r="U15" s="190"/>
      <c r="V15" s="190"/>
    </row>
    <row r="16" spans="2:22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41.943283232059947</v>
      </c>
      <c r="H16" s="497"/>
      <c r="I16" s="498"/>
      <c r="J16" s="499"/>
      <c r="O16" s="190"/>
      <c r="P16" s="190"/>
      <c r="Q16" s="190" t="s">
        <v>144</v>
      </c>
      <c r="R16" s="190">
        <f>0.3*0.7*Entradas2!C13^(2/3)</f>
        <v>1.795474744010531</v>
      </c>
      <c r="S16" s="190"/>
      <c r="T16" s="190"/>
      <c r="U16" s="190"/>
      <c r="V16" s="190"/>
    </row>
    <row r="17" spans="2:22" ht="18.75" thickBot="1" x14ac:dyDescent="0.3">
      <c r="B17" s="122" t="s">
        <v>202</v>
      </c>
      <c r="C17" s="8">
        <v>1</v>
      </c>
      <c r="H17" s="494" t="str">
        <f>IF(S61&lt;=S60,"Verificação Atendida","Aumentar o Diâmetro da Barra ou fck do Concreto")</f>
        <v>Verificação Atendida</v>
      </c>
      <c r="I17" s="495"/>
      <c r="J17" s="496"/>
      <c r="O17" s="190"/>
      <c r="P17" s="190"/>
      <c r="Q17" s="190" t="s">
        <v>145</v>
      </c>
      <c r="R17" s="190">
        <f>R16/Entradas2!C17</f>
        <v>1.2824819600075221</v>
      </c>
      <c r="S17" s="190"/>
      <c r="T17" s="190"/>
      <c r="U17" s="190"/>
      <c r="V17" s="190"/>
    </row>
    <row r="18" spans="2:22" ht="15.75" customHeight="1" thickBot="1" x14ac:dyDescent="0.3">
      <c r="E18" s="623" t="s">
        <v>180</v>
      </c>
      <c r="F18" s="624"/>
      <c r="G18" s="625"/>
      <c r="H18" s="497"/>
      <c r="I18" s="498"/>
      <c r="J18" s="499"/>
      <c r="O18" s="190"/>
      <c r="P18" s="190"/>
      <c r="Q18" s="190"/>
      <c r="R18" s="190"/>
      <c r="S18" s="190"/>
      <c r="T18" s="190"/>
      <c r="U18" s="190"/>
      <c r="V18" s="190"/>
    </row>
    <row r="19" spans="2:22" x14ac:dyDescent="0.25">
      <c r="B19" s="521" t="s">
        <v>217</v>
      </c>
      <c r="C19" s="465"/>
      <c r="E19" s="143"/>
      <c r="F19" s="626" t="s">
        <v>181</v>
      </c>
      <c r="G19" s="627"/>
      <c r="H19" s="2"/>
      <c r="I19" s="2"/>
      <c r="J19" s="2"/>
      <c r="O19" s="190"/>
      <c r="P19" s="190"/>
      <c r="Q19" s="190" t="s">
        <v>146</v>
      </c>
      <c r="R19" s="190">
        <f>C14*C17*C20*R17</f>
        <v>2.885584410016925</v>
      </c>
      <c r="S19" s="190"/>
      <c r="T19" s="190" t="s">
        <v>147</v>
      </c>
      <c r="U19" s="190">
        <f>R19/10</f>
        <v>0.28855844100169248</v>
      </c>
      <c r="V19" s="190"/>
    </row>
    <row r="20" spans="2:22" ht="18.75" thickBot="1" x14ac:dyDescent="0.3">
      <c r="B20" s="122" t="s">
        <v>203</v>
      </c>
      <c r="C20" s="8">
        <v>1</v>
      </c>
      <c r="E20" s="144"/>
      <c r="F20" s="540" t="s">
        <v>182</v>
      </c>
      <c r="G20" s="501"/>
      <c r="O20" s="190"/>
      <c r="P20" s="190"/>
      <c r="Q20" s="190"/>
      <c r="R20" s="190"/>
      <c r="S20" s="190"/>
      <c r="T20" s="190"/>
      <c r="U20" s="190"/>
      <c r="V20" s="190"/>
    </row>
    <row r="21" spans="2:22" ht="15.75" thickBot="1" x14ac:dyDescent="0.3">
      <c r="O21" s="190"/>
      <c r="P21" s="190"/>
      <c r="Q21" s="190" t="s">
        <v>148</v>
      </c>
      <c r="R21" s="190">
        <f>(F107/10)*(C7/U19)/4</f>
        <v>60.269608774757984</v>
      </c>
      <c r="S21" s="190"/>
      <c r="T21" s="190"/>
      <c r="U21" s="190"/>
      <c r="V21" s="190"/>
    </row>
    <row r="22" spans="2:22" ht="15" customHeight="1" x14ac:dyDescent="0.25">
      <c r="E22" s="515" t="s">
        <v>150</v>
      </c>
      <c r="F22" s="620"/>
      <c r="G22" s="549">
        <f>IF(F107=20,8*F107,5*F107)</f>
        <v>80</v>
      </c>
      <c r="O22" s="190"/>
      <c r="P22" s="190"/>
      <c r="Q22" s="190"/>
      <c r="R22" s="190"/>
      <c r="S22" s="190"/>
      <c r="T22" s="190"/>
      <c r="U22" s="190"/>
      <c r="V22" s="190"/>
    </row>
    <row r="23" spans="2:22" ht="15" customHeight="1" thickBot="1" x14ac:dyDescent="0.3">
      <c r="E23" s="621"/>
      <c r="F23" s="622"/>
      <c r="G23" s="550"/>
      <c r="O23" s="190"/>
      <c r="P23" s="190"/>
      <c r="Q23" s="190" t="s">
        <v>152</v>
      </c>
      <c r="R23" s="190">
        <f>2*'5 Estacas1'!$L$7+2*((0.87*'5 Estacas1'!L6-C6-(G22/10)/2+(PI())*(G22/10)/4+10*(F107/10)))</f>
        <v>189.67637061435917</v>
      </c>
      <c r="S23" s="190"/>
      <c r="T23" s="190"/>
      <c r="U23" s="190"/>
      <c r="V23" s="190"/>
    </row>
    <row r="24" spans="2:22" x14ac:dyDescent="0.25">
      <c r="E24" s="529" t="s">
        <v>260</v>
      </c>
      <c r="F24" s="530"/>
      <c r="G24" s="546">
        <f>IF(F107=20,CEILING(R24,1),CEILING(R23,1))</f>
        <v>190</v>
      </c>
      <c r="O24" s="190"/>
      <c r="P24" s="190"/>
      <c r="Q24" s="190" t="s">
        <v>153</v>
      </c>
      <c r="R24" s="190">
        <f>2*'5 Estacas1'!$L$7+2*((0.87*'5 Estacas1'!L6-C6-(G22/10)/2+(PI())*(G22/10)/4+2*(F107/10)))</f>
        <v>164.07637061435918</v>
      </c>
      <c r="S24" s="190"/>
      <c r="T24" s="190"/>
      <c r="U24" s="190"/>
      <c r="V24" s="190"/>
    </row>
    <row r="25" spans="2:22" ht="15.75" thickBot="1" x14ac:dyDescent="0.3">
      <c r="E25" s="531"/>
      <c r="F25" s="532"/>
      <c r="G25" s="547"/>
      <c r="O25" s="190"/>
      <c r="P25" s="190"/>
      <c r="Q25" s="190" t="s">
        <v>152</v>
      </c>
      <c r="R25" s="190">
        <f>'5 Estacas1'!$L$7+2*((0.87*'5 Estacas1'!L6-C6-(G22/10)/2+(PI())*(G22/10)/4+10*(F107/10)))</f>
        <v>132.17637061435917</v>
      </c>
      <c r="S25" s="190"/>
      <c r="T25" s="190"/>
      <c r="U25" s="190"/>
      <c r="V25" s="190"/>
    </row>
    <row r="26" spans="2:22" x14ac:dyDescent="0.25">
      <c r="E26" s="529" t="s">
        <v>259</v>
      </c>
      <c r="F26" s="530"/>
      <c r="G26" s="546">
        <f>IF(F107=20,CEILING(R26,1),CEILING(R25,1))</f>
        <v>133</v>
      </c>
      <c r="O26" s="190"/>
      <c r="P26" s="190"/>
      <c r="Q26" s="190" t="s">
        <v>153</v>
      </c>
      <c r="R26" s="190">
        <f>'5 Estacas1'!$L$7+2*((0.87*'5 Estacas1'!L6-C6-(G22/10)/2+(PI())*(G22/10)/4+2*(F107/10)))</f>
        <v>106.57637061435918</v>
      </c>
      <c r="S26" s="190"/>
      <c r="T26" s="190"/>
      <c r="U26" s="190"/>
      <c r="V26" s="190"/>
    </row>
    <row r="27" spans="2:22" ht="15.75" thickBot="1" x14ac:dyDescent="0.3">
      <c r="E27" s="531"/>
      <c r="F27" s="532"/>
      <c r="G27" s="547"/>
      <c r="O27" s="190"/>
      <c r="P27" s="190"/>
      <c r="Q27" s="190" t="s">
        <v>168</v>
      </c>
      <c r="R27" s="190">
        <f>2*F107/10</f>
        <v>3.2</v>
      </c>
      <c r="S27" s="190"/>
      <c r="T27" s="190"/>
      <c r="U27" s="190"/>
      <c r="V27" s="190"/>
    </row>
    <row r="28" spans="2:22" x14ac:dyDescent="0.25">
      <c r="O28" s="190"/>
      <c r="P28" s="190"/>
      <c r="Q28" s="354" t="s">
        <v>169</v>
      </c>
      <c r="R28" s="190">
        <f>F107</f>
        <v>16</v>
      </c>
      <c r="S28" s="190"/>
      <c r="T28" s="190"/>
      <c r="U28" s="190"/>
      <c r="V28" s="190"/>
    </row>
    <row r="29" spans="2:22" ht="15.75" thickBot="1" x14ac:dyDescent="0.3">
      <c r="O29" s="190"/>
      <c r="P29" s="190"/>
      <c r="Q29" s="190"/>
      <c r="R29" s="190"/>
      <c r="S29" s="190"/>
      <c r="T29" s="190"/>
      <c r="U29" s="190"/>
      <c r="V29" s="190"/>
    </row>
    <row r="30" spans="2:22" x14ac:dyDescent="0.25">
      <c r="B30" s="505" t="s">
        <v>258</v>
      </c>
      <c r="C30" s="506"/>
      <c r="D30" s="506"/>
      <c r="E30" s="506"/>
      <c r="F30" s="506"/>
      <c r="G30" s="507"/>
      <c r="O30" s="190"/>
      <c r="P30" s="190"/>
      <c r="Q30" s="190"/>
      <c r="R30" s="190"/>
      <c r="S30" s="190"/>
      <c r="T30" s="190"/>
      <c r="U30" s="190"/>
      <c r="V30" s="190"/>
    </row>
    <row r="31" spans="2:22" ht="15.75" thickBot="1" x14ac:dyDescent="0.3">
      <c r="B31" s="508"/>
      <c r="C31" s="509"/>
      <c r="D31" s="509"/>
      <c r="E31" s="509"/>
      <c r="F31" s="509"/>
      <c r="G31" s="510"/>
      <c r="O31" s="190"/>
      <c r="P31" s="190"/>
      <c r="Q31" s="190"/>
      <c r="R31" s="190"/>
      <c r="S31" s="190"/>
      <c r="T31" s="190"/>
      <c r="U31" s="190"/>
      <c r="V31" s="190"/>
    </row>
    <row r="32" spans="2:22" ht="15.75" thickBot="1" x14ac:dyDescent="0.3">
      <c r="O32" s="190"/>
      <c r="P32" s="190"/>
      <c r="Q32" s="190"/>
      <c r="R32" s="190"/>
      <c r="S32" s="190"/>
      <c r="T32" s="190"/>
      <c r="U32" s="190"/>
      <c r="V32" s="190"/>
    </row>
    <row r="33" spans="2:22" ht="19.5" thickBot="1" x14ac:dyDescent="0.35">
      <c r="B33" s="511" t="s">
        <v>128</v>
      </c>
      <c r="C33" s="512"/>
      <c r="E33" s="513" t="s">
        <v>205</v>
      </c>
      <c r="F33" s="514"/>
      <c r="G33" s="124">
        <f>(C34)/(C36)</f>
        <v>32.322994756400753</v>
      </c>
      <c r="O33" s="190"/>
      <c r="P33" s="190"/>
      <c r="Q33" s="190" t="s">
        <v>130</v>
      </c>
      <c r="R33" s="190">
        <f>(PI()*(F117/10)^2)/4</f>
        <v>1.227184630308513</v>
      </c>
      <c r="S33" s="190"/>
      <c r="T33" s="190"/>
      <c r="U33" s="190"/>
      <c r="V33" s="190"/>
    </row>
    <row r="34" spans="2:22" ht="18.75" thickBot="1" x14ac:dyDescent="0.3">
      <c r="B34" s="120" t="s">
        <v>167</v>
      </c>
      <c r="C34" s="197">
        <f>IF('5 Estacas1'!K15="Estaca E1",1.9*'5 Estacas1'!AD38,IF('5 Estacas1'!K15="Estaca E2",1.9*'5 Estacas1'!AD38,IF('5 Estacas1'!K15="Estaca E3",1.9*'5 Estacas1'!AD38,IF('5 Estacas1'!K15="Estaca E5",1.9*'5 Estacas1'!AD38,IF('5 Estacas1'!K15="Estaca E4",'5 Estacas1'!AD38)))))</f>
        <v>1405.3475981043805</v>
      </c>
      <c r="O34" s="190"/>
      <c r="P34" s="190"/>
      <c r="Q34" s="190"/>
      <c r="R34" s="190"/>
      <c r="S34" s="190"/>
      <c r="T34" s="190"/>
      <c r="U34" s="190"/>
      <c r="V34" s="190"/>
    </row>
    <row r="35" spans="2:22" x14ac:dyDescent="0.25">
      <c r="B35" s="121" t="s">
        <v>129</v>
      </c>
      <c r="C35" s="6">
        <v>4</v>
      </c>
      <c r="E35" s="515" t="s">
        <v>131</v>
      </c>
      <c r="F35" s="516"/>
      <c r="G35" s="517"/>
      <c r="H35" s="34"/>
      <c r="O35" s="190"/>
      <c r="P35" s="190"/>
      <c r="Q35" s="190" t="s">
        <v>135</v>
      </c>
      <c r="R35" s="190"/>
      <c r="S35" s="190"/>
      <c r="T35" s="190">
        <f>G39-1</f>
        <v>26</v>
      </c>
      <c r="U35" s="190"/>
      <c r="V35" s="190"/>
    </row>
    <row r="36" spans="2:22" ht="18" x14ac:dyDescent="0.25">
      <c r="B36" s="121" t="s">
        <v>200</v>
      </c>
      <c r="C36" s="123">
        <f>50/Entradas2!C18</f>
        <v>43.478260869565219</v>
      </c>
      <c r="E36" s="518"/>
      <c r="F36" s="519"/>
      <c r="G36" s="520"/>
      <c r="H36" s="34"/>
      <c r="O36" s="190"/>
      <c r="P36" s="190"/>
      <c r="Q36" s="190" t="s">
        <v>133</v>
      </c>
      <c r="R36" s="190">
        <f>G33/R33</f>
        <v>26.339145681994719</v>
      </c>
      <c r="S36" s="190"/>
      <c r="T36" s="190"/>
      <c r="U36" s="190"/>
      <c r="V36" s="190"/>
    </row>
    <row r="37" spans="2:22" ht="15.75" thickBot="1" x14ac:dyDescent="0.3">
      <c r="B37" s="122" t="s">
        <v>136</v>
      </c>
      <c r="C37" s="8">
        <f>Entradas2!C22</f>
        <v>23</v>
      </c>
      <c r="E37" s="256"/>
      <c r="F37" s="257"/>
      <c r="G37" s="258"/>
      <c r="H37" s="34"/>
      <c r="O37" s="190"/>
      <c r="P37" s="190"/>
      <c r="Q37" s="190" t="s">
        <v>137</v>
      </c>
      <c r="R37" s="190">
        <v>20</v>
      </c>
      <c r="S37" s="190"/>
      <c r="T37" s="190"/>
      <c r="U37" s="190"/>
      <c r="V37" s="190"/>
    </row>
    <row r="38" spans="2:22" ht="15.75" thickBot="1" x14ac:dyDescent="0.3">
      <c r="E38" s="34"/>
      <c r="F38" s="34"/>
      <c r="G38" s="34"/>
      <c r="H38" s="34"/>
      <c r="O38" s="190"/>
      <c r="P38" s="190"/>
      <c r="Q38" s="190"/>
      <c r="R38" s="190">
        <f>1.2*19</f>
        <v>22.8</v>
      </c>
      <c r="S38" s="190"/>
      <c r="T38" s="190"/>
      <c r="U38" s="190"/>
      <c r="V38" s="190"/>
    </row>
    <row r="39" spans="2:22" ht="15.75" thickBot="1" x14ac:dyDescent="0.3">
      <c r="B39" s="521" t="s">
        <v>214</v>
      </c>
      <c r="C39" s="465"/>
      <c r="E39" s="489" t="s">
        <v>134</v>
      </c>
      <c r="F39" s="491"/>
      <c r="G39" s="125">
        <f>ROUNDUP(R36,0)</f>
        <v>27</v>
      </c>
      <c r="O39" s="190"/>
      <c r="P39" s="190"/>
      <c r="Q39" s="190"/>
      <c r="R39" s="190">
        <f>F117</f>
        <v>12.5</v>
      </c>
      <c r="S39" s="190"/>
      <c r="T39" s="190"/>
      <c r="U39" s="190"/>
      <c r="V39" s="190"/>
    </row>
    <row r="40" spans="2:22" ht="15.75" thickBot="1" x14ac:dyDescent="0.3">
      <c r="B40" s="122" t="s">
        <v>204</v>
      </c>
      <c r="C40" s="8">
        <v>0.7</v>
      </c>
      <c r="E40" s="529" t="s">
        <v>139</v>
      </c>
      <c r="F40" s="530"/>
      <c r="G40" s="533">
        <f>LARGE(R40:R41,1)</f>
        <v>2.2800000000000002</v>
      </c>
      <c r="O40" s="190"/>
      <c r="P40" s="190"/>
      <c r="Q40" s="190" t="s">
        <v>138</v>
      </c>
      <c r="R40" s="190">
        <f>(LARGE(R37:R39,1))/10</f>
        <v>2.2800000000000002</v>
      </c>
      <c r="S40" s="190"/>
      <c r="T40" s="190"/>
      <c r="U40" s="190"/>
      <c r="V40" s="190"/>
    </row>
    <row r="41" spans="2:22" ht="15.75" thickBot="1" x14ac:dyDescent="0.3">
      <c r="E41" s="531"/>
      <c r="F41" s="532"/>
      <c r="G41" s="534"/>
      <c r="O41" s="190"/>
      <c r="P41" s="190"/>
      <c r="Q41" s="190" t="s">
        <v>140</v>
      </c>
      <c r="R41" s="190">
        <f>((C37)-G39*(F117/10))/T35</f>
        <v>-0.41346153846153844</v>
      </c>
      <c r="S41" s="190"/>
      <c r="T41" s="190"/>
      <c r="U41" s="190"/>
      <c r="V41" s="190"/>
    </row>
    <row r="42" spans="2:22" ht="15.75" thickBot="1" x14ac:dyDescent="0.3">
      <c r="B42" s="521" t="s">
        <v>215</v>
      </c>
      <c r="C42" s="465"/>
      <c r="O42" s="190"/>
      <c r="P42" s="190"/>
      <c r="Q42" s="190"/>
      <c r="R42" s="190"/>
      <c r="S42" s="190"/>
      <c r="T42" s="190"/>
      <c r="U42" s="190"/>
      <c r="V42" s="190"/>
    </row>
    <row r="43" spans="2:22" ht="18.75" thickBot="1" x14ac:dyDescent="0.3">
      <c r="B43" s="122" t="s">
        <v>201</v>
      </c>
      <c r="C43" s="8">
        <v>2.25</v>
      </c>
      <c r="E43" s="535" t="s">
        <v>141</v>
      </c>
      <c r="F43" s="536"/>
      <c r="G43" s="537"/>
      <c r="H43" s="489" t="s">
        <v>210</v>
      </c>
      <c r="I43" s="490"/>
      <c r="J43" s="491"/>
      <c r="O43" s="190"/>
      <c r="P43" s="190"/>
      <c r="Q43" s="190" t="s">
        <v>149</v>
      </c>
      <c r="R43" s="190">
        <f>G39*R33</f>
        <v>33.133985018329852</v>
      </c>
      <c r="S43" s="190"/>
      <c r="T43" s="190"/>
      <c r="U43" s="190"/>
      <c r="V43" s="190"/>
    </row>
    <row r="44" spans="2:22" ht="15.75" thickBot="1" x14ac:dyDescent="0.3">
      <c r="E44" s="628" t="s">
        <v>143</v>
      </c>
      <c r="F44" s="629"/>
      <c r="G44" s="141">
        <f>(1.15*'5 Estacas1'!$L$6-C35+C37/2)</f>
        <v>37.974999999999994</v>
      </c>
      <c r="H44" s="494" t="str">
        <f>IF(G45&lt;=G44,"Verificação Atendida","Aumentar o Diâmetro da Barra ou fck do Concreto")</f>
        <v>Verificação Atendida</v>
      </c>
      <c r="I44" s="495"/>
      <c r="J44" s="496"/>
      <c r="O44" s="190"/>
      <c r="P44" s="190"/>
      <c r="Q44" s="190"/>
      <c r="R44" s="190"/>
      <c r="S44" s="190"/>
      <c r="T44" s="190"/>
      <c r="U44" s="190"/>
      <c r="V44" s="190"/>
    </row>
    <row r="45" spans="2:22" ht="15.75" thickBot="1" x14ac:dyDescent="0.3">
      <c r="B45" s="521" t="s">
        <v>216</v>
      </c>
      <c r="C45" s="465"/>
      <c r="E45" s="500" t="s">
        <v>142</v>
      </c>
      <c r="F45" s="501"/>
      <c r="G45" s="142">
        <f>C40*R50*G33/R43</f>
        <v>32.153211921314359</v>
      </c>
      <c r="H45" s="497"/>
      <c r="I45" s="498"/>
      <c r="J45" s="499"/>
      <c r="O45" s="190"/>
      <c r="P45" s="190"/>
      <c r="Q45" s="190" t="s">
        <v>144</v>
      </c>
      <c r="R45" s="190">
        <f>0.3*0.7*(Entradas2!C13^(2/3))</f>
        <v>1.795474744010531</v>
      </c>
      <c r="S45" s="190"/>
      <c r="T45" s="190"/>
      <c r="U45" s="190"/>
      <c r="V45" s="190"/>
    </row>
    <row r="46" spans="2:22" ht="18.75" thickBot="1" x14ac:dyDescent="0.3">
      <c r="B46" s="122" t="s">
        <v>202</v>
      </c>
      <c r="C46" s="8">
        <v>1</v>
      </c>
      <c r="H46" s="2"/>
      <c r="I46" s="2"/>
      <c r="J46" s="2"/>
      <c r="O46" s="190"/>
      <c r="P46" s="190"/>
      <c r="Q46" s="190" t="s">
        <v>145</v>
      </c>
      <c r="R46" s="190">
        <f>R45/Entradas2!C17</f>
        <v>1.2824819600075221</v>
      </c>
      <c r="S46" s="190"/>
      <c r="T46" s="190"/>
      <c r="U46" s="190"/>
      <c r="V46" s="190"/>
    </row>
    <row r="47" spans="2:22" ht="15.75" thickBot="1" x14ac:dyDescent="0.3">
      <c r="E47" s="623" t="s">
        <v>180</v>
      </c>
      <c r="F47" s="624"/>
      <c r="G47" s="625"/>
      <c r="H47" s="2"/>
      <c r="I47" s="2"/>
      <c r="J47" s="2"/>
      <c r="O47" s="190"/>
      <c r="P47" s="190"/>
      <c r="Q47" s="190"/>
      <c r="R47" s="190"/>
      <c r="S47" s="190"/>
      <c r="T47" s="190"/>
      <c r="U47" s="190"/>
      <c r="V47" s="190"/>
    </row>
    <row r="48" spans="2:22" x14ac:dyDescent="0.25">
      <c r="B48" s="521" t="s">
        <v>217</v>
      </c>
      <c r="C48" s="465"/>
      <c r="E48" s="143"/>
      <c r="F48" s="626" t="s">
        <v>181</v>
      </c>
      <c r="G48" s="627"/>
      <c r="H48" s="2"/>
      <c r="I48" s="2"/>
      <c r="J48" s="2"/>
      <c r="O48" s="190"/>
      <c r="P48" s="190"/>
      <c r="Q48" s="190" t="s">
        <v>146</v>
      </c>
      <c r="R48" s="190">
        <f>C43*C46*C49*R46</f>
        <v>2.885584410016925</v>
      </c>
      <c r="S48" s="190"/>
      <c r="T48" s="190" t="s">
        <v>147</v>
      </c>
      <c r="U48" s="190">
        <f>R48/10</f>
        <v>0.28855844100169248</v>
      </c>
      <c r="V48" s="190"/>
    </row>
    <row r="49" spans="2:22" ht="18.75" thickBot="1" x14ac:dyDescent="0.3">
      <c r="B49" s="122" t="s">
        <v>203</v>
      </c>
      <c r="C49" s="8">
        <v>1</v>
      </c>
      <c r="E49" s="144"/>
      <c r="F49" s="540" t="s">
        <v>182</v>
      </c>
      <c r="G49" s="501"/>
      <c r="O49" s="190"/>
      <c r="P49" s="190"/>
      <c r="Q49" s="190"/>
      <c r="R49" s="190"/>
      <c r="S49" s="190"/>
      <c r="T49" s="190"/>
      <c r="U49" s="190"/>
      <c r="V49" s="190"/>
    </row>
    <row r="50" spans="2:22" ht="15.75" thickBot="1" x14ac:dyDescent="0.3">
      <c r="O50" s="190"/>
      <c r="P50" s="190"/>
      <c r="Q50" s="190" t="s">
        <v>148</v>
      </c>
      <c r="R50" s="190">
        <f>(F117/10)*(C36/U48)/4</f>
        <v>47.085631855279672</v>
      </c>
      <c r="S50" s="190"/>
      <c r="T50" s="190"/>
      <c r="U50" s="190"/>
      <c r="V50" s="190"/>
    </row>
    <row r="51" spans="2:22" x14ac:dyDescent="0.25">
      <c r="E51" s="515" t="s">
        <v>150</v>
      </c>
      <c r="F51" s="517"/>
      <c r="G51" s="549">
        <f>IF(F117=20,8*F117,5*F117)</f>
        <v>62.5</v>
      </c>
      <c r="O51" s="190"/>
      <c r="P51" s="190"/>
      <c r="Q51" s="190"/>
      <c r="R51" s="190"/>
      <c r="S51" s="190"/>
      <c r="T51" s="190"/>
      <c r="U51" s="190"/>
      <c r="V51" s="190"/>
    </row>
    <row r="52" spans="2:22" ht="15.75" thickBot="1" x14ac:dyDescent="0.3">
      <c r="E52" s="525"/>
      <c r="F52" s="526"/>
      <c r="G52" s="550"/>
      <c r="O52" s="190"/>
      <c r="P52" s="190"/>
      <c r="Q52" s="190" t="s">
        <v>152</v>
      </c>
      <c r="R52" s="190">
        <f>'5 Estacas1'!$L$7+2*((1.155*'5 Estacas1'!$L$6-C35-(G51/10)/2+(PI())*(G51/10)/4+10*(F117/10)))</f>
        <v>139.28247704246812</v>
      </c>
      <c r="S52" s="190"/>
      <c r="T52" s="190"/>
      <c r="U52" s="190"/>
      <c r="V52" s="190"/>
    </row>
    <row r="53" spans="2:22" x14ac:dyDescent="0.25">
      <c r="E53" s="529" t="s">
        <v>151</v>
      </c>
      <c r="F53" s="530"/>
      <c r="G53" s="546">
        <f>IF(F117=20,CEILING(R53,1),CEILING(R52,1))</f>
        <v>140</v>
      </c>
      <c r="H53" s="111"/>
      <c r="O53" s="190"/>
      <c r="P53" s="190"/>
      <c r="Q53" s="190" t="s">
        <v>153</v>
      </c>
      <c r="R53" s="190">
        <f>'5 Estacas1'!$L$7+2*(1.155*'5 Estacas1'!$L$6-C35-(G51/10)/2+PI()*(G51/10)/2+2*(F117/10))</f>
        <v>129.0999540849362</v>
      </c>
      <c r="S53" s="190"/>
      <c r="T53" s="190"/>
      <c r="U53" s="190"/>
      <c r="V53" s="190"/>
    </row>
    <row r="54" spans="2:22" ht="15.75" thickBot="1" x14ac:dyDescent="0.3">
      <c r="E54" s="531"/>
      <c r="F54" s="532"/>
      <c r="G54" s="547"/>
      <c r="O54" s="190"/>
      <c r="P54" s="190"/>
      <c r="Q54" s="190"/>
      <c r="R54" s="190"/>
      <c r="S54" s="190"/>
      <c r="T54" s="190"/>
      <c r="U54" s="190"/>
      <c r="V54" s="190"/>
    </row>
    <row r="55" spans="2:22" x14ac:dyDescent="0.25">
      <c r="O55" s="190"/>
      <c r="P55" s="190"/>
      <c r="Q55" s="190"/>
      <c r="R55" s="190"/>
      <c r="S55" s="190"/>
      <c r="T55" s="190"/>
      <c r="U55" s="190"/>
      <c r="V55" s="190"/>
    </row>
    <row r="56" spans="2:22" x14ac:dyDescent="0.25">
      <c r="O56" s="190"/>
      <c r="P56" s="190"/>
      <c r="Q56" s="190" t="s">
        <v>168</v>
      </c>
      <c r="R56" s="190">
        <f>2*F117/10</f>
        <v>2.5</v>
      </c>
      <c r="S56" s="190"/>
      <c r="T56" s="190"/>
      <c r="U56" s="190"/>
      <c r="V56" s="190"/>
    </row>
    <row r="57" spans="2:22" x14ac:dyDescent="0.25">
      <c r="O57" s="190"/>
      <c r="P57" s="190"/>
      <c r="Q57" s="354" t="s">
        <v>169</v>
      </c>
      <c r="R57" s="190">
        <f>F117</f>
        <v>12.5</v>
      </c>
      <c r="S57" s="190"/>
      <c r="T57" s="190"/>
      <c r="U57" s="190"/>
      <c r="V57" s="190"/>
    </row>
    <row r="58" spans="2:22" x14ac:dyDescent="0.25">
      <c r="O58" s="190"/>
      <c r="P58" s="190"/>
      <c r="Q58" s="190"/>
      <c r="R58" s="190"/>
      <c r="S58" s="190"/>
      <c r="T58" s="190"/>
      <c r="U58" s="190"/>
      <c r="V58" s="190"/>
    </row>
    <row r="59" spans="2:22" x14ac:dyDescent="0.25">
      <c r="O59" s="190"/>
      <c r="P59" s="190"/>
      <c r="Q59" s="190"/>
      <c r="R59" s="190"/>
      <c r="S59" s="190"/>
      <c r="T59" s="190"/>
      <c r="U59" s="190"/>
      <c r="V59" s="190"/>
    </row>
    <row r="60" spans="2:22" x14ac:dyDescent="0.25">
      <c r="O60" s="190"/>
      <c r="P60" s="190"/>
      <c r="Q60" s="190"/>
      <c r="R60" s="190"/>
      <c r="S60" s="190"/>
      <c r="T60" s="190"/>
      <c r="U60" s="190"/>
      <c r="V60" s="190"/>
    </row>
    <row r="99" spans="1:11" x14ac:dyDescent="0.25">
      <c r="A99" s="381"/>
      <c r="B99" s="381"/>
      <c r="C99" s="381"/>
      <c r="D99" s="381"/>
      <c r="E99" s="381"/>
      <c r="F99" s="381"/>
      <c r="G99" s="381"/>
    </row>
    <row r="100" spans="1:11" x14ac:dyDescent="0.25">
      <c r="A100" s="381"/>
      <c r="B100" s="381"/>
      <c r="C100" s="381"/>
      <c r="D100" s="381"/>
      <c r="E100" s="381"/>
      <c r="F100" s="381"/>
      <c r="G100" s="381"/>
    </row>
    <row r="101" spans="1:11" x14ac:dyDescent="0.25">
      <c r="A101" s="381"/>
      <c r="B101" s="381"/>
      <c r="C101" s="388">
        <v>5</v>
      </c>
      <c r="D101" s="388"/>
      <c r="E101" s="385"/>
      <c r="F101" s="385"/>
      <c r="G101" s="383"/>
      <c r="H101" s="190"/>
      <c r="I101" s="190"/>
      <c r="J101" s="190"/>
      <c r="K101" s="190"/>
    </row>
    <row r="102" spans="1:11" x14ac:dyDescent="0.25">
      <c r="A102" s="381"/>
      <c r="B102" s="381"/>
      <c r="C102" s="389">
        <v>6.3</v>
      </c>
      <c r="D102" s="388"/>
      <c r="E102" s="385"/>
      <c r="F102" s="385"/>
      <c r="G102" s="383"/>
      <c r="H102" s="190"/>
      <c r="I102" s="190"/>
      <c r="J102" s="190"/>
      <c r="K102" s="190"/>
    </row>
    <row r="103" spans="1:11" x14ac:dyDescent="0.25">
      <c r="A103" s="381"/>
      <c r="B103" s="381"/>
      <c r="C103" s="389">
        <v>8</v>
      </c>
      <c r="D103" s="388"/>
      <c r="E103" s="385"/>
      <c r="F103" s="385"/>
      <c r="G103" s="383"/>
      <c r="H103" s="190"/>
      <c r="I103" s="190"/>
      <c r="J103" s="190"/>
      <c r="K103" s="190"/>
    </row>
    <row r="104" spans="1:11" ht="18" x14ac:dyDescent="0.35">
      <c r="A104" s="381"/>
      <c r="B104" s="381"/>
      <c r="C104" s="389">
        <v>10</v>
      </c>
      <c r="D104" s="388"/>
      <c r="E104" s="385"/>
      <c r="F104" s="385"/>
      <c r="G104" s="383"/>
      <c r="H104" s="190"/>
      <c r="I104" s="190"/>
      <c r="J104" s="190" t="s">
        <v>213</v>
      </c>
      <c r="K104" s="190"/>
    </row>
    <row r="105" spans="1:11" x14ac:dyDescent="0.25">
      <c r="A105" s="381"/>
      <c r="B105" s="381"/>
      <c r="C105" s="389">
        <v>12.5</v>
      </c>
      <c r="D105" s="388"/>
      <c r="E105" s="385"/>
      <c r="F105" s="385"/>
      <c r="G105" s="383"/>
      <c r="H105" s="190"/>
      <c r="I105" s="190"/>
      <c r="J105" s="190"/>
      <c r="K105" s="190"/>
    </row>
    <row r="106" spans="1:11" x14ac:dyDescent="0.25">
      <c r="A106" s="381"/>
      <c r="B106" s="381"/>
      <c r="C106" s="389">
        <v>16</v>
      </c>
      <c r="D106" s="388"/>
      <c r="E106" s="385"/>
      <c r="F106" s="385"/>
      <c r="G106" s="383"/>
      <c r="H106" s="190"/>
      <c r="I106" s="190"/>
      <c r="J106" s="190"/>
      <c r="K106" s="190"/>
    </row>
    <row r="107" spans="1:11" x14ac:dyDescent="0.25">
      <c r="A107" s="381"/>
      <c r="B107" s="381"/>
      <c r="C107" s="389">
        <v>20</v>
      </c>
      <c r="D107" s="388"/>
      <c r="E107" s="385" t="s">
        <v>132</v>
      </c>
      <c r="F107" s="385">
        <f>IF(C101=1,C102,IF(C101=2,C103,IF(C101=3,C104,IF(C101=4,C105,IF(C101=5,C106,IF(C101=6,C107))))))</f>
        <v>16</v>
      </c>
      <c r="G107" s="383"/>
      <c r="H107" s="190"/>
      <c r="I107" s="190"/>
      <c r="J107" s="190"/>
      <c r="K107" s="190"/>
    </row>
    <row r="108" spans="1:11" x14ac:dyDescent="0.25">
      <c r="A108" s="381"/>
      <c r="B108" s="381"/>
      <c r="C108" s="381"/>
      <c r="D108" s="381"/>
      <c r="E108" s="383"/>
      <c r="F108" s="383"/>
      <c r="G108" s="383"/>
      <c r="H108" s="190"/>
      <c r="I108" s="190"/>
      <c r="J108" s="190"/>
      <c r="K108" s="190"/>
    </row>
    <row r="109" spans="1:11" x14ac:dyDescent="0.25">
      <c r="A109" s="381"/>
      <c r="B109" s="381"/>
      <c r="C109" s="381"/>
      <c r="D109" s="381"/>
      <c r="E109" s="383"/>
      <c r="F109" s="383"/>
      <c r="G109" s="383"/>
      <c r="H109" s="190"/>
      <c r="I109" s="190"/>
      <c r="J109" s="190"/>
      <c r="K109" s="190"/>
    </row>
    <row r="110" spans="1:11" x14ac:dyDescent="0.25">
      <c r="A110" s="381"/>
      <c r="B110" s="381"/>
      <c r="C110" s="381"/>
      <c r="D110" s="381"/>
      <c r="E110" s="383"/>
      <c r="F110" s="383"/>
      <c r="G110" s="383"/>
      <c r="H110" s="190"/>
      <c r="I110" s="190"/>
      <c r="J110" s="190"/>
      <c r="K110" s="190"/>
    </row>
    <row r="111" spans="1:11" x14ac:dyDescent="0.25">
      <c r="A111" s="381"/>
      <c r="B111" s="381"/>
      <c r="C111" s="388">
        <v>4</v>
      </c>
      <c r="D111" s="388"/>
      <c r="E111" s="385"/>
      <c r="F111" s="385"/>
      <c r="G111" s="383"/>
      <c r="H111" s="190"/>
      <c r="I111" s="190"/>
      <c r="J111" s="190"/>
      <c r="K111" s="190"/>
    </row>
    <row r="112" spans="1:11" x14ac:dyDescent="0.25">
      <c r="A112" s="381"/>
      <c r="B112" s="381"/>
      <c r="C112" s="389">
        <v>6.3</v>
      </c>
      <c r="D112" s="388"/>
      <c r="E112" s="385"/>
      <c r="F112" s="385"/>
      <c r="G112" s="383"/>
      <c r="H112" s="190"/>
      <c r="I112" s="190"/>
      <c r="J112" s="190"/>
      <c r="K112" s="190"/>
    </row>
    <row r="113" spans="1:11" x14ac:dyDescent="0.25">
      <c r="A113" s="381"/>
      <c r="B113" s="381"/>
      <c r="C113" s="389">
        <v>8</v>
      </c>
      <c r="D113" s="388"/>
      <c r="E113" s="385"/>
      <c r="F113" s="385"/>
      <c r="G113" s="383"/>
      <c r="H113" s="190"/>
      <c r="I113" s="190"/>
      <c r="J113" s="190"/>
      <c r="K113" s="190"/>
    </row>
    <row r="114" spans="1:11" x14ac:dyDescent="0.25">
      <c r="A114" s="381"/>
      <c r="B114" s="381"/>
      <c r="C114" s="389">
        <v>10</v>
      </c>
      <c r="D114" s="388"/>
      <c r="E114" s="385"/>
      <c r="F114" s="385"/>
      <c r="G114" s="383"/>
      <c r="H114" s="190"/>
      <c r="I114" s="190"/>
      <c r="J114" s="190"/>
      <c r="K114" s="190"/>
    </row>
    <row r="115" spans="1:11" x14ac:dyDescent="0.25">
      <c r="A115" s="381"/>
      <c r="B115" s="381"/>
      <c r="C115" s="389">
        <v>12.5</v>
      </c>
      <c r="D115" s="388"/>
      <c r="E115" s="385"/>
      <c r="F115" s="385"/>
      <c r="G115" s="383"/>
      <c r="H115" s="190"/>
      <c r="I115" s="190"/>
      <c r="J115" s="190"/>
      <c r="K115" s="190"/>
    </row>
    <row r="116" spans="1:11" x14ac:dyDescent="0.25">
      <c r="A116" s="381"/>
      <c r="B116" s="381"/>
      <c r="C116" s="389">
        <v>16</v>
      </c>
      <c r="D116" s="388"/>
      <c r="E116" s="385"/>
      <c r="F116" s="385"/>
      <c r="G116" s="383"/>
      <c r="H116" s="190"/>
      <c r="I116" s="190"/>
      <c r="J116" s="190"/>
      <c r="K116" s="190"/>
    </row>
    <row r="117" spans="1:11" x14ac:dyDescent="0.25">
      <c r="A117" s="381"/>
      <c r="B117" s="381"/>
      <c r="C117" s="389">
        <v>20</v>
      </c>
      <c r="D117" s="388"/>
      <c r="E117" s="385" t="s">
        <v>132</v>
      </c>
      <c r="F117" s="385">
        <f>IF(C111=1,C112,IF(C111=2,C113,IF(C111=3,C114,IF(C111=4,C115,IF(C111=5,C116,IF(C111=6,C117))))))</f>
        <v>12.5</v>
      </c>
      <c r="G117" s="383"/>
      <c r="H117" s="190"/>
      <c r="I117" s="190"/>
      <c r="J117" s="190"/>
      <c r="K117" s="190"/>
    </row>
    <row r="118" spans="1:11" x14ac:dyDescent="0.25">
      <c r="A118" s="381"/>
      <c r="B118" s="381"/>
      <c r="C118" s="381"/>
      <c r="D118" s="381"/>
      <c r="E118" s="383"/>
      <c r="F118" s="383"/>
      <c r="G118" s="383"/>
      <c r="H118" s="190"/>
      <c r="I118" s="190"/>
      <c r="J118" s="190"/>
      <c r="K118" s="190"/>
    </row>
    <row r="119" spans="1:11" x14ac:dyDescent="0.25">
      <c r="A119" s="381"/>
      <c r="B119" s="381"/>
      <c r="C119" s="381"/>
      <c r="D119" s="381"/>
      <c r="E119" s="381"/>
      <c r="F119" s="381"/>
      <c r="G119" s="381"/>
    </row>
    <row r="120" spans="1:11" x14ac:dyDescent="0.25">
      <c r="A120" s="381"/>
      <c r="B120" s="381"/>
      <c r="C120" s="381"/>
      <c r="D120" s="381"/>
      <c r="E120" s="381"/>
      <c r="F120" s="381"/>
      <c r="G120" s="381"/>
    </row>
    <row r="121" spans="1:11" x14ac:dyDescent="0.25">
      <c r="A121" s="381"/>
      <c r="B121" s="381"/>
      <c r="C121" s="381"/>
      <c r="D121" s="381"/>
      <c r="E121" s="381"/>
      <c r="F121" s="381"/>
      <c r="G121" s="381"/>
    </row>
  </sheetData>
  <sheetProtection password="DED7" sheet="1" objects="1" scenarios="1"/>
  <mergeCells count="49">
    <mergeCell ref="E35:G36"/>
    <mergeCell ref="E33:F33"/>
    <mergeCell ref="B33:C33"/>
    <mergeCell ref="B30:G31"/>
    <mergeCell ref="H17:J18"/>
    <mergeCell ref="F20:G20"/>
    <mergeCell ref="E18:G18"/>
    <mergeCell ref="F19:G19"/>
    <mergeCell ref="E26:F27"/>
    <mergeCell ref="G26:G27"/>
    <mergeCell ref="E24:F25"/>
    <mergeCell ref="G24:G25"/>
    <mergeCell ref="H44:J45"/>
    <mergeCell ref="E44:F44"/>
    <mergeCell ref="H43:J43"/>
    <mergeCell ref="E43:G43"/>
    <mergeCell ref="B42:C42"/>
    <mergeCell ref="G53:G54"/>
    <mergeCell ref="E53:F54"/>
    <mergeCell ref="G51:G52"/>
    <mergeCell ref="E51:F52"/>
    <mergeCell ref="B48:C48"/>
    <mergeCell ref="E47:G47"/>
    <mergeCell ref="F48:G48"/>
    <mergeCell ref="F49:G49"/>
    <mergeCell ref="E45:F45"/>
    <mergeCell ref="B45:C45"/>
    <mergeCell ref="G40:G41"/>
    <mergeCell ref="E40:F41"/>
    <mergeCell ref="E39:F39"/>
    <mergeCell ref="B39:C39"/>
    <mergeCell ref="B1:G2"/>
    <mergeCell ref="B4:C4"/>
    <mergeCell ref="E4:F4"/>
    <mergeCell ref="E6:G7"/>
    <mergeCell ref="B10:C10"/>
    <mergeCell ref="E10:F10"/>
    <mergeCell ref="B19:C19"/>
    <mergeCell ref="E22:F23"/>
    <mergeCell ref="G22:G23"/>
    <mergeCell ref="E11:F12"/>
    <mergeCell ref="G11:G12"/>
    <mergeCell ref="B13:C13"/>
    <mergeCell ref="H14:J14"/>
    <mergeCell ref="E15:F15"/>
    <mergeCell ref="H15:J16"/>
    <mergeCell ref="B16:C16"/>
    <mergeCell ref="E16:F16"/>
    <mergeCell ref="E14:G14"/>
  </mergeCells>
  <conditionalFormatting sqref="E15:E16 G15:G16 E44:E45 G44:G45">
    <cfRule type="expression" dxfId="39" priority="13">
      <formula>$G$16&gt;$G$15</formula>
    </cfRule>
    <cfRule type="expression" dxfId="38" priority="14">
      <formula>$G$16&lt;=$G$15</formula>
    </cfRule>
  </conditionalFormatting>
  <conditionalFormatting sqref="E44:G45">
    <cfRule type="expression" dxfId="37" priority="5">
      <formula>$G$44&lt;$G$45</formula>
    </cfRule>
    <cfRule type="expression" dxfId="36" priority="6">
      <formula>$G$44&gt;$G$45</formula>
    </cfRule>
  </conditionalFormatting>
  <conditionalFormatting sqref="E15:G16">
    <cfRule type="expression" dxfId="35" priority="1">
      <formula>$G$15&lt;$G$16</formula>
    </cfRule>
    <cfRule type="expression" dxfId="34" priority="2">
      <formula>$G$15&gt;$G$16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723900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3" r:id="rId4" name="Drop Down 7">
              <controlPr defaultSize="0" autoLine="0" autoPict="0">
                <anchor moveWithCells="1">
                  <from>
                    <xdr:col>4</xdr:col>
                    <xdr:colOff>19050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4" r:id="rId5" name="Button 8">
              <controlPr defaultSize="0" print="0" autoFill="0" autoPict="0" macro="[0]!macro112">
                <anchor moveWithCells="1" sizeWithCells="1">
                  <from>
                    <xdr:col>7</xdr:col>
                    <xdr:colOff>390525</xdr:colOff>
                    <xdr:row>51</xdr:row>
                    <xdr:rowOff>161925</xdr:rowOff>
                  </from>
                  <to>
                    <xdr:col>9</xdr:col>
                    <xdr:colOff>600075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5" r:id="rId6" name="Button 9">
              <controlPr defaultSize="0" print="0" autoFill="0" autoPict="0" macro="[0]!macro111">
                <anchor moveWithCells="1" sizeWithCells="1">
                  <from>
                    <xdr:col>7</xdr:col>
                    <xdr:colOff>390525</xdr:colOff>
                    <xdr:row>48</xdr:row>
                    <xdr:rowOff>142875</xdr:rowOff>
                  </from>
                  <to>
                    <xdr:col>9</xdr:col>
                    <xdr:colOff>600075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150"/>
  <sheetViews>
    <sheetView showGridLines="0" showRowColHeaders="0" zoomScale="85" zoomScaleNormal="85" workbookViewId="0"/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6" width="9.140625" style="182"/>
    <col min="17" max="17" width="32.42578125" style="182" bestFit="1" customWidth="1"/>
    <col min="18" max="19" width="9.140625" style="182"/>
    <col min="20" max="20" width="12.5703125" style="182" bestFit="1" customWidth="1"/>
    <col min="21" max="16384" width="9.140625" style="182"/>
  </cols>
  <sheetData>
    <row r="1" spans="1:25" ht="15" customHeight="1" x14ac:dyDescent="0.25">
      <c r="A1"/>
      <c r="B1" s="505" t="s">
        <v>254</v>
      </c>
      <c r="C1" s="506"/>
      <c r="D1" s="506"/>
      <c r="E1" s="506"/>
      <c r="F1" s="506"/>
      <c r="G1" s="507"/>
      <c r="H1"/>
      <c r="I1"/>
      <c r="J1"/>
      <c r="K1"/>
      <c r="L1" s="190"/>
      <c r="M1" s="190"/>
      <c r="N1" s="190"/>
      <c r="O1" s="190"/>
      <c r="P1" s="190"/>
      <c r="Q1" s="350"/>
      <c r="R1" s="350"/>
      <c r="S1" s="350"/>
      <c r="T1" s="350"/>
      <c r="U1" s="350"/>
      <c r="V1" s="190"/>
      <c r="W1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 s="190"/>
      <c r="M2" s="190"/>
      <c r="N2" s="190"/>
      <c r="O2" s="190"/>
      <c r="P2" s="190"/>
      <c r="Q2" s="350"/>
      <c r="R2" s="350"/>
      <c r="S2" s="350"/>
      <c r="T2" s="350"/>
      <c r="U2" s="350"/>
      <c r="V2" s="190"/>
      <c r="W2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 s="190"/>
      <c r="M3" s="545" t="s">
        <v>228</v>
      </c>
      <c r="N3" s="545"/>
      <c r="O3" s="190">
        <f>((('5 Estacas1'!L7-SIN(RADIANS(60)))-(G10*D107/10))/'5 Estacas1 Arm Dist'!R6*10)</f>
        <v>8.4378880516356745</v>
      </c>
      <c r="P3" s="190"/>
      <c r="Q3" s="350"/>
      <c r="R3" s="350"/>
      <c r="S3" s="350"/>
      <c r="T3" s="350"/>
      <c r="U3" s="350"/>
      <c r="V3" s="190"/>
      <c r="W3"/>
      <c r="X3"/>
      <c r="Y3"/>
    </row>
    <row r="4" spans="1:25" ht="19.5" thickBot="1" x14ac:dyDescent="0.35">
      <c r="A4"/>
      <c r="B4" s="511" t="s">
        <v>128</v>
      </c>
      <c r="C4" s="512"/>
      <c r="D4"/>
      <c r="E4" s="513" t="s">
        <v>205</v>
      </c>
      <c r="F4" s="514"/>
      <c r="G4" s="281">
        <f>C5/C7</f>
        <v>12.078592777391856</v>
      </c>
      <c r="H4"/>
      <c r="I4"/>
      <c r="J4"/>
      <c r="K4"/>
      <c r="L4" s="190"/>
      <c r="M4" s="190" t="s">
        <v>137</v>
      </c>
      <c r="N4" s="350"/>
      <c r="O4" s="355">
        <v>20</v>
      </c>
      <c r="P4" s="190"/>
      <c r="Q4" s="350" t="s">
        <v>130</v>
      </c>
      <c r="R4" s="350">
        <f>(PI()*(D107/10)^2)/4</f>
        <v>0.31172453105244724</v>
      </c>
      <c r="S4" s="350"/>
      <c r="T4" s="350"/>
      <c r="U4" s="350"/>
      <c r="V4" s="190"/>
      <c r="W4"/>
      <c r="X4"/>
      <c r="Y4"/>
    </row>
    <row r="5" spans="1:25" ht="18.75" thickBot="1" x14ac:dyDescent="0.3">
      <c r="A5"/>
      <c r="B5" s="120" t="s">
        <v>167</v>
      </c>
      <c r="C5" s="277">
        <f>2.84*0.2*'5 Estacas1'!AD38</f>
        <v>420.12496617015159</v>
      </c>
      <c r="D5"/>
      <c r="E5"/>
      <c r="F5"/>
      <c r="G5"/>
      <c r="H5"/>
      <c r="I5"/>
      <c r="J5"/>
      <c r="K5"/>
      <c r="L5" s="190"/>
      <c r="M5" s="190"/>
      <c r="N5" s="350"/>
      <c r="O5" s="355">
        <f>1.2*19</f>
        <v>22.8</v>
      </c>
      <c r="P5" s="190"/>
      <c r="Q5" s="350"/>
      <c r="R5" s="350"/>
      <c r="S5" s="350"/>
      <c r="T5" s="350"/>
      <c r="U5" s="350"/>
      <c r="V5" s="190"/>
      <c r="W5"/>
      <c r="X5"/>
      <c r="Y5"/>
    </row>
    <row r="6" spans="1:25" x14ac:dyDescent="0.25">
      <c r="A6"/>
      <c r="B6" s="121" t="s">
        <v>129</v>
      </c>
      <c r="C6" s="278">
        <v>4</v>
      </c>
      <c r="D6"/>
      <c r="E6" s="515" t="s">
        <v>131</v>
      </c>
      <c r="F6" s="516"/>
      <c r="G6" s="517"/>
      <c r="H6" s="34"/>
      <c r="I6"/>
      <c r="J6"/>
      <c r="K6"/>
      <c r="L6" s="190"/>
      <c r="M6" s="190"/>
      <c r="N6" s="350"/>
      <c r="O6" s="355">
        <f>A24</f>
        <v>0</v>
      </c>
      <c r="P6" s="190"/>
      <c r="Q6" s="350" t="s">
        <v>135</v>
      </c>
      <c r="R6" s="350">
        <f>G10-1</f>
        <v>38</v>
      </c>
      <c r="S6" s="350"/>
      <c r="T6" s="350"/>
      <c r="U6" s="350"/>
      <c r="V6" s="190"/>
      <c r="W6"/>
      <c r="X6"/>
      <c r="Y6"/>
    </row>
    <row r="7" spans="1:25" ht="18" x14ac:dyDescent="0.25">
      <c r="A7"/>
      <c r="B7" s="121" t="s">
        <v>200</v>
      </c>
      <c r="C7" s="279">
        <f>(50/Entradas2!C18)*0.8</f>
        <v>34.782608695652179</v>
      </c>
      <c r="D7"/>
      <c r="E7" s="518"/>
      <c r="F7" s="519"/>
      <c r="G7" s="520"/>
      <c r="H7" s="237"/>
      <c r="I7"/>
      <c r="J7"/>
      <c r="K7"/>
      <c r="L7" s="190"/>
      <c r="M7" s="350"/>
      <c r="N7" s="350"/>
      <c r="O7" s="355"/>
      <c r="P7" s="190"/>
      <c r="Q7" s="350" t="s">
        <v>133</v>
      </c>
      <c r="R7" s="350">
        <f>G4/R4</f>
        <v>38.747649203647846</v>
      </c>
      <c r="S7" s="350"/>
      <c r="T7" s="350"/>
      <c r="U7" s="350"/>
      <c r="V7" s="190"/>
      <c r="W7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/>
      <c r="E8" s="253"/>
      <c r="F8" s="254"/>
      <c r="G8" s="255"/>
      <c r="H8" s="237"/>
      <c r="I8"/>
      <c r="J8"/>
      <c r="K8"/>
      <c r="L8" s="190"/>
      <c r="M8" s="190" t="s">
        <v>138</v>
      </c>
      <c r="N8" s="350"/>
      <c r="O8" s="355">
        <f>(LARGE(O3:O5,1))/10</f>
        <v>2.2800000000000002</v>
      </c>
      <c r="P8" s="190"/>
      <c r="Q8" s="350" t="s">
        <v>137</v>
      </c>
      <c r="R8" s="350">
        <v>20</v>
      </c>
      <c r="S8" s="350"/>
      <c r="T8" s="350"/>
      <c r="U8" s="350"/>
      <c r="V8" s="190"/>
      <c r="W8"/>
      <c r="X8"/>
      <c r="Y8"/>
    </row>
    <row r="9" spans="1:25" ht="15.75" thickBot="1" x14ac:dyDescent="0.3">
      <c r="A9"/>
      <c r="B9"/>
      <c r="C9"/>
      <c r="D9"/>
      <c r="E9" s="34"/>
      <c r="F9" s="34"/>
      <c r="G9" s="34"/>
      <c r="H9" s="34"/>
      <c r="I9"/>
      <c r="J9"/>
      <c r="K9"/>
      <c r="L9" s="190"/>
      <c r="M9" s="350"/>
      <c r="N9" s="350"/>
      <c r="O9" s="350"/>
      <c r="P9" s="190"/>
      <c r="Q9" s="350"/>
      <c r="R9" s="350">
        <f>1.2*19</f>
        <v>22.8</v>
      </c>
      <c r="S9" s="350"/>
      <c r="T9" s="350"/>
      <c r="U9" s="350"/>
      <c r="V9" s="190"/>
      <c r="W9"/>
      <c r="X9"/>
      <c r="Y9"/>
    </row>
    <row r="10" spans="1:25" ht="15.75" thickBot="1" x14ac:dyDescent="0.3">
      <c r="A10"/>
      <c r="B10" s="521" t="s">
        <v>214</v>
      </c>
      <c r="C10" s="465"/>
      <c r="D10"/>
      <c r="E10" s="489" t="s">
        <v>134</v>
      </c>
      <c r="F10" s="491"/>
      <c r="G10" s="282">
        <f>ROUNDUP(R7,0)</f>
        <v>39</v>
      </c>
      <c r="H10"/>
      <c r="I10"/>
      <c r="J10"/>
      <c r="K10"/>
      <c r="L10" s="190"/>
      <c r="M10" s="190"/>
      <c r="N10" s="190"/>
      <c r="O10" s="190"/>
      <c r="P10" s="190"/>
      <c r="Q10" s="350"/>
      <c r="R10" s="350">
        <f>D107</f>
        <v>6.3</v>
      </c>
      <c r="S10" s="350"/>
      <c r="T10" s="350"/>
      <c r="U10" s="350"/>
      <c r="V10" s="190"/>
      <c r="W1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/>
      <c r="E11" s="529" t="s">
        <v>139</v>
      </c>
      <c r="F11" s="530"/>
      <c r="G11" s="588">
        <f>O8</f>
        <v>2.2800000000000002</v>
      </c>
      <c r="H11"/>
      <c r="I11"/>
      <c r="J11"/>
      <c r="K11"/>
      <c r="L11" s="190"/>
      <c r="M11" s="190"/>
      <c r="N11" s="190"/>
      <c r="O11" s="190"/>
      <c r="P11" s="190"/>
      <c r="Q11" s="350" t="s">
        <v>138</v>
      </c>
      <c r="R11" s="350">
        <f>(LARGE(R8:R10,1))/10</f>
        <v>2.2800000000000002</v>
      </c>
      <c r="S11" s="350"/>
      <c r="T11" s="350"/>
      <c r="U11" s="350"/>
      <c r="V11" s="190"/>
      <c r="W11"/>
      <c r="X11"/>
      <c r="Y11"/>
    </row>
    <row r="12" spans="1:25" ht="15.75" thickBot="1" x14ac:dyDescent="0.3">
      <c r="A12"/>
      <c r="B12"/>
      <c r="C12"/>
      <c r="D12"/>
      <c r="E12" s="531"/>
      <c r="F12" s="532"/>
      <c r="G12" s="589"/>
      <c r="H12"/>
      <c r="I12"/>
      <c r="J12"/>
      <c r="K12"/>
      <c r="L12" s="190"/>
      <c r="M12" s="190"/>
      <c r="N12" s="190"/>
      <c r="O12" s="190"/>
      <c r="P12" s="190"/>
      <c r="Q12" s="350" t="s">
        <v>140</v>
      </c>
      <c r="R12" s="350">
        <f>((C8)-G10*(D107/10))/R6</f>
        <v>-4.1315789473684215E-2</v>
      </c>
      <c r="S12" s="350"/>
      <c r="T12" s="350"/>
      <c r="U12" s="350"/>
      <c r="V12" s="190"/>
      <c r="W12"/>
      <c r="X12"/>
      <c r="Y12"/>
    </row>
    <row r="13" spans="1:25" ht="15.75" thickBot="1" x14ac:dyDescent="0.3">
      <c r="A13"/>
      <c r="B13" s="521" t="s">
        <v>215</v>
      </c>
      <c r="C13" s="465"/>
      <c r="D13"/>
      <c r="E13"/>
      <c r="F13"/>
      <c r="G13"/>
      <c r="H13"/>
      <c r="I13"/>
      <c r="J13"/>
      <c r="K13"/>
      <c r="L13" s="190"/>
      <c r="M13" s="190"/>
      <c r="N13" s="190"/>
      <c r="O13" s="190"/>
      <c r="P13" s="190"/>
      <c r="Q13" s="350"/>
      <c r="R13" s="350"/>
      <c r="S13" s="350"/>
      <c r="T13" s="350"/>
      <c r="U13" s="350"/>
      <c r="V13" s="190"/>
      <c r="W13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/>
      <c r="E14" s="535" t="s">
        <v>141</v>
      </c>
      <c r="F14" s="536"/>
      <c r="G14" s="537"/>
      <c r="H14" s="489" t="s">
        <v>210</v>
      </c>
      <c r="I14" s="490"/>
      <c r="J14" s="491"/>
      <c r="K14"/>
      <c r="L14" s="190"/>
      <c r="M14" s="190"/>
      <c r="N14" s="190"/>
      <c r="O14" s="190"/>
      <c r="P14" s="190"/>
      <c r="Q14" s="350" t="s">
        <v>149</v>
      </c>
      <c r="R14" s="350">
        <f>G10*R4</f>
        <v>12.157256711045441</v>
      </c>
      <c r="S14" s="350"/>
      <c r="T14" s="350"/>
      <c r="U14" s="350"/>
      <c r="V14" s="190"/>
      <c r="W14"/>
      <c r="X14"/>
      <c r="Y14"/>
    </row>
    <row r="15" spans="1:25" ht="15.75" thickBot="1" x14ac:dyDescent="0.3">
      <c r="A15"/>
      <c r="B15"/>
      <c r="C15"/>
      <c r="D15"/>
      <c r="E15" s="492" t="s">
        <v>143</v>
      </c>
      <c r="F15" s="493"/>
      <c r="G15" s="141">
        <f>0.87*'5 Estacas1'!L6-C6+(C8/2)</f>
        <v>30.555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 s="190"/>
      <c r="M15" s="190"/>
      <c r="N15" s="190"/>
      <c r="O15" s="190"/>
      <c r="P15" s="190"/>
      <c r="Q15" s="350"/>
      <c r="R15" s="350"/>
      <c r="S15" s="350"/>
      <c r="T15" s="350"/>
      <c r="U15" s="350"/>
      <c r="V15" s="190"/>
      <c r="W15"/>
      <c r="X15"/>
      <c r="Y15"/>
    </row>
    <row r="16" spans="1:25" ht="15.75" thickBot="1" x14ac:dyDescent="0.3">
      <c r="A16"/>
      <c r="B16" s="521" t="s">
        <v>216</v>
      </c>
      <c r="C16" s="465"/>
      <c r="D16"/>
      <c r="E16" s="500" t="s">
        <v>142</v>
      </c>
      <c r="F16" s="501"/>
      <c r="G16" s="142">
        <f>C11*R21*G4/R14</f>
        <v>13.203458915056791</v>
      </c>
      <c r="H16" s="497"/>
      <c r="I16" s="498"/>
      <c r="J16" s="499"/>
      <c r="K16" s="276"/>
      <c r="L16" s="190"/>
      <c r="M16" s="190"/>
      <c r="N16" s="190"/>
      <c r="O16" s="190"/>
      <c r="P16" s="190"/>
      <c r="Q16" s="350" t="s">
        <v>144</v>
      </c>
      <c r="R16" s="350">
        <f>0.3*0.7*Entradas2!C13^(2/3)</f>
        <v>1.795474744010531</v>
      </c>
      <c r="S16" s="350"/>
      <c r="T16" s="350"/>
      <c r="U16" s="350"/>
      <c r="V16" s="190"/>
      <c r="W16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/>
      <c r="E17" s="502" t="s">
        <v>180</v>
      </c>
      <c r="F17" s="503"/>
      <c r="G17" s="504"/>
      <c r="H17" s="2"/>
      <c r="I17" s="2"/>
      <c r="J17" s="2"/>
      <c r="K17"/>
      <c r="L17" s="190"/>
      <c r="M17" s="190"/>
      <c r="N17" s="190"/>
      <c r="O17" s="190"/>
      <c r="P17" s="190"/>
      <c r="Q17" s="350" t="s">
        <v>145</v>
      </c>
      <c r="R17" s="350">
        <f>R16/Entradas2!C17</f>
        <v>1.2824819600075221</v>
      </c>
      <c r="S17" s="350"/>
      <c r="T17" s="350"/>
      <c r="U17" s="350"/>
      <c r="V17" s="190"/>
      <c r="W17"/>
      <c r="X17"/>
      <c r="Y17"/>
    </row>
    <row r="18" spans="1:25" ht="15.75" thickBot="1" x14ac:dyDescent="0.3">
      <c r="A18"/>
      <c r="B18"/>
      <c r="C18"/>
      <c r="D18"/>
      <c r="E18" s="143"/>
      <c r="F18" s="538" t="s">
        <v>181</v>
      </c>
      <c r="G18" s="539"/>
      <c r="H18" s="2"/>
      <c r="I18" s="2"/>
      <c r="J18" s="2"/>
      <c r="K18"/>
      <c r="L18" s="190"/>
      <c r="M18" s="190"/>
      <c r="N18" s="190"/>
      <c r="O18" s="190"/>
      <c r="P18" s="190"/>
      <c r="Q18" s="350"/>
      <c r="R18" s="350"/>
      <c r="S18" s="350"/>
      <c r="T18" s="350"/>
      <c r="U18" s="350"/>
      <c r="V18" s="190"/>
      <c r="W18"/>
      <c r="X18"/>
      <c r="Y18"/>
    </row>
    <row r="19" spans="1:25" ht="15.75" thickBot="1" x14ac:dyDescent="0.3">
      <c r="A19"/>
      <c r="B19" s="521" t="s">
        <v>217</v>
      </c>
      <c r="C19" s="465"/>
      <c r="D19"/>
      <c r="E19" s="144"/>
      <c r="F19" s="540" t="s">
        <v>182</v>
      </c>
      <c r="G19" s="501"/>
      <c r="H19" s="2"/>
      <c r="I19" s="2"/>
      <c r="J19" s="2"/>
      <c r="K19"/>
      <c r="L19" s="190"/>
      <c r="M19" s="190"/>
      <c r="N19" s="190"/>
      <c r="O19" s="190"/>
      <c r="P19" s="190"/>
      <c r="Q19" s="350" t="s">
        <v>146</v>
      </c>
      <c r="R19" s="350">
        <f>C14*C17*C20*R17</f>
        <v>2.885584410016925</v>
      </c>
      <c r="S19" s="350"/>
      <c r="T19" s="350" t="s">
        <v>147</v>
      </c>
      <c r="U19" s="350">
        <f>R19/10</f>
        <v>0.28855844100169248</v>
      </c>
      <c r="V19" s="190"/>
      <c r="W19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/>
      <c r="E20"/>
      <c r="F20"/>
      <c r="G20"/>
      <c r="H20"/>
      <c r="I20"/>
      <c r="J20"/>
      <c r="K20"/>
      <c r="L20" s="190"/>
      <c r="M20" s="190"/>
      <c r="N20" s="190"/>
      <c r="O20" s="190"/>
      <c r="P20" s="190"/>
      <c r="Q20" s="350"/>
      <c r="R20" s="350"/>
      <c r="S20" s="350"/>
      <c r="T20" s="350"/>
      <c r="U20" s="350"/>
      <c r="V20" s="190"/>
      <c r="W2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IF(D107=20,8*D107,5*D107)</f>
        <v>31.5</v>
      </c>
      <c r="H21"/>
      <c r="I21"/>
      <c r="J21"/>
      <c r="K21"/>
      <c r="L21" s="190"/>
      <c r="M21" s="190"/>
      <c r="N21" s="190"/>
      <c r="O21" s="190"/>
      <c r="P21" s="190"/>
      <c r="Q21" s="350" t="s">
        <v>148</v>
      </c>
      <c r="R21" s="350">
        <f>(D107/10)*(C7/U19)/4</f>
        <v>18.984926764048765</v>
      </c>
      <c r="S21" s="350"/>
      <c r="T21" s="350"/>
      <c r="U21" s="350"/>
      <c r="V21" s="190"/>
      <c r="W21"/>
      <c r="X21"/>
      <c r="Y21"/>
    </row>
    <row r="22" spans="1:25" ht="15.75" thickBot="1" x14ac:dyDescent="0.3">
      <c r="A22"/>
      <c r="B22" s="190">
        <v>2</v>
      </c>
      <c r="C22"/>
      <c r="D22"/>
      <c r="E22" s="525"/>
      <c r="F22" s="526"/>
      <c r="G22" s="593"/>
      <c r="H22"/>
      <c r="I22"/>
      <c r="J22"/>
      <c r="K22"/>
      <c r="L22" s="190"/>
      <c r="M22" s="190"/>
      <c r="N22" s="190"/>
      <c r="O22" s="190"/>
      <c r="P22" s="190"/>
      <c r="Q22" s="350"/>
      <c r="R22" s="350"/>
      <c r="S22" s="350"/>
      <c r="T22" s="350"/>
      <c r="U22" s="350"/>
      <c r="V22" s="190"/>
      <c r="W22"/>
      <c r="X22"/>
      <c r="Y22"/>
    </row>
    <row r="23" spans="1:25" x14ac:dyDescent="0.25">
      <c r="A23"/>
      <c r="B23" s="191">
        <v>6.3</v>
      </c>
      <c r="E23" s="529" t="s">
        <v>151</v>
      </c>
      <c r="F23" s="530"/>
      <c r="G23" s="590" t="s">
        <v>235</v>
      </c>
      <c r="H23"/>
      <c r="I23"/>
      <c r="J23"/>
      <c r="K23"/>
      <c r="L23" s="190"/>
      <c r="M23" s="190"/>
      <c r="N23" s="190"/>
      <c r="O23" s="190"/>
      <c r="P23" s="190"/>
      <c r="Q23" s="350" t="s">
        <v>152</v>
      </c>
      <c r="R23" s="350">
        <f>2*'6 Estacas'!L7+2*('6 Estacas'!L6-C6-(G21/10)/2+PI()*(G21/10)/4+10*(D107/10))</f>
        <v>174.39800842940392</v>
      </c>
      <c r="S23" s="350"/>
      <c r="T23" s="350"/>
      <c r="U23" s="350"/>
      <c r="V23" s="190"/>
      <c r="W23"/>
      <c r="X23"/>
      <c r="Y23"/>
    </row>
    <row r="24" spans="1:25" ht="15.75" thickBot="1" x14ac:dyDescent="0.3">
      <c r="A24"/>
      <c r="B24" s="191">
        <v>5</v>
      </c>
      <c r="E24" s="531"/>
      <c r="F24" s="532"/>
      <c r="G24" s="591"/>
      <c r="H24" s="111"/>
      <c r="I24"/>
      <c r="J24"/>
      <c r="K24"/>
      <c r="L24" s="190"/>
      <c r="M24" s="190"/>
      <c r="N24" s="190"/>
      <c r="O24" s="190"/>
      <c r="P24" s="190"/>
      <c r="Q24" s="350" t="s">
        <v>153</v>
      </c>
      <c r="R24" s="350">
        <f>2*'6 Estacas'!L7+2*('3 Estacas1'!N6-C6-(G21/10)/2+PI()*(G21/10)/2+2*(D107/10))</f>
        <v>169.26601685880786</v>
      </c>
      <c r="S24" s="350"/>
      <c r="T24" s="350"/>
      <c r="U24" s="350"/>
      <c r="V24" s="190"/>
      <c r="W24"/>
      <c r="X24"/>
      <c r="Y24"/>
    </row>
    <row r="25" spans="1:25" ht="18" x14ac:dyDescent="0.35">
      <c r="A25"/>
      <c r="B25" s="191">
        <v>6.3</v>
      </c>
      <c r="E25"/>
      <c r="F25"/>
      <c r="G25"/>
      <c r="H25"/>
      <c r="I25" s="190" t="s">
        <v>213</v>
      </c>
      <c r="J25"/>
      <c r="K25"/>
      <c r="L25" s="190"/>
      <c r="M25" s="190"/>
      <c r="N25" s="190"/>
      <c r="O25" s="190"/>
      <c r="P25" s="190"/>
      <c r="Q25" s="350"/>
      <c r="R25" s="350"/>
      <c r="S25" s="350"/>
      <c r="T25" s="350"/>
      <c r="U25" s="350"/>
      <c r="V25" s="190"/>
      <c r="W25"/>
      <c r="X25"/>
      <c r="Y25"/>
    </row>
    <row r="26" spans="1:25" x14ac:dyDescent="0.25">
      <c r="A26"/>
      <c r="B26" s="191">
        <v>12.5</v>
      </c>
      <c r="F26"/>
      <c r="G26"/>
      <c r="H26"/>
      <c r="I26"/>
      <c r="J26"/>
      <c r="K26"/>
      <c r="L26" s="190"/>
      <c r="M26" s="190"/>
      <c r="N26" s="190"/>
      <c r="O26" s="190"/>
      <c r="P26" s="190"/>
      <c r="Q26" s="350"/>
      <c r="R26" s="350"/>
      <c r="S26" s="350"/>
      <c r="T26" s="350"/>
      <c r="U26" s="350"/>
      <c r="V26" s="190"/>
      <c r="W26"/>
      <c r="X26"/>
      <c r="Y26"/>
    </row>
    <row r="27" spans="1:25" x14ac:dyDescent="0.25">
      <c r="A27"/>
      <c r="B27" s="191">
        <v>16</v>
      </c>
      <c r="C27"/>
      <c r="D27"/>
      <c r="E27"/>
      <c r="F27"/>
      <c r="G27"/>
      <c r="H27"/>
      <c r="I27"/>
      <c r="J27"/>
      <c r="K27"/>
      <c r="L27" s="190"/>
      <c r="M27" s="190"/>
      <c r="N27" s="190"/>
      <c r="O27" s="190"/>
      <c r="P27" s="190"/>
      <c r="Q27" s="350" t="s">
        <v>168</v>
      </c>
      <c r="R27" s="350">
        <f>2*D107/10</f>
        <v>1.26</v>
      </c>
      <c r="S27" s="350"/>
      <c r="T27" s="350"/>
      <c r="U27" s="350"/>
      <c r="V27" s="190"/>
      <c r="W27"/>
      <c r="X27"/>
      <c r="Y27"/>
    </row>
    <row r="28" spans="1:25" ht="15.75" thickBot="1" x14ac:dyDescent="0.3">
      <c r="A28"/>
      <c r="B28" s="191">
        <v>20</v>
      </c>
      <c r="C28"/>
      <c r="D28"/>
      <c r="E28"/>
      <c r="F28"/>
      <c r="G28"/>
      <c r="H28"/>
      <c r="I28"/>
      <c r="J28"/>
      <c r="K28"/>
      <c r="L28" s="190"/>
      <c r="M28" s="190"/>
      <c r="N28" s="190"/>
      <c r="O28" s="190"/>
      <c r="P28" s="190"/>
      <c r="Q28" s="373" t="s">
        <v>169</v>
      </c>
      <c r="R28" s="350">
        <f>D107</f>
        <v>6.3</v>
      </c>
      <c r="S28" s="350"/>
      <c r="T28" s="350"/>
      <c r="U28" s="350"/>
      <c r="V28" s="190"/>
      <c r="W28"/>
      <c r="X28"/>
      <c r="Y28"/>
    </row>
    <row r="29" spans="1:25" ht="15" customHeight="1" x14ac:dyDescent="0.25">
      <c r="A29"/>
      <c r="B29" s="505" t="s">
        <v>255</v>
      </c>
      <c r="C29" s="506"/>
      <c r="D29" s="506"/>
      <c r="E29" s="506"/>
      <c r="F29" s="506"/>
      <c r="G29" s="507"/>
      <c r="H29"/>
      <c r="I29"/>
      <c r="J29"/>
      <c r="K29"/>
      <c r="L29" s="190"/>
      <c r="M29" s="190"/>
      <c r="N29" s="190"/>
      <c r="O29" s="190"/>
      <c r="P29" s="190"/>
      <c r="Q29" s="350"/>
      <c r="R29" s="350"/>
      <c r="S29" s="350"/>
      <c r="T29" s="350"/>
      <c r="U29" s="350"/>
      <c r="V29" s="190"/>
      <c r="W29"/>
      <c r="X29"/>
      <c r="Y29"/>
    </row>
    <row r="30" spans="1:25" ht="15.75" customHeight="1" thickBot="1" x14ac:dyDescent="0.3">
      <c r="A30"/>
      <c r="B30" s="508"/>
      <c r="C30" s="509"/>
      <c r="D30" s="509"/>
      <c r="E30" s="509"/>
      <c r="F30" s="509"/>
      <c r="G30" s="510"/>
      <c r="H30"/>
      <c r="I30"/>
      <c r="J30"/>
      <c r="K30"/>
      <c r="L30" s="190"/>
      <c r="M30" s="190"/>
      <c r="N30" s="190"/>
      <c r="O30" s="190"/>
      <c r="P30" s="190"/>
      <c r="Q30" s="350"/>
      <c r="R30" s="350"/>
      <c r="S30" s="350"/>
      <c r="T30" s="350"/>
      <c r="U30" s="350"/>
      <c r="V30" s="190"/>
      <c r="W30"/>
      <c r="X30"/>
      <c r="Y30"/>
    </row>
    <row r="31" spans="1:25" ht="15.75" thickBot="1" x14ac:dyDescent="0.3">
      <c r="A31"/>
      <c r="B31"/>
      <c r="C31"/>
      <c r="D31"/>
      <c r="E31"/>
      <c r="F31"/>
      <c r="G31"/>
      <c r="H31"/>
      <c r="I31"/>
      <c r="J31"/>
      <c r="K31"/>
      <c r="L31" s="190"/>
      <c r="M31" s="190"/>
      <c r="N31" s="190"/>
      <c r="O31" s="190"/>
      <c r="P31" s="190"/>
      <c r="Q31" s="350"/>
      <c r="R31" s="350"/>
      <c r="S31" s="350"/>
      <c r="T31" s="350"/>
      <c r="U31" s="350"/>
      <c r="V31" s="190"/>
      <c r="W31"/>
      <c r="X31"/>
      <c r="Y31"/>
    </row>
    <row r="32" spans="1:25" ht="19.5" thickBot="1" x14ac:dyDescent="0.35">
      <c r="A32"/>
      <c r="B32" s="511" t="s">
        <v>128</v>
      </c>
      <c r="C32" s="512"/>
      <c r="D32"/>
      <c r="E32" s="513" t="s">
        <v>205</v>
      </c>
      <c r="F32" s="514"/>
      <c r="G32" s="281">
        <f>(C33)/(C35)</f>
        <v>12.291244058683969</v>
      </c>
      <c r="H32"/>
      <c r="I32"/>
      <c r="J32"/>
      <c r="K32"/>
      <c r="L32" s="190"/>
      <c r="M32" s="190"/>
      <c r="N32" s="190"/>
      <c r="O32" s="190"/>
      <c r="P32" s="190"/>
      <c r="Q32" s="350" t="s">
        <v>130</v>
      </c>
      <c r="R32" s="350">
        <f>(PI()*(E112/10)^2)/4</f>
        <v>0.31172453105244724</v>
      </c>
      <c r="S32" s="350"/>
      <c r="T32" s="350"/>
      <c r="U32" s="350"/>
      <c r="V32" s="190"/>
      <c r="W32"/>
      <c r="X32"/>
      <c r="Y32"/>
    </row>
    <row r="33" spans="1:25" ht="18.75" thickBot="1" x14ac:dyDescent="0.3">
      <c r="A33"/>
      <c r="B33" s="120" t="s">
        <v>167</v>
      </c>
      <c r="C33" s="277">
        <f>(1.89*'5 Estacas1'!AD38+'5 Estacas1'!AD38)*0.2</f>
        <v>427.52153247596419</v>
      </c>
      <c r="D33"/>
      <c r="E33"/>
      <c r="F33"/>
      <c r="G33"/>
      <c r="H33"/>
      <c r="I33"/>
      <c r="J33"/>
      <c r="K33"/>
      <c r="L33" s="190"/>
      <c r="M33" s="190"/>
      <c r="N33" s="190"/>
      <c r="O33" s="190"/>
      <c r="P33" s="190"/>
      <c r="Q33" s="350"/>
      <c r="R33" s="350"/>
      <c r="S33" s="350"/>
      <c r="T33" s="350"/>
      <c r="U33" s="350"/>
      <c r="V33" s="190"/>
      <c r="W33"/>
      <c r="X33"/>
      <c r="Y33"/>
    </row>
    <row r="34" spans="1:25" ht="15" customHeight="1" x14ac:dyDescent="0.25">
      <c r="A34"/>
      <c r="B34" s="121" t="s">
        <v>129</v>
      </c>
      <c r="C34" s="278">
        <v>4</v>
      </c>
      <c r="D34"/>
      <c r="E34" s="515" t="s">
        <v>131</v>
      </c>
      <c r="F34" s="516"/>
      <c r="G34" s="517"/>
      <c r="H34" s="34"/>
      <c r="I34"/>
      <c r="J34"/>
      <c r="K34"/>
      <c r="L34" s="190"/>
      <c r="M34" s="190"/>
      <c r="N34" s="190"/>
      <c r="O34" s="190"/>
      <c r="P34" s="374" t="s">
        <v>256</v>
      </c>
      <c r="Q34" s="350" t="s">
        <v>135</v>
      </c>
      <c r="R34" s="350">
        <f>G38-1</f>
        <v>39</v>
      </c>
      <c r="S34" s="350"/>
      <c r="T34" s="350"/>
      <c r="U34" s="350"/>
      <c r="V34" s="190"/>
      <c r="W34"/>
      <c r="X34"/>
      <c r="Y34"/>
    </row>
    <row r="35" spans="1:25" ht="18" x14ac:dyDescent="0.25">
      <c r="A35"/>
      <c r="B35" s="121" t="s">
        <v>200</v>
      </c>
      <c r="C35" s="279">
        <f>(50/Entradas2!C18)*0.8</f>
        <v>34.782608695652179</v>
      </c>
      <c r="D35"/>
      <c r="E35" s="518"/>
      <c r="F35" s="519"/>
      <c r="G35" s="520"/>
      <c r="H35" s="237"/>
      <c r="I35"/>
      <c r="J35"/>
      <c r="K35"/>
      <c r="L35" s="190"/>
      <c r="M35" s="190" t="s">
        <v>229</v>
      </c>
      <c r="N35" s="190">
        <f>(('5 Estacas1'!L7-SIN(RADIANS(60))-(G38*(E112/10)))/(G38-1))*10</f>
        <v>8.0599934862091178</v>
      </c>
      <c r="O35" s="190"/>
      <c r="P35" s="190"/>
      <c r="Q35" s="350" t="s">
        <v>133</v>
      </c>
      <c r="R35" s="350">
        <f>G32/R32</f>
        <v>39.429826126247292</v>
      </c>
      <c r="S35" s="350"/>
      <c r="T35" s="350"/>
      <c r="U35" s="350"/>
      <c r="V35" s="190"/>
      <c r="W35"/>
      <c r="X35"/>
      <c r="Y35"/>
    </row>
    <row r="36" spans="1:25" ht="15.75" thickBot="1" x14ac:dyDescent="0.3">
      <c r="A36"/>
      <c r="B36" s="122" t="s">
        <v>136</v>
      </c>
      <c r="C36" s="280">
        <f>Entradas2!C22</f>
        <v>23</v>
      </c>
      <c r="D36"/>
      <c r="E36" s="253"/>
      <c r="F36" s="254"/>
      <c r="G36" s="255"/>
      <c r="H36" s="237"/>
      <c r="I36"/>
      <c r="J36"/>
      <c r="K36"/>
      <c r="L36" s="190"/>
      <c r="M36" s="190"/>
      <c r="N36" s="355">
        <v>20</v>
      </c>
      <c r="O36" s="190"/>
      <c r="P36" s="190"/>
      <c r="Q36" s="350" t="s">
        <v>137</v>
      </c>
      <c r="R36" s="350">
        <v>20</v>
      </c>
      <c r="S36" s="350"/>
      <c r="T36" s="350"/>
      <c r="U36" s="350"/>
      <c r="V36" s="190"/>
      <c r="W36"/>
      <c r="X36"/>
      <c r="Y36"/>
    </row>
    <row r="37" spans="1:25" ht="15" customHeight="1" thickBot="1" x14ac:dyDescent="0.3">
      <c r="A37"/>
      <c r="B37"/>
      <c r="C37"/>
      <c r="D37"/>
      <c r="E37" s="34"/>
      <c r="F37" s="34"/>
      <c r="G37" s="34"/>
      <c r="H37" s="34"/>
      <c r="I37"/>
      <c r="J37"/>
      <c r="K37"/>
      <c r="L37" s="190"/>
      <c r="M37" s="350"/>
      <c r="N37" s="355">
        <f>1.2*19</f>
        <v>22.8</v>
      </c>
      <c r="O37" s="190"/>
      <c r="P37" s="190"/>
      <c r="Q37" s="350"/>
      <c r="R37" s="350">
        <f>1.2*19</f>
        <v>22.8</v>
      </c>
      <c r="S37" s="350"/>
      <c r="T37" s="350"/>
      <c r="U37" s="350"/>
      <c r="V37" s="190"/>
      <c r="W37"/>
      <c r="X37"/>
      <c r="Y37"/>
    </row>
    <row r="38" spans="1:25" ht="15.75" customHeight="1" thickBot="1" x14ac:dyDescent="0.3">
      <c r="A38"/>
      <c r="B38" s="521" t="s">
        <v>214</v>
      </c>
      <c r="C38" s="465"/>
      <c r="D38"/>
      <c r="E38" s="489" t="s">
        <v>134</v>
      </c>
      <c r="F38" s="491"/>
      <c r="G38" s="282">
        <f>ROUNDUP(R35,0)</f>
        <v>40</v>
      </c>
      <c r="H38"/>
      <c r="I38"/>
      <c r="J38"/>
      <c r="K38"/>
      <c r="L38" s="190"/>
      <c r="M38" s="190"/>
      <c r="N38" s="355">
        <f>E112</f>
        <v>6.3</v>
      </c>
      <c r="O38" s="190"/>
      <c r="P38" s="190"/>
      <c r="Q38" s="350"/>
      <c r="R38" s="350">
        <f>E112</f>
        <v>6.3</v>
      </c>
      <c r="S38" s="350"/>
      <c r="T38" s="350"/>
      <c r="U38" s="350"/>
      <c r="V38" s="190"/>
      <c r="W38"/>
      <c r="X38"/>
      <c r="Y38"/>
    </row>
    <row r="39" spans="1:25" ht="15.75" customHeight="1" thickBot="1" x14ac:dyDescent="0.3">
      <c r="A39"/>
      <c r="B39" s="122" t="s">
        <v>204</v>
      </c>
      <c r="C39" s="280">
        <v>0.7</v>
      </c>
      <c r="D39"/>
      <c r="E39" s="541" t="s">
        <v>139</v>
      </c>
      <c r="F39" s="542"/>
      <c r="G39" s="636">
        <f>M39</f>
        <v>2.2800000000000002</v>
      </c>
      <c r="H39"/>
      <c r="I39"/>
      <c r="J39"/>
      <c r="K39"/>
      <c r="L39" s="190"/>
      <c r="M39" s="190">
        <f>LARGE(N35:N38,1)/10</f>
        <v>2.2800000000000002</v>
      </c>
      <c r="N39" s="355"/>
      <c r="O39" s="190"/>
      <c r="P39" s="190"/>
      <c r="Q39" s="350" t="s">
        <v>138</v>
      </c>
      <c r="R39" s="350">
        <f>(LARGE(R36:R38,1))/10</f>
        <v>2.2800000000000002</v>
      </c>
      <c r="S39" s="350"/>
      <c r="T39" s="350"/>
      <c r="U39" s="350"/>
      <c r="V39" s="190"/>
      <c r="W39"/>
      <c r="X39"/>
      <c r="Y39"/>
    </row>
    <row r="40" spans="1:25" ht="15.75" thickBot="1" x14ac:dyDescent="0.3">
      <c r="A40"/>
      <c r="B40"/>
      <c r="C40"/>
      <c r="D40"/>
      <c r="E40" s="531"/>
      <c r="F40" s="532"/>
      <c r="G40" s="637"/>
      <c r="H40"/>
      <c r="I40"/>
      <c r="J40"/>
      <c r="K40"/>
      <c r="L40" s="190"/>
      <c r="M40" s="190"/>
      <c r="N40" s="190"/>
      <c r="O40" s="190"/>
      <c r="P40" s="190"/>
      <c r="Q40" s="350" t="s">
        <v>140</v>
      </c>
      <c r="R40" s="350">
        <f>((C36)-G38*(E112/10))/R34</f>
        <v>-5.641025641025639E-2</v>
      </c>
      <c r="S40" s="350"/>
      <c r="T40" s="350"/>
      <c r="U40" s="350"/>
      <c r="V40" s="190"/>
      <c r="W40"/>
      <c r="X40"/>
      <c r="Y40"/>
    </row>
    <row r="41" spans="1:25" ht="15.75" thickBot="1" x14ac:dyDescent="0.3">
      <c r="A41"/>
      <c r="B41" s="521" t="s">
        <v>215</v>
      </c>
      <c r="C41" s="465"/>
      <c r="D41"/>
      <c r="E41"/>
      <c r="F41"/>
      <c r="G41"/>
      <c r="H41"/>
      <c r="I41"/>
      <c r="J41"/>
      <c r="K41"/>
      <c r="L41" s="190"/>
      <c r="M41" s="190"/>
      <c r="N41" s="190"/>
      <c r="O41" s="190"/>
      <c r="P41" s="190"/>
      <c r="Q41" s="350"/>
      <c r="R41" s="350"/>
      <c r="S41" s="350"/>
      <c r="T41" s="350"/>
      <c r="U41" s="350"/>
      <c r="V41" s="190"/>
      <c r="W41"/>
      <c r="X41"/>
      <c r="Y41"/>
    </row>
    <row r="42" spans="1:25" ht="15" customHeight="1" thickBot="1" x14ac:dyDescent="0.3">
      <c r="A42"/>
      <c r="B42" s="122" t="s">
        <v>201</v>
      </c>
      <c r="C42" s="280">
        <v>2.25</v>
      </c>
      <c r="D42"/>
      <c r="E42" s="535" t="s">
        <v>141</v>
      </c>
      <c r="F42" s="536"/>
      <c r="G42" s="537"/>
      <c r="H42" s="489" t="s">
        <v>210</v>
      </c>
      <c r="I42" s="490"/>
      <c r="J42" s="491"/>
      <c r="K42"/>
      <c r="L42" s="190"/>
      <c r="M42" s="190"/>
      <c r="N42" s="190"/>
      <c r="O42" s="190"/>
      <c r="P42" s="190"/>
      <c r="Q42" s="350" t="s">
        <v>149</v>
      </c>
      <c r="R42" s="350">
        <f>G38*R32</f>
        <v>12.46898124209789</v>
      </c>
      <c r="S42" s="350"/>
      <c r="T42" s="350"/>
      <c r="U42" s="350"/>
      <c r="V42" s="190"/>
      <c r="W42"/>
      <c r="X42"/>
      <c r="Y42"/>
    </row>
    <row r="43" spans="1:25" ht="15.75" thickBot="1" x14ac:dyDescent="0.3">
      <c r="A43"/>
      <c r="B43"/>
      <c r="C43"/>
      <c r="D43"/>
      <c r="E43" s="626" t="s">
        <v>143</v>
      </c>
      <c r="F43" s="627"/>
      <c r="G43" s="141">
        <f>'5 Estacas1'!L6*0.87-C34+(C36/2)</f>
        <v>30.555</v>
      </c>
      <c r="H43" s="494" t="str">
        <f>IF(G44&lt;=G43,"Verificação Atendida","Aumentar o Diâmetro da Barra ou fck do Concreto")</f>
        <v>Verificação Atendida</v>
      </c>
      <c r="I43" s="495"/>
      <c r="J43" s="496"/>
      <c r="K43" s="276"/>
      <c r="L43" s="190"/>
      <c r="M43" s="190"/>
      <c r="N43" s="190"/>
      <c r="O43" s="190"/>
      <c r="P43" s="190"/>
      <c r="Q43" s="350"/>
      <c r="R43" s="350"/>
      <c r="S43" s="350"/>
      <c r="T43" s="350"/>
      <c r="U43" s="350"/>
      <c r="V43" s="190"/>
      <c r="W43"/>
      <c r="X43"/>
      <c r="Y43"/>
    </row>
    <row r="44" spans="1:25" ht="15.75" thickBot="1" x14ac:dyDescent="0.3">
      <c r="A44"/>
      <c r="B44" s="521" t="s">
        <v>216</v>
      </c>
      <c r="C44" s="465"/>
      <c r="D44"/>
      <c r="E44" s="630" t="s">
        <v>142</v>
      </c>
      <c r="F44" s="631"/>
      <c r="G44" s="142">
        <f>C39*R49*G32/R42</f>
        <v>13.100016323204674</v>
      </c>
      <c r="H44" s="497"/>
      <c r="I44" s="498"/>
      <c r="J44" s="499"/>
      <c r="K44" s="276"/>
      <c r="L44" s="190"/>
      <c r="M44" s="190"/>
      <c r="N44" s="190"/>
      <c r="O44" s="190"/>
      <c r="P44" s="190"/>
      <c r="Q44" s="350" t="s">
        <v>144</v>
      </c>
      <c r="R44" s="350">
        <f>0.3*0.7*Entradas2!C13^(2/3)</f>
        <v>1.795474744010531</v>
      </c>
      <c r="S44" s="350"/>
      <c r="T44" s="350"/>
      <c r="U44" s="350"/>
      <c r="V44" s="190"/>
      <c r="W44"/>
      <c r="X44"/>
      <c r="Y44"/>
    </row>
    <row r="45" spans="1:25" ht="18.75" thickBot="1" x14ac:dyDescent="0.3">
      <c r="A45"/>
      <c r="B45" s="122" t="s">
        <v>202</v>
      </c>
      <c r="C45" s="280">
        <v>1</v>
      </c>
      <c r="D45"/>
      <c r="E45" s="623" t="s">
        <v>180</v>
      </c>
      <c r="F45" s="624"/>
      <c r="G45" s="625"/>
      <c r="H45" s="2"/>
      <c r="I45" s="2"/>
      <c r="J45" s="2"/>
      <c r="K45"/>
      <c r="L45" s="190"/>
      <c r="M45" s="190"/>
      <c r="N45" s="190"/>
      <c r="O45" s="190"/>
      <c r="P45" s="190"/>
      <c r="Q45" s="350" t="s">
        <v>145</v>
      </c>
      <c r="R45" s="350">
        <f>R44/Entradas2!C17</f>
        <v>1.2824819600075221</v>
      </c>
      <c r="S45" s="350"/>
      <c r="T45" s="350"/>
      <c r="U45" s="350"/>
      <c r="V45" s="190"/>
      <c r="W45"/>
      <c r="X45"/>
      <c r="Y45"/>
    </row>
    <row r="46" spans="1:25" ht="15.75" thickBot="1" x14ac:dyDescent="0.3">
      <c r="A46"/>
      <c r="B46"/>
      <c r="C46"/>
      <c r="D46"/>
      <c r="E46" s="143"/>
      <c r="F46" s="626" t="s">
        <v>181</v>
      </c>
      <c r="G46" s="627"/>
      <c r="H46" s="2"/>
      <c r="I46" s="2"/>
      <c r="J46" s="2"/>
      <c r="K46"/>
      <c r="L46" s="190"/>
      <c r="M46" s="190"/>
      <c r="N46" s="190"/>
      <c r="O46" s="190"/>
      <c r="P46" s="190"/>
      <c r="Q46" s="350"/>
      <c r="R46" s="350"/>
      <c r="S46" s="350"/>
      <c r="T46" s="350"/>
      <c r="U46" s="350"/>
      <c r="V46" s="190"/>
      <c r="W46"/>
      <c r="X46"/>
      <c r="Y46"/>
    </row>
    <row r="47" spans="1:25" ht="15.75" customHeight="1" thickBot="1" x14ac:dyDescent="0.3">
      <c r="A47"/>
      <c r="B47" s="521" t="s">
        <v>217</v>
      </c>
      <c r="C47" s="465"/>
      <c r="D47"/>
      <c r="E47" s="144"/>
      <c r="F47" s="630" t="s">
        <v>182</v>
      </c>
      <c r="G47" s="631"/>
      <c r="H47" s="2"/>
      <c r="I47" s="2"/>
      <c r="J47" s="2"/>
      <c r="K47"/>
      <c r="L47" s="190"/>
      <c r="M47" s="190"/>
      <c r="N47" s="190"/>
      <c r="O47" s="190"/>
      <c r="P47" s="190"/>
      <c r="Q47" s="350" t="s">
        <v>146</v>
      </c>
      <c r="R47" s="350">
        <f>C42*C45*C48*R45</f>
        <v>2.885584410016925</v>
      </c>
      <c r="S47" s="350"/>
      <c r="T47" s="350" t="s">
        <v>147</v>
      </c>
      <c r="U47" s="350">
        <f>R47/10</f>
        <v>0.28855844100169248</v>
      </c>
      <c r="V47" s="190"/>
      <c r="W47"/>
      <c r="X47"/>
      <c r="Y47"/>
    </row>
    <row r="48" spans="1:25" ht="18.75" thickBot="1" x14ac:dyDescent="0.3">
      <c r="A48"/>
      <c r="B48" s="122" t="s">
        <v>203</v>
      </c>
      <c r="C48" s="280">
        <v>1</v>
      </c>
      <c r="D48"/>
      <c r="E48"/>
      <c r="F48"/>
      <c r="G48"/>
      <c r="H48"/>
      <c r="I48"/>
      <c r="J48"/>
      <c r="K48"/>
      <c r="L48" s="190"/>
      <c r="M48" s="190"/>
      <c r="N48" s="190"/>
      <c r="O48" s="190"/>
      <c r="P48" s="190"/>
      <c r="Q48" s="350"/>
      <c r="R48" s="350"/>
      <c r="S48" s="350"/>
      <c r="T48" s="350"/>
      <c r="U48" s="350"/>
      <c r="V48" s="190"/>
      <c r="W48"/>
      <c r="X48"/>
      <c r="Y48"/>
    </row>
    <row r="49" spans="1:25" ht="15" customHeight="1" x14ac:dyDescent="0.25">
      <c r="A49"/>
      <c r="B49"/>
      <c r="C49"/>
      <c r="D49"/>
      <c r="E49" s="515" t="s">
        <v>150</v>
      </c>
      <c r="F49" s="517"/>
      <c r="G49" s="632">
        <f>IF(E112=20,8*E112,5*E112)</f>
        <v>31.5</v>
      </c>
      <c r="H49"/>
      <c r="I49"/>
      <c r="J49"/>
      <c r="K49"/>
      <c r="L49" s="190"/>
      <c r="M49" s="190"/>
      <c r="N49" s="190"/>
      <c r="O49" s="190"/>
      <c r="P49" s="190"/>
      <c r="Q49" s="350" t="s">
        <v>148</v>
      </c>
      <c r="R49" s="350">
        <f>(E112/10)*(C35/U47)/4</f>
        <v>18.984926764048765</v>
      </c>
      <c r="S49" s="350"/>
      <c r="T49" s="350"/>
      <c r="U49" s="350"/>
      <c r="V49" s="190"/>
      <c r="W49"/>
      <c r="X49"/>
      <c r="Y49"/>
    </row>
    <row r="50" spans="1:25" ht="15.75" thickBot="1" x14ac:dyDescent="0.3">
      <c r="A50"/>
      <c r="B50" s="103"/>
      <c r="C50"/>
      <c r="D50"/>
      <c r="E50" s="525"/>
      <c r="F50" s="526"/>
      <c r="G50" s="633"/>
      <c r="H50"/>
      <c r="I50"/>
      <c r="J50"/>
      <c r="K50"/>
      <c r="L50" s="190"/>
      <c r="M50" s="190"/>
      <c r="N50" s="190"/>
      <c r="O50" s="190"/>
      <c r="P50" s="190"/>
      <c r="Q50" s="350"/>
      <c r="R50" s="350"/>
      <c r="S50" s="350"/>
      <c r="T50" s="350"/>
      <c r="U50" s="350"/>
      <c r="V50" s="190"/>
      <c r="W50"/>
      <c r="X50"/>
      <c r="Y50"/>
    </row>
    <row r="51" spans="1:25" ht="15" customHeight="1" x14ac:dyDescent="0.25">
      <c r="A51"/>
      <c r="B51"/>
      <c r="C51"/>
      <c r="D51"/>
      <c r="E51" s="541" t="s">
        <v>151</v>
      </c>
      <c r="F51" s="542"/>
      <c r="G51" s="634" t="s">
        <v>235</v>
      </c>
      <c r="H51"/>
      <c r="I51"/>
      <c r="J51"/>
      <c r="K51"/>
      <c r="L51" s="190"/>
      <c r="M51" s="190"/>
      <c r="N51" s="190"/>
      <c r="O51" s="190"/>
      <c r="P51" s="190"/>
      <c r="Q51" s="350" t="s">
        <v>152</v>
      </c>
      <c r="R51" s="350">
        <f>'6 Estacas'!L7+2*('6 Estacas'!L6-C34-(G49/10)/2+PI()*(G49/10)/4+10*(E112/10))</f>
        <v>116.89800842940392</v>
      </c>
      <c r="S51" s="350"/>
      <c r="T51" s="350"/>
      <c r="U51" s="350"/>
      <c r="V51" s="190"/>
      <c r="W51"/>
      <c r="X51"/>
      <c r="Y51"/>
    </row>
    <row r="52" spans="1:25" ht="15.75" thickBot="1" x14ac:dyDescent="0.3">
      <c r="A52"/>
      <c r="B52"/>
      <c r="C52"/>
      <c r="D52"/>
      <c r="E52" s="531"/>
      <c r="F52" s="532"/>
      <c r="G52" s="635"/>
      <c r="H52" s="111"/>
      <c r="I52"/>
      <c r="J52"/>
      <c r="K52"/>
      <c r="L52" s="190"/>
      <c r="M52" s="190"/>
      <c r="N52" s="190"/>
      <c r="O52" s="190"/>
      <c r="P52" s="190"/>
      <c r="Q52" s="350" t="s">
        <v>153</v>
      </c>
      <c r="R52" s="350">
        <f>'6 Estacas'!L7+2*('6 Estacas'!L6-C34-(G49/10)/2+PI()*(G49/10)/2+2*(E112/10))</f>
        <v>111.76601685880786</v>
      </c>
      <c r="S52" s="350"/>
      <c r="T52" s="350"/>
      <c r="U52" s="350"/>
      <c r="V52" s="190"/>
      <c r="W52"/>
      <c r="X52"/>
      <c r="Y52"/>
    </row>
    <row r="53" spans="1:25" x14ac:dyDescent="0.25">
      <c r="A53"/>
      <c r="B53"/>
      <c r="C53"/>
      <c r="D53"/>
      <c r="E53"/>
      <c r="F53"/>
      <c r="G53"/>
      <c r="H53"/>
      <c r="I53"/>
      <c r="J53"/>
      <c r="K53"/>
      <c r="L53" s="190"/>
      <c r="M53" s="190"/>
      <c r="N53" s="190"/>
      <c r="O53" s="190"/>
      <c r="P53" s="190"/>
      <c r="Q53" s="350"/>
      <c r="R53" s="350"/>
      <c r="S53" s="350"/>
      <c r="T53" s="350"/>
      <c r="U53" s="350"/>
      <c r="V53" s="190"/>
      <c r="W53"/>
      <c r="X53"/>
      <c r="Y53"/>
    </row>
    <row r="54" spans="1:25" x14ac:dyDescent="0.25">
      <c r="A54"/>
      <c r="B54"/>
      <c r="C54"/>
      <c r="D54"/>
      <c r="E54"/>
      <c r="F54"/>
      <c r="G54"/>
      <c r="H54"/>
      <c r="I54"/>
      <c r="J54"/>
      <c r="K54"/>
      <c r="L54" s="190"/>
      <c r="M54" s="190"/>
      <c r="N54" s="190"/>
      <c r="O54" s="190"/>
      <c r="P54" s="190"/>
      <c r="Q54" s="350"/>
      <c r="R54" s="350"/>
      <c r="S54" s="350"/>
      <c r="T54" s="350"/>
      <c r="U54" s="350"/>
      <c r="V54" s="190"/>
      <c r="W54"/>
      <c r="X54"/>
      <c r="Y54"/>
    </row>
    <row r="55" spans="1:25" x14ac:dyDescent="0.25">
      <c r="A55"/>
      <c r="B55"/>
      <c r="C55"/>
      <c r="D55"/>
      <c r="E55"/>
      <c r="F55"/>
      <c r="G55"/>
      <c r="H55"/>
      <c r="I55"/>
      <c r="J55"/>
      <c r="K55"/>
      <c r="L55" s="190"/>
      <c r="M55" s="190"/>
      <c r="N55" s="190"/>
      <c r="O55" s="190"/>
      <c r="P55" s="190"/>
      <c r="Q55" s="350" t="s">
        <v>168</v>
      </c>
      <c r="R55" s="350">
        <f>2*E112/10</f>
        <v>1.26</v>
      </c>
      <c r="S55" s="350"/>
      <c r="T55" s="350"/>
      <c r="U55" s="350"/>
      <c r="V55" s="190"/>
      <c r="W55"/>
      <c r="X55"/>
      <c r="Y55"/>
    </row>
    <row r="56" spans="1:25" x14ac:dyDescent="0.25">
      <c r="A56"/>
      <c r="B56"/>
      <c r="C56"/>
      <c r="D56"/>
      <c r="E56"/>
      <c r="F56"/>
      <c r="G56"/>
      <c r="H56"/>
      <c r="I56"/>
      <c r="J56"/>
      <c r="K56"/>
      <c r="L56" s="190"/>
      <c r="M56" s="190"/>
      <c r="N56" s="190"/>
      <c r="O56" s="190"/>
      <c r="P56" s="190"/>
      <c r="Q56" s="373" t="s">
        <v>169</v>
      </c>
      <c r="R56" s="350">
        <f>E112</f>
        <v>6.3</v>
      </c>
      <c r="S56" s="350"/>
      <c r="T56" s="350"/>
      <c r="U56" s="350"/>
      <c r="V56" s="190"/>
      <c r="W56"/>
      <c r="X56"/>
      <c r="Y56"/>
    </row>
    <row r="57" spans="1:25" ht="15" customHeight="1" x14ac:dyDescent="0.25">
      <c r="A57"/>
      <c r="B57"/>
      <c r="C57"/>
      <c r="D57"/>
      <c r="E57"/>
      <c r="F57"/>
      <c r="G57"/>
      <c r="H57"/>
      <c r="I57"/>
      <c r="J57"/>
      <c r="K57"/>
      <c r="L57" s="190"/>
      <c r="M57" s="190"/>
      <c r="N57" s="190"/>
      <c r="O57" s="190"/>
      <c r="P57" s="190"/>
      <c r="Q57" s="350"/>
      <c r="R57" s="350"/>
      <c r="S57" s="350"/>
      <c r="T57" s="350"/>
      <c r="U57" s="350"/>
      <c r="V57" s="190"/>
      <c r="W57"/>
      <c r="X57"/>
      <c r="Y57"/>
    </row>
    <row r="58" spans="1:25" x14ac:dyDescent="0.25">
      <c r="A58"/>
      <c r="F58"/>
      <c r="G58"/>
      <c r="H58"/>
      <c r="I58"/>
      <c r="J58"/>
      <c r="K58"/>
      <c r="L58" s="190"/>
      <c r="M58" s="190"/>
      <c r="N58" s="190"/>
      <c r="O58" s="190"/>
      <c r="P58" s="190"/>
      <c r="Q58" s="350" t="s">
        <v>227</v>
      </c>
      <c r="R58" s="350"/>
      <c r="S58" s="350"/>
      <c r="T58" s="350"/>
      <c r="U58" s="350"/>
      <c r="V58" s="190"/>
      <c r="W58"/>
      <c r="X58"/>
      <c r="Y58"/>
    </row>
    <row r="59" spans="1:25" ht="15" customHeight="1" x14ac:dyDescent="0.25">
      <c r="A59"/>
      <c r="F59"/>
      <c r="G59"/>
      <c r="H59"/>
      <c r="I59"/>
      <c r="J59"/>
      <c r="K59"/>
      <c r="L59" s="190"/>
      <c r="M59" s="190"/>
      <c r="N59" s="190"/>
      <c r="O59" s="190"/>
      <c r="P59" s="190"/>
      <c r="Q59" s="350"/>
      <c r="R59" s="350"/>
      <c r="S59" s="350"/>
      <c r="T59" s="350"/>
      <c r="U59" s="350"/>
      <c r="V59" s="190"/>
      <c r="W59"/>
      <c r="X59"/>
      <c r="Y59"/>
    </row>
    <row r="60" spans="1:25" x14ac:dyDescent="0.25">
      <c r="A60"/>
      <c r="F60"/>
      <c r="G60"/>
      <c r="H60"/>
      <c r="I60"/>
      <c r="J60"/>
      <c r="K60"/>
      <c r="L60"/>
      <c r="M60"/>
      <c r="N60"/>
      <c r="O60"/>
      <c r="P60"/>
      <c r="V60"/>
      <c r="W60"/>
      <c r="X60"/>
      <c r="Y60"/>
    </row>
    <row r="61" spans="1:25" x14ac:dyDescent="0.25">
      <c r="A61"/>
      <c r="B61" s="126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V61"/>
      <c r="W61"/>
      <c r="X61"/>
      <c r="Y61"/>
    </row>
    <row r="62" spans="1:25" x14ac:dyDescent="0.25">
      <c r="A62"/>
      <c r="B62" s="126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V62"/>
      <c r="W62"/>
      <c r="X62"/>
      <c r="Y62"/>
    </row>
    <row r="63" spans="1:25" ht="18" x14ac:dyDescent="0.35">
      <c r="A63"/>
      <c r="B63" s="126"/>
      <c r="C63"/>
      <c r="D63"/>
      <c r="E63"/>
      <c r="F63"/>
      <c r="G63"/>
      <c r="H63"/>
      <c r="I63" s="190" t="s">
        <v>213</v>
      </c>
      <c r="J63"/>
      <c r="K63"/>
      <c r="L63"/>
      <c r="M63"/>
      <c r="N63"/>
      <c r="O63"/>
      <c r="P63"/>
      <c r="V63"/>
      <c r="W63"/>
      <c r="X63"/>
      <c r="Y63"/>
    </row>
    <row r="64" spans="1:25" x14ac:dyDescent="0.25">
      <c r="A64"/>
      <c r="B64" s="126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V64"/>
      <c r="W64"/>
      <c r="X64"/>
      <c r="Y64"/>
    </row>
    <row r="65" spans="1:2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V65"/>
      <c r="W65"/>
      <c r="X65"/>
      <c r="Y65"/>
    </row>
    <row r="66" spans="1:2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V66"/>
      <c r="W66"/>
      <c r="X66"/>
      <c r="Y66"/>
    </row>
    <row r="67" spans="1:2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V67"/>
      <c r="W67"/>
      <c r="X67"/>
      <c r="Y67"/>
    </row>
    <row r="68" spans="1:2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V68"/>
      <c r="W68"/>
      <c r="X68"/>
      <c r="Y68"/>
    </row>
    <row r="69" spans="1:25" x14ac:dyDescent="0.25">
      <c r="K69"/>
      <c r="L69"/>
      <c r="M69"/>
      <c r="N69"/>
      <c r="O69"/>
      <c r="P69"/>
      <c r="V69"/>
      <c r="W69"/>
      <c r="X69"/>
      <c r="Y69"/>
    </row>
    <row r="70" spans="1:25" x14ac:dyDescent="0.25">
      <c r="K70"/>
      <c r="L70"/>
      <c r="M70"/>
      <c r="N70"/>
      <c r="O70"/>
      <c r="P70"/>
      <c r="V70"/>
      <c r="W70"/>
      <c r="X70"/>
      <c r="Y70"/>
    </row>
    <row r="71" spans="1:25" x14ac:dyDescent="0.25">
      <c r="K71"/>
      <c r="L71"/>
      <c r="M71"/>
      <c r="N71"/>
      <c r="O71"/>
      <c r="P71"/>
      <c r="V71"/>
      <c r="W71"/>
      <c r="X71"/>
      <c r="Y71"/>
    </row>
    <row r="72" spans="1:25" x14ac:dyDescent="0.25">
      <c r="K72"/>
      <c r="L72"/>
      <c r="M72"/>
      <c r="N72"/>
      <c r="O72"/>
      <c r="P72"/>
      <c r="V72"/>
      <c r="W72"/>
      <c r="X72"/>
      <c r="Y72"/>
    </row>
    <row r="73" spans="1:25" x14ac:dyDescent="0.25">
      <c r="K73"/>
      <c r="L73"/>
      <c r="M73"/>
      <c r="N73"/>
      <c r="O73"/>
      <c r="P73"/>
      <c r="V73"/>
      <c r="W73"/>
      <c r="X73"/>
      <c r="Y73"/>
    </row>
    <row r="74" spans="1:25" x14ac:dyDescent="0.25">
      <c r="K74"/>
      <c r="L74"/>
      <c r="M74"/>
      <c r="N74"/>
      <c r="O74"/>
      <c r="P74"/>
      <c r="V74"/>
      <c r="W74"/>
      <c r="X74"/>
      <c r="Y74"/>
    </row>
    <row r="75" spans="1:25" x14ac:dyDescent="0.25">
      <c r="K75"/>
      <c r="L75"/>
      <c r="M75"/>
      <c r="N75"/>
      <c r="O75"/>
      <c r="P75"/>
      <c r="V75"/>
      <c r="W75"/>
      <c r="X75"/>
      <c r="Y75"/>
    </row>
    <row r="76" spans="1:25" x14ac:dyDescent="0.25">
      <c r="K76"/>
      <c r="L76"/>
      <c r="M76"/>
      <c r="N76"/>
      <c r="O76"/>
      <c r="P76"/>
      <c r="V76"/>
      <c r="W76"/>
      <c r="X76"/>
      <c r="Y76"/>
    </row>
    <row r="77" spans="1:25" x14ac:dyDescent="0.25">
      <c r="K77"/>
      <c r="L77"/>
      <c r="M77"/>
      <c r="N77"/>
      <c r="O77"/>
      <c r="P77"/>
      <c r="V77"/>
      <c r="W77"/>
      <c r="X77"/>
      <c r="Y77"/>
    </row>
    <row r="78" spans="1:25" x14ac:dyDescent="0.25">
      <c r="K78"/>
      <c r="L78"/>
      <c r="M78"/>
      <c r="N78"/>
      <c r="O78"/>
      <c r="P78"/>
      <c r="V78"/>
      <c r="W78"/>
      <c r="X78"/>
      <c r="Y78"/>
    </row>
    <row r="79" spans="1:25" x14ac:dyDescent="0.25">
      <c r="K79"/>
      <c r="L79"/>
      <c r="M79"/>
      <c r="N79"/>
      <c r="O79"/>
      <c r="P79"/>
      <c r="V79"/>
      <c r="W79"/>
      <c r="X79"/>
      <c r="Y79"/>
    </row>
    <row r="80" spans="1:25" x14ac:dyDescent="0.25">
      <c r="K80"/>
      <c r="L80"/>
      <c r="M80"/>
      <c r="N80"/>
      <c r="O80"/>
      <c r="P80"/>
      <c r="V80"/>
      <c r="W80"/>
      <c r="X80"/>
      <c r="Y80"/>
    </row>
    <row r="81" spans="1:25" x14ac:dyDescent="0.25">
      <c r="K81"/>
      <c r="L81"/>
      <c r="M81"/>
      <c r="N81"/>
      <c r="O81"/>
      <c r="P81"/>
      <c r="V81"/>
      <c r="W81"/>
      <c r="X81"/>
      <c r="Y81"/>
    </row>
    <row r="82" spans="1:25" x14ac:dyDescent="0.25">
      <c r="K82"/>
      <c r="L82"/>
      <c r="M82"/>
      <c r="N82"/>
      <c r="O82"/>
      <c r="P82"/>
      <c r="V82"/>
      <c r="W82"/>
      <c r="X82"/>
      <c r="Y82"/>
    </row>
    <row r="83" spans="1:25" x14ac:dyDescent="0.25">
      <c r="K83"/>
      <c r="L83"/>
      <c r="M83"/>
      <c r="N83"/>
      <c r="O83"/>
      <c r="P83"/>
      <c r="V83"/>
      <c r="W83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V84"/>
      <c r="W84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V85"/>
      <c r="W85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V86"/>
      <c r="W86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V87"/>
      <c r="W87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V88"/>
      <c r="W88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V89"/>
      <c r="W89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V90"/>
      <c r="W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V91"/>
      <c r="W91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 s="381"/>
      <c r="B102" s="381"/>
      <c r="C102" s="381"/>
      <c r="D102" s="381"/>
      <c r="E102" s="381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 s="381"/>
      <c r="B103" s="381"/>
      <c r="C103" s="381"/>
      <c r="D103" s="381"/>
      <c r="E103" s="381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 s="381"/>
      <c r="B104" s="388">
        <v>2</v>
      </c>
      <c r="C104" s="388"/>
      <c r="D104" s="388"/>
      <c r="E104" s="388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 s="381"/>
      <c r="B105" s="388">
        <v>5</v>
      </c>
      <c r="C105" s="388"/>
      <c r="D105" s="388"/>
      <c r="E105" s="388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 s="381"/>
      <c r="B106" s="388">
        <v>6.3</v>
      </c>
      <c r="C106" s="385"/>
      <c r="D106" s="385"/>
      <c r="E106" s="385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 s="381"/>
      <c r="B107" s="388"/>
      <c r="C107" s="385" t="s">
        <v>132</v>
      </c>
      <c r="D107" s="385">
        <f>IF(B104=1,B105,IF(B104=2,B106))</f>
        <v>6.3</v>
      </c>
      <c r="E107" s="385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 s="381"/>
      <c r="B108" s="388"/>
      <c r="C108" s="385"/>
      <c r="D108" s="385"/>
      <c r="E108" s="385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 s="381"/>
      <c r="B109" s="388"/>
      <c r="C109" s="385"/>
      <c r="D109" s="385"/>
      <c r="E109" s="385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 s="381"/>
      <c r="B110" s="388"/>
      <c r="C110" s="385"/>
      <c r="D110" s="385"/>
      <c r="E110" s="385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 s="381"/>
      <c r="B111" s="388">
        <v>2</v>
      </c>
      <c r="C111" s="385"/>
      <c r="D111" s="385"/>
      <c r="E111" s="385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 s="381"/>
      <c r="B112" s="389">
        <v>5</v>
      </c>
      <c r="C112" s="385"/>
      <c r="D112" s="385" t="s">
        <v>132</v>
      </c>
      <c r="E112" s="385">
        <f>IF(B111=1,B112,IF(2,B113))</f>
        <v>6.3</v>
      </c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 s="381"/>
      <c r="B113" s="389">
        <v>6.3</v>
      </c>
      <c r="C113" s="388"/>
      <c r="D113" s="388"/>
      <c r="E113" s="388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 s="381"/>
      <c r="B114" s="381"/>
      <c r="C114" s="381"/>
      <c r="D114" s="381"/>
      <c r="E114" s="381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 s="381"/>
      <c r="B115" s="381"/>
      <c r="C115" s="381"/>
      <c r="D115" s="381"/>
      <c r="E115" s="381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 s="381"/>
      <c r="B116" s="381"/>
      <c r="C116" s="381"/>
      <c r="D116" s="381"/>
      <c r="E116" s="381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 s="381"/>
      <c r="B117" s="381"/>
      <c r="C117" s="381"/>
      <c r="D117" s="381"/>
      <c r="E117" s="381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</sheetData>
  <sheetProtection password="DED7" sheet="1" objects="1" scenarios="1"/>
  <mergeCells count="47">
    <mergeCell ref="M3:N3"/>
    <mergeCell ref="B4:C4"/>
    <mergeCell ref="E4:F4"/>
    <mergeCell ref="E6:G7"/>
    <mergeCell ref="B10:C10"/>
    <mergeCell ref="E10:F10"/>
    <mergeCell ref="E15:F15"/>
    <mergeCell ref="H15:J16"/>
    <mergeCell ref="B16:C16"/>
    <mergeCell ref="E16:F16"/>
    <mergeCell ref="B1:G2"/>
    <mergeCell ref="E11:F12"/>
    <mergeCell ref="G11:G12"/>
    <mergeCell ref="B13:C13"/>
    <mergeCell ref="E14:G14"/>
    <mergeCell ref="H14:J14"/>
    <mergeCell ref="E34:G35"/>
    <mergeCell ref="E17:G17"/>
    <mergeCell ref="F18:G18"/>
    <mergeCell ref="B19:C19"/>
    <mergeCell ref="F19:G19"/>
    <mergeCell ref="E21:F22"/>
    <mergeCell ref="G21:G22"/>
    <mergeCell ref="E23:F24"/>
    <mergeCell ref="G23:G24"/>
    <mergeCell ref="B29:G30"/>
    <mergeCell ref="B32:C32"/>
    <mergeCell ref="E32:F32"/>
    <mergeCell ref="B38:C38"/>
    <mergeCell ref="E38:F38"/>
    <mergeCell ref="E39:F40"/>
    <mergeCell ref="G39:G40"/>
    <mergeCell ref="B41:C41"/>
    <mergeCell ref="H42:J42"/>
    <mergeCell ref="E43:F43"/>
    <mergeCell ref="H43:J44"/>
    <mergeCell ref="F46:G46"/>
    <mergeCell ref="B44:C44"/>
    <mergeCell ref="E44:F44"/>
    <mergeCell ref="E45:G45"/>
    <mergeCell ref="E42:G42"/>
    <mergeCell ref="B47:C47"/>
    <mergeCell ref="F47:G47"/>
    <mergeCell ref="E49:F50"/>
    <mergeCell ref="G49:G50"/>
    <mergeCell ref="E51:F52"/>
    <mergeCell ref="G51:G52"/>
  </mergeCells>
  <conditionalFormatting sqref="E15:E16 G15:G16 E43:E44 G43:G44">
    <cfRule type="expression" dxfId="33" priority="5">
      <formula>$G$16&gt;$G$15</formula>
    </cfRule>
    <cfRule type="expression" dxfId="32" priority="6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Drop Down 1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4" name="Drop Down 2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6" name="Button 4">
              <controlPr defaultSize="0" print="0" autoFill="0" autoPict="0" macro="[0]!Macro114">
                <anchor moveWithCells="1" sizeWithCells="1">
                  <from>
                    <xdr:col>7</xdr:col>
                    <xdr:colOff>419100</xdr:colOff>
                    <xdr:row>49</xdr:row>
                    <xdr:rowOff>161925</xdr:rowOff>
                  </from>
                  <to>
                    <xdr:col>10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7" name="Button 5">
              <controlPr defaultSize="0" print="0" autoFill="0" autoPict="0" macro="[0]!Macro113">
                <anchor moveWithCells="1" siz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600075</xdr:colOff>
                    <xdr:row>48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71"/>
  <sheetViews>
    <sheetView showGridLines="0" showRowColHeaders="0" tabSelected="1" zoomScale="85" zoomScaleNormal="85" workbookViewId="0"/>
  </sheetViews>
  <sheetFormatPr defaultRowHeight="15" x14ac:dyDescent="0.25"/>
  <cols>
    <col min="1" max="1" width="2.5703125" customWidth="1"/>
    <col min="3" max="3" width="12.42578125" customWidth="1"/>
    <col min="6" max="6" width="13.28515625" customWidth="1"/>
    <col min="7" max="7" width="12.7109375" customWidth="1"/>
    <col min="8" max="8" width="10.28515625" customWidth="1"/>
    <col min="9" max="9" width="0.85546875" customWidth="1"/>
    <col min="10" max="10" width="9.5703125" customWidth="1"/>
    <col min="14" max="14" width="7.140625" customWidth="1"/>
    <col min="15" max="15" width="6.7109375" customWidth="1"/>
    <col min="16" max="16" width="9.7109375" customWidth="1"/>
    <col min="17" max="17" width="4.85546875" customWidth="1"/>
    <col min="18" max="18" width="5.7109375" customWidth="1"/>
    <col min="19" max="19" width="32.5703125" bestFit="1" customWidth="1"/>
    <col min="20" max="20" width="10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113" t="s">
        <v>184</v>
      </c>
      <c r="T4" s="117" t="str">
        <f>'5 Estacas1'!K15</f>
        <v>Estaca E5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'5 Estacas1'!M15</f>
        <v>513.6504379036478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'5 Estacas1'!S9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'5 Estacas1'!S8</f>
        <v>35605.295711970473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'5 Estacas1'!S10</f>
        <v>11834.506089300046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'5 Estacas1'!S11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'5 Estacas1'!S12</f>
        <v>5329.3362060803338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'5 Estacas1'!S13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'5 Estacas1'!AD38</f>
        <v>739.6566305812529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'5 Estacas1'!S6</f>
        <v>0.65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'5 Estacas1'!S7</f>
        <v>0.75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'5 Estacas1'!L6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183"/>
      <c r="J16" s="183"/>
      <c r="K16" s="183"/>
      <c r="L16" s="183"/>
      <c r="M16" s="183"/>
      <c r="N16" s="183"/>
      <c r="O16" s="183"/>
      <c r="P16" s="183"/>
      <c r="Q16" s="183"/>
      <c r="R16" s="34"/>
      <c r="S16" s="114" t="s">
        <v>198</v>
      </c>
      <c r="T16" s="118">
        <f>'5 Estacas1'!L7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183"/>
      <c r="K17" s="183"/>
      <c r="L17" s="183"/>
      <c r="M17" s="183"/>
      <c r="N17" s="183"/>
      <c r="O17" s="183"/>
      <c r="P17" s="183"/>
      <c r="Q17" s="183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260"/>
      <c r="L18" s="34"/>
      <c r="M18" s="34"/>
      <c r="N18" s="34"/>
      <c r="O18" s="260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ht="22.5" customHeight="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(3.305*('5 Estacas1'!L7/100)+3.6*('5 Estacas1'!L6/100))*1.05*T14</f>
        <v>2.2478203125</v>
      </c>
      <c r="U19" s="276"/>
    </row>
    <row r="20" spans="1:21" ht="19.5" customHeight="1" x14ac:dyDescent="0.25">
      <c r="B20" s="41"/>
      <c r="C20" s="34"/>
      <c r="D20" s="34"/>
      <c r="E20" s="34"/>
      <c r="F20" s="34"/>
      <c r="G20" s="34"/>
      <c r="H20" s="34"/>
      <c r="I20" s="112"/>
      <c r="J20" s="560"/>
      <c r="K20" s="34"/>
      <c r="L20" s="34"/>
      <c r="M20" s="34"/>
      <c r="N20" s="34"/>
      <c r="O20" s="34"/>
      <c r="P20" s="560"/>
      <c r="Q20" s="260"/>
      <c r="R20" s="34"/>
      <c r="S20" s="114" t="s">
        <v>196</v>
      </c>
      <c r="T20" s="119" t="s">
        <v>197</v>
      </c>
    </row>
    <row r="21" spans="1:21" ht="18" customHeight="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260"/>
      <c r="R21" s="34"/>
      <c r="S21" s="594" t="s">
        <v>263</v>
      </c>
      <c r="T21" s="595"/>
      <c r="U21" s="283"/>
    </row>
    <row r="22" spans="1:21" ht="17.25" customHeight="1" x14ac:dyDescent="0.25">
      <c r="B22" s="41"/>
      <c r="C22" s="34"/>
      <c r="D22" s="34"/>
      <c r="E22" s="34"/>
      <c r="F22" s="34"/>
      <c r="G22" s="34"/>
      <c r="H22" s="34"/>
      <c r="I22" s="112"/>
      <c r="J22" s="560"/>
      <c r="K22" s="34"/>
      <c r="L22" s="34"/>
      <c r="M22" s="34"/>
      <c r="N22" s="34"/>
      <c r="O22" s="34"/>
      <c r="P22" s="560"/>
      <c r="Q22" s="260"/>
      <c r="R22" s="34"/>
      <c r="S22" s="114" t="s">
        <v>190</v>
      </c>
      <c r="T22" s="119">
        <f>'5 Estacas1Arm'!F107</f>
        <v>16</v>
      </c>
      <c r="U22" s="283"/>
    </row>
    <row r="23" spans="1:21" x14ac:dyDescent="0.25">
      <c r="B23" s="41"/>
      <c r="C23" s="34"/>
      <c r="D23" s="34"/>
      <c r="E23" s="34"/>
      <c r="F23" s="34"/>
      <c r="G23" s="34"/>
      <c r="H23" s="112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118">
        <f>'5 Estacas1Arm'!G11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'5 Estacas1Arm'!G22</f>
        <v>80</v>
      </c>
      <c r="U24" s="283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594" t="s">
        <v>264</v>
      </c>
      <c r="T25" s="595"/>
      <c r="U25" s="283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560"/>
      <c r="K26" s="260"/>
      <c r="L26" s="34"/>
      <c r="M26" s="34"/>
      <c r="N26" s="34"/>
      <c r="O26" s="260"/>
      <c r="P26" s="560"/>
      <c r="Q26" s="34"/>
      <c r="R26" s="34"/>
      <c r="S26" s="114" t="s">
        <v>190</v>
      </c>
      <c r="T26" s="119">
        <f>'5 Estacas1Arm'!F117</f>
        <v>12.5</v>
      </c>
      <c r="U26" s="283"/>
    </row>
    <row r="27" spans="1:21" x14ac:dyDescent="0.25">
      <c r="B27" s="41"/>
      <c r="C27" s="34"/>
      <c r="D27" s="34"/>
      <c r="E27" s="34"/>
      <c r="F27" s="34"/>
      <c r="G27" s="34"/>
      <c r="H27" s="34"/>
      <c r="I27" s="34"/>
      <c r="J27" s="560"/>
      <c r="K27" s="34"/>
      <c r="L27" s="34"/>
      <c r="M27" s="34"/>
      <c r="N27" s="34"/>
      <c r="O27" s="34"/>
      <c r="P27" s="560"/>
      <c r="Q27" s="34"/>
      <c r="R27" s="34"/>
      <c r="S27" s="114" t="s">
        <v>206</v>
      </c>
      <c r="T27" s="118">
        <f>'5 Estacas1Arm'!G40</f>
        <v>2.2800000000000002</v>
      </c>
      <c r="U27" s="283"/>
    </row>
    <row r="28" spans="1:21" ht="18.75" thickBot="1" x14ac:dyDescent="0.4">
      <c r="B28" s="41"/>
      <c r="C28" s="34"/>
      <c r="D28" s="34"/>
      <c r="E28" s="34"/>
      <c r="F28" s="34"/>
      <c r="G28" s="34"/>
      <c r="H28" s="34"/>
      <c r="J28" s="34"/>
      <c r="K28" s="34"/>
      <c r="L28" s="563"/>
      <c r="M28" s="563"/>
      <c r="N28" s="563"/>
      <c r="O28" s="34"/>
      <c r="P28" s="34"/>
      <c r="R28" s="34"/>
      <c r="S28" s="127" t="s">
        <v>207</v>
      </c>
      <c r="T28" s="128">
        <f>'5 Estacas1Arm'!G51</f>
        <v>62.5</v>
      </c>
      <c r="U28" s="283"/>
    </row>
    <row r="29" spans="1:21" x14ac:dyDescent="0.25">
      <c r="A29" s="42"/>
      <c r="B29" s="183"/>
      <c r="C29" s="183"/>
      <c r="D29" s="183"/>
      <c r="E29" s="183"/>
      <c r="F29" s="183"/>
      <c r="G29" s="183"/>
      <c r="H29" s="34"/>
      <c r="J29" s="34"/>
      <c r="K29" s="34"/>
      <c r="L29" s="34"/>
      <c r="M29" s="34"/>
      <c r="N29" s="34"/>
      <c r="O29" s="34"/>
      <c r="P29" s="34"/>
      <c r="R29" s="34"/>
      <c r="S29" s="594" t="s">
        <v>265</v>
      </c>
      <c r="T29" s="595"/>
      <c r="U29" s="283"/>
    </row>
    <row r="30" spans="1:21" ht="15" customHeight="1" x14ac:dyDescent="0.25">
      <c r="A30" s="42"/>
      <c r="B30" s="34"/>
      <c r="C30" s="34"/>
      <c r="D30" s="34"/>
      <c r="E30" s="558" t="s">
        <v>165</v>
      </c>
      <c r="F30" s="558"/>
      <c r="G30" s="558"/>
      <c r="H30" s="558"/>
      <c r="I30" s="34"/>
      <c r="J30" s="558" t="s">
        <v>166</v>
      </c>
      <c r="K30" s="613"/>
      <c r="L30" s="613"/>
      <c r="M30" s="613"/>
      <c r="N30" s="613"/>
      <c r="O30" s="34"/>
      <c r="P30" s="34"/>
      <c r="Q30" s="34"/>
      <c r="R30" s="34"/>
      <c r="S30" s="114" t="s">
        <v>190</v>
      </c>
      <c r="T30" s="119">
        <f>'5 Estacas1 Arm Dist'!D107</f>
        <v>6.3</v>
      </c>
      <c r="U30" s="283"/>
    </row>
    <row r="31" spans="1:21" x14ac:dyDescent="0.25">
      <c r="A31" s="42"/>
      <c r="H31" s="34"/>
      <c r="J31" s="30"/>
      <c r="R31" s="34"/>
      <c r="S31" s="114" t="s">
        <v>206</v>
      </c>
      <c r="T31" s="118">
        <f>'5 Estacas1 Arm Dist'!G11</f>
        <v>2.2800000000000002</v>
      </c>
      <c r="U31" s="283"/>
    </row>
    <row r="32" spans="1:21" ht="15" customHeight="1" thickBot="1" x14ac:dyDescent="0.4">
      <c r="A32" s="42"/>
      <c r="B32" s="34"/>
      <c r="C32" s="34"/>
      <c r="D32" s="34"/>
      <c r="E32" s="34"/>
      <c r="F32" s="34"/>
      <c r="G32" s="34"/>
      <c r="H32" s="34"/>
      <c r="R32" s="34"/>
      <c r="S32" s="127" t="s">
        <v>207</v>
      </c>
      <c r="T32" s="128">
        <f>'5 Estacas1 Arm Dist'!G21</f>
        <v>31.5</v>
      </c>
      <c r="U32" s="283"/>
    </row>
    <row r="33" spans="1:21" ht="12" customHeight="1" thickBot="1" x14ac:dyDescent="0.3">
      <c r="A33" s="42"/>
      <c r="B33" s="34"/>
      <c r="C33" s="34"/>
      <c r="D33" s="640" t="s">
        <v>261</v>
      </c>
      <c r="E33" s="643"/>
      <c r="F33" s="643"/>
      <c r="G33" s="644"/>
      <c r="H33" s="34"/>
      <c r="K33" s="640" t="s">
        <v>262</v>
      </c>
      <c r="L33" s="645"/>
      <c r="M33" s="645"/>
      <c r="N33" s="645"/>
      <c r="O33" s="646"/>
      <c r="R33" s="34"/>
      <c r="S33" s="594" t="s">
        <v>266</v>
      </c>
      <c r="T33" s="595"/>
      <c r="U33" s="283"/>
    </row>
    <row r="34" spans="1:21" ht="15.75" thickBot="1" x14ac:dyDescent="0.3">
      <c r="A34" s="42"/>
      <c r="D34" s="640" t="s">
        <v>267</v>
      </c>
      <c r="E34" s="641"/>
      <c r="F34" s="641"/>
      <c r="G34" s="642"/>
      <c r="S34" s="594" t="s">
        <v>240</v>
      </c>
      <c r="T34" s="595"/>
      <c r="U34" s="283"/>
    </row>
    <row r="35" spans="1:21" ht="20.25" customHeight="1" x14ac:dyDescent="0.25">
      <c r="A35" s="42"/>
      <c r="D35" s="263" t="str">
        <f>CONCATENATE(IF(T22=20,2*T22/10,0)," cm")</f>
        <v>0 cm</v>
      </c>
      <c r="G35" s="263" t="str">
        <f>CONCATENATE(IF(T22=20,2*T22/10,0)," cm")</f>
        <v>0 cm</v>
      </c>
      <c r="K35" s="263" t="str">
        <f>CONCATENATE(IF(T26=20,2*T26/10,0)," cm")</f>
        <v>0 cm</v>
      </c>
      <c r="O35" s="263" t="str">
        <f>CONCATENATE(IF(T26=20,2*T26/10,0)," cm")</f>
        <v>0 cm</v>
      </c>
      <c r="S35" s="114" t="s">
        <v>190</v>
      </c>
      <c r="T35" s="119">
        <f>'5 Estacas1 Arm Dist'!E112</f>
        <v>6.3</v>
      </c>
      <c r="U35" s="283"/>
    </row>
    <row r="36" spans="1:21" ht="23.25" customHeight="1" x14ac:dyDescent="0.25">
      <c r="A36" s="42"/>
      <c r="C36" s="639" t="str">
        <f>CONCATENATE(IF(T22&lt;20,T22, "Dobra de 8Ф")," cm")</f>
        <v>16 cm</v>
      </c>
      <c r="H36" s="639" t="str">
        <f>CONCATENATE(IF(T22&lt;20,T22, "Dobra de 8Ф")," cm")</f>
        <v>16 cm</v>
      </c>
      <c r="J36" s="639" t="str">
        <f>CONCATENATE(IF(T26&lt;20,T26, "Dobra de 8Ф")," cm")</f>
        <v>12,5 cm</v>
      </c>
      <c r="P36" s="639" t="str">
        <f>CONCATENATE(IF(T26&lt;20,T26, "Dobra de 8Ф")," cm")</f>
        <v>12,5 cm</v>
      </c>
      <c r="S36" s="114" t="s">
        <v>206</v>
      </c>
      <c r="T36" s="118">
        <f>'5 Estacas1 Arm Dist'!G39</f>
        <v>2.2800000000000002</v>
      </c>
      <c r="U36" s="283"/>
    </row>
    <row r="37" spans="1:21" ht="18.75" thickBot="1" x14ac:dyDescent="0.4">
      <c r="A37" s="42"/>
      <c r="C37" s="639"/>
      <c r="D37" s="551" t="str">
        <f>CONCATENATE(2*T16+2*T15-2*4-T24/10," cm")</f>
        <v>152 cm</v>
      </c>
      <c r="E37" s="551"/>
      <c r="F37" s="551"/>
      <c r="G37" s="551"/>
      <c r="H37" s="639"/>
      <c r="J37" s="639"/>
      <c r="K37" s="551" t="str">
        <f>CONCATENATE(1*T16+2*T15-2*4-T28/10," cm")</f>
        <v>96,25 cm</v>
      </c>
      <c r="L37" s="551"/>
      <c r="M37" s="551"/>
      <c r="N37" s="551"/>
      <c r="O37" s="551"/>
      <c r="P37" s="639"/>
      <c r="S37" s="127" t="s">
        <v>207</v>
      </c>
      <c r="T37" s="128">
        <f>'5 Estacas1 Arm Dist'!G49</f>
        <v>31.5</v>
      </c>
      <c r="U37" s="283"/>
    </row>
    <row r="38" spans="1:21" x14ac:dyDescent="0.25">
      <c r="A38" s="42"/>
      <c r="D38" s="551" t="str">
        <f>CONCATENATE('5 Estacas1Arm'!G10," Ф ",T22," mm"," c/ ",'5 Estacas1Arm'!G24," cm.")</f>
        <v>8 Ф 16 mm c/ 190 cm.</v>
      </c>
      <c r="E38" s="551"/>
      <c r="F38" s="551"/>
      <c r="G38" s="551"/>
      <c r="K38" s="551" t="str">
        <f>CONCATENATE('5 Estacas1Arm'!G39," Ф ",T26," mm"," c/ ",'5 Estacas1Arm'!G53," cm.")</f>
        <v>27 Ф 12,5 mm c/ 140 cm.</v>
      </c>
      <c r="L38" s="551"/>
      <c r="M38" s="551"/>
      <c r="N38" s="551"/>
      <c r="O38" s="551"/>
      <c r="T38" s="268"/>
    </row>
    <row r="39" spans="1:21" x14ac:dyDescent="0.25">
      <c r="A39" s="42"/>
      <c r="T39" s="42"/>
    </row>
    <row r="40" spans="1:21" ht="15.75" thickBot="1" x14ac:dyDescent="0.3">
      <c r="A40" s="42"/>
      <c r="K40" s="264"/>
      <c r="L40" s="265"/>
      <c r="M40" s="265"/>
      <c r="N40" s="265"/>
      <c r="O40" s="265"/>
      <c r="T40" s="42"/>
    </row>
    <row r="41" spans="1:21" ht="15.75" thickBot="1" x14ac:dyDescent="0.3">
      <c r="A41" s="42"/>
      <c r="D41" s="640" t="s">
        <v>268</v>
      </c>
      <c r="E41" s="641"/>
      <c r="F41" s="641"/>
      <c r="G41" s="642"/>
      <c r="T41" s="42"/>
    </row>
    <row r="42" spans="1:21" ht="21" customHeight="1" x14ac:dyDescent="0.25">
      <c r="A42" s="42"/>
      <c r="D42" s="263" t="str">
        <f>CONCATENATE(IF(T22=20,2*T22/10,0)," cm")</f>
        <v>0 cm</v>
      </c>
      <c r="G42" s="263" t="str">
        <f>CONCATENATE(IF(T22=20,2*T22/10,0)," cm")</f>
        <v>0 cm</v>
      </c>
      <c r="K42" s="263" t="str">
        <f>CONCATENATE(IF(T35=20,2*T35/10,0)," cm")</f>
        <v>0 cm</v>
      </c>
      <c r="O42" s="263" t="str">
        <f>CONCATENATE(IF(T35=20,2*T35/10,0)," cm")</f>
        <v>0 cm</v>
      </c>
      <c r="T42" s="42"/>
    </row>
    <row r="43" spans="1:21" ht="21" customHeight="1" x14ac:dyDescent="0.25">
      <c r="A43" s="42"/>
      <c r="C43" s="639" t="str">
        <f>CONCATENATE(IF(T22&lt;20,T22, "Dobra de 8Ф")," cm")</f>
        <v>16 cm</v>
      </c>
      <c r="H43" s="639" t="str">
        <f>CONCATENATE(IF(T22&lt;20,T22, "Dobra de 8Ф")," cm")</f>
        <v>16 cm</v>
      </c>
      <c r="J43" s="562" t="str">
        <f>CONCATENATE(IF(T35&lt;20,T35, "Dobra de 8Ф")," cm")</f>
        <v>6,3 cm</v>
      </c>
      <c r="P43" s="562" t="str">
        <f>CONCATENATE(IF(T35&lt;20,T35, "Dobra de 8Ф")," cm")</f>
        <v>6,3 cm</v>
      </c>
      <c r="T43" s="42"/>
    </row>
    <row r="44" spans="1:21" ht="20.25" customHeight="1" x14ac:dyDescent="0.25">
      <c r="A44" s="42"/>
      <c r="C44" s="639"/>
      <c r="D44" s="562" t="str">
        <f>CONCATENATE(T16+2*T15-2*4-T24/10," cm")</f>
        <v>94,5 cm</v>
      </c>
      <c r="E44" s="562"/>
      <c r="F44" s="562"/>
      <c r="G44" s="562"/>
      <c r="H44" s="639"/>
      <c r="J44" s="562"/>
      <c r="K44" s="551" t="s">
        <v>235</v>
      </c>
      <c r="L44" s="551"/>
      <c r="M44" s="551"/>
      <c r="N44" s="551"/>
      <c r="O44" s="551"/>
      <c r="P44" s="562"/>
      <c r="T44" s="42"/>
    </row>
    <row r="45" spans="1:21" x14ac:dyDescent="0.25">
      <c r="A45" s="42"/>
      <c r="D45" s="551" t="str">
        <f>CONCATENATE('5 Estacas1Arm'!G10," Ф ",T22," mm"," c/ ",'5 Estacas1Arm'!G26," cm.")</f>
        <v>8 Ф 16 mm c/ 133 cm.</v>
      </c>
      <c r="E45" s="551"/>
      <c r="F45" s="551"/>
      <c r="G45" s="551"/>
      <c r="K45" s="551" t="str">
        <f>CONCATENATE('5 Estacas1 Arm Dist'!G38," Ф ",T35," mm"," c/ ",'5 Estacas1 Arm Dist'!G51," cm.")</f>
        <v>40 Ф 6,3 mm c/ Variável cm.</v>
      </c>
      <c r="L45" s="551"/>
      <c r="M45" s="551"/>
      <c r="N45" s="551"/>
      <c r="O45" s="551"/>
      <c r="T45" s="42"/>
    </row>
    <row r="46" spans="1:21" x14ac:dyDescent="0.25">
      <c r="A46" s="42"/>
      <c r="T46" s="42"/>
    </row>
    <row r="47" spans="1:21" ht="15.75" thickBot="1" x14ac:dyDescent="0.3">
      <c r="A47" s="42"/>
      <c r="T47" s="42"/>
    </row>
    <row r="48" spans="1:21" ht="15.75" thickBot="1" x14ac:dyDescent="0.3">
      <c r="A48" s="42"/>
      <c r="D48" s="640" t="s">
        <v>240</v>
      </c>
      <c r="E48" s="641"/>
      <c r="F48" s="641"/>
      <c r="G48" s="642"/>
      <c r="T48" s="42"/>
    </row>
    <row r="49" spans="1:20" ht="18" customHeight="1" x14ac:dyDescent="0.25">
      <c r="A49" s="42"/>
      <c r="D49" s="263" t="str">
        <f>CONCATENATE(IF(T30=20,2*T30/10,0)," cm")</f>
        <v>0 cm</v>
      </c>
      <c r="G49" s="263" t="str">
        <f>CONCATENATE(IF(T30=20,2*T30/10,0)," cm")</f>
        <v>0 cm</v>
      </c>
      <c r="T49" s="42"/>
    </row>
    <row r="50" spans="1:20" x14ac:dyDescent="0.25">
      <c r="A50" s="42"/>
      <c r="C50" s="562" t="str">
        <f>CONCATENATE(IF(T30&lt;20,T30, "Dobra de 8Ф")," cm")</f>
        <v>6,3 cm</v>
      </c>
      <c r="H50" s="639" t="str">
        <f>CONCATENATE(IF(T30&lt;20,T30, "Dobra de 8Ф")," cm")</f>
        <v>6,3 cm</v>
      </c>
      <c r="T50" s="42"/>
    </row>
    <row r="51" spans="1:20" x14ac:dyDescent="0.25">
      <c r="A51" s="42"/>
      <c r="C51" s="562"/>
      <c r="D51" s="562" t="s">
        <v>235</v>
      </c>
      <c r="E51" s="562"/>
      <c r="F51" s="562"/>
      <c r="G51" s="562"/>
      <c r="H51" s="639"/>
      <c r="T51" s="42"/>
    </row>
    <row r="52" spans="1:20" x14ac:dyDescent="0.25">
      <c r="A52" s="42"/>
      <c r="C52" s="562"/>
      <c r="D52" s="551" t="str">
        <f>CONCATENATE('5 Estacas1 Arm Dist'!G10," Ф ",T35," mm"," c/ ",'5 Estacas1 Arm Dist'!G51," cm.")</f>
        <v>39 Ф 6,3 mm c/ Variável cm.</v>
      </c>
      <c r="E52" s="551"/>
      <c r="F52" s="551"/>
      <c r="G52" s="551"/>
      <c r="H52" s="639"/>
      <c r="T52" s="42"/>
    </row>
    <row r="53" spans="1:20" x14ac:dyDescent="0.25">
      <c r="A53" s="42"/>
      <c r="T53" s="42"/>
    </row>
    <row r="54" spans="1:20" x14ac:dyDescent="0.25">
      <c r="A54" s="42"/>
      <c r="T54" s="42"/>
    </row>
    <row r="55" spans="1:20" ht="15.75" thickBot="1" x14ac:dyDescent="0.3">
      <c r="A55" s="42"/>
      <c r="T55" s="42"/>
    </row>
    <row r="56" spans="1:20" ht="15.75" thickBot="1" x14ac:dyDescent="0.3">
      <c r="A56" s="42"/>
      <c r="J56" s="566" t="s">
        <v>273</v>
      </c>
      <c r="K56" s="567"/>
      <c r="L56" s="567"/>
      <c r="M56" s="567"/>
      <c r="N56" s="567"/>
      <c r="O56" s="567"/>
      <c r="P56" s="567"/>
      <c r="Q56" s="567"/>
      <c r="R56" s="568"/>
      <c r="S56" s="276"/>
      <c r="T56" s="42"/>
    </row>
    <row r="57" spans="1:20" ht="18" x14ac:dyDescent="0.35">
      <c r="A57" s="42"/>
      <c r="J57" s="569" t="s">
        <v>194</v>
      </c>
      <c r="K57" s="570"/>
      <c r="L57" s="570" t="s">
        <v>193</v>
      </c>
      <c r="M57" s="570"/>
      <c r="N57" s="570" t="s">
        <v>192</v>
      </c>
      <c r="O57" s="570"/>
      <c r="P57" s="570" t="s">
        <v>191</v>
      </c>
      <c r="Q57" s="570"/>
      <c r="R57" s="571"/>
      <c r="S57" s="276"/>
      <c r="T57" s="42"/>
    </row>
    <row r="58" spans="1:20" ht="15.75" thickBot="1" x14ac:dyDescent="0.3">
      <c r="A58" s="42"/>
      <c r="J58" s="573">
        <f>T22</f>
        <v>16</v>
      </c>
      <c r="K58" s="486"/>
      <c r="L58" s="564">
        <f>(('5 Estacas1Arm'!G24+'5 Estacas1Arm'!G26)/100)*'5 Estacas1Arm'!G10*2</f>
        <v>51.68</v>
      </c>
      <c r="M58" s="486"/>
      <c r="N58" s="486">
        <f>IF(T22=6.3,0.245,IF(T22=8,0.395,IF(T22=10,0.617,IF(T22=12.5,0.963,IF(T22=16,1.578,IF(T22=20,2.466))))))</f>
        <v>1.5780000000000001</v>
      </c>
      <c r="O58" s="486"/>
      <c r="P58" s="564">
        <f>(N58*L58)*1.1</f>
        <v>89.706144000000009</v>
      </c>
      <c r="Q58" s="564"/>
      <c r="R58" s="565"/>
      <c r="S58" s="276"/>
      <c r="T58" s="42"/>
    </row>
    <row r="59" spans="1:20" ht="15.75" thickBot="1" x14ac:dyDescent="0.3">
      <c r="A59" s="42"/>
      <c r="S59" s="276"/>
      <c r="T59" s="42"/>
    </row>
    <row r="60" spans="1:20" ht="15.75" thickBot="1" x14ac:dyDescent="0.3">
      <c r="A60" s="42"/>
      <c r="J60" s="566" t="s">
        <v>274</v>
      </c>
      <c r="K60" s="567"/>
      <c r="L60" s="567"/>
      <c r="M60" s="567"/>
      <c r="N60" s="567"/>
      <c r="O60" s="567"/>
      <c r="P60" s="567"/>
      <c r="Q60" s="567"/>
      <c r="R60" s="568"/>
      <c r="S60" s="276"/>
      <c r="T60" s="42"/>
    </row>
    <row r="61" spans="1:20" ht="18" x14ac:dyDescent="0.35">
      <c r="A61" s="42"/>
      <c r="J61" s="569" t="s">
        <v>194</v>
      </c>
      <c r="K61" s="570"/>
      <c r="L61" s="570" t="s">
        <v>193</v>
      </c>
      <c r="M61" s="570"/>
      <c r="N61" s="570" t="s">
        <v>192</v>
      </c>
      <c r="O61" s="570"/>
      <c r="P61" s="570" t="s">
        <v>191</v>
      </c>
      <c r="Q61" s="570"/>
      <c r="R61" s="571"/>
      <c r="S61" s="276"/>
      <c r="T61" s="42"/>
    </row>
    <row r="62" spans="1:20" ht="15.75" thickBot="1" x14ac:dyDescent="0.3">
      <c r="A62" s="42"/>
      <c r="J62" s="573">
        <f>T26</f>
        <v>12.5</v>
      </c>
      <c r="K62" s="486"/>
      <c r="L62" s="564">
        <f>(('5 Estacas1Arm'!G53*2)/100)*'5 Estacas1Arm'!G39</f>
        <v>75.599999999999994</v>
      </c>
      <c r="M62" s="486"/>
      <c r="N62" s="486">
        <f>IF(T26=6.3,0.245,IF(T26=8,0.395,IF(T26=10,0.617,IF(T26=12.5,0.963,IF(T26=16,1.578,IF(T26=20,2.466))))))</f>
        <v>0.96299999999999997</v>
      </c>
      <c r="O62" s="486"/>
      <c r="P62" s="564">
        <f>(N62*L62)*1.1</f>
        <v>80.083079999999995</v>
      </c>
      <c r="Q62" s="564"/>
      <c r="R62" s="565"/>
      <c r="S62" s="276"/>
      <c r="T62" s="42"/>
    </row>
    <row r="63" spans="1:20" ht="15.75" thickBot="1" x14ac:dyDescent="0.3">
      <c r="A63" s="42"/>
      <c r="T63" s="42"/>
    </row>
    <row r="64" spans="1:20" ht="15.75" thickBot="1" x14ac:dyDescent="0.3">
      <c r="A64" s="42"/>
      <c r="J64" s="566" t="s">
        <v>275</v>
      </c>
      <c r="K64" s="567"/>
      <c r="L64" s="567"/>
      <c r="M64" s="567"/>
      <c r="N64" s="567"/>
      <c r="O64" s="567"/>
      <c r="P64" s="567"/>
      <c r="Q64" s="567"/>
      <c r="R64" s="568"/>
      <c r="T64" s="42"/>
    </row>
    <row r="65" spans="1:21" ht="18" x14ac:dyDescent="0.35">
      <c r="A65" s="42"/>
      <c r="J65" s="569" t="s">
        <v>194</v>
      </c>
      <c r="K65" s="570"/>
      <c r="L65" s="570" t="s">
        <v>193</v>
      </c>
      <c r="M65" s="570"/>
      <c r="N65" s="570" t="s">
        <v>192</v>
      </c>
      <c r="O65" s="570"/>
      <c r="P65" s="570" t="s">
        <v>191</v>
      </c>
      <c r="Q65" s="570"/>
      <c r="R65" s="571"/>
      <c r="T65" s="42"/>
    </row>
    <row r="66" spans="1:21" ht="15.75" thickBot="1" x14ac:dyDescent="0.3">
      <c r="A66" s="42"/>
      <c r="J66" s="573">
        <f>T30</f>
        <v>6.3</v>
      </c>
      <c r="K66" s="486"/>
      <c r="L66" s="564" t="s">
        <v>235</v>
      </c>
      <c r="M66" s="486"/>
      <c r="N66" s="486">
        <f>IF(T30=6.3,0.245,IF(T30=8,0.395,IF(T30=10,0.617,IF(T30=12.5,0.963,IF(T30=16,1.578,IF(T30=20,2.466))))))</f>
        <v>0.245</v>
      </c>
      <c r="O66" s="486"/>
      <c r="P66" s="564" t="s">
        <v>235</v>
      </c>
      <c r="Q66" s="564"/>
      <c r="R66" s="565"/>
      <c r="T66" s="42"/>
    </row>
    <row r="67" spans="1:21" ht="15.75" thickBot="1" x14ac:dyDescent="0.3">
      <c r="A67" s="42"/>
      <c r="B67" s="41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42"/>
      <c r="U67" s="34"/>
    </row>
    <row r="68" spans="1:21" ht="15.75" thickBot="1" x14ac:dyDescent="0.3">
      <c r="A68" s="42"/>
      <c r="J68" s="638" t="s">
        <v>195</v>
      </c>
      <c r="K68" s="638"/>
      <c r="L68" s="638"/>
      <c r="M68" s="638"/>
      <c r="N68" s="638"/>
      <c r="O68" s="638"/>
      <c r="P68" s="638"/>
      <c r="Q68" s="638"/>
      <c r="R68" s="638"/>
      <c r="T68" s="42"/>
    </row>
    <row r="69" spans="1:21" ht="18" x14ac:dyDescent="0.35">
      <c r="A69" s="42"/>
      <c r="J69" s="569" t="s">
        <v>194</v>
      </c>
      <c r="K69" s="570"/>
      <c r="L69" s="570" t="s">
        <v>193</v>
      </c>
      <c r="M69" s="570"/>
      <c r="N69" s="570" t="s">
        <v>192</v>
      </c>
      <c r="O69" s="570"/>
      <c r="P69" s="570" t="s">
        <v>191</v>
      </c>
      <c r="Q69" s="570"/>
      <c r="R69" s="571"/>
      <c r="T69" s="42"/>
    </row>
    <row r="70" spans="1:21" ht="15.75" thickBot="1" x14ac:dyDescent="0.3">
      <c r="A70" s="42"/>
      <c r="J70" s="573">
        <f>T35</f>
        <v>6.3</v>
      </c>
      <c r="K70" s="486"/>
      <c r="L70" s="486" t="s">
        <v>235</v>
      </c>
      <c r="M70" s="486"/>
      <c r="N70" s="486">
        <f>IF(T35=6.3,0.245,IF(T35=8,0.395,IF(T35=10,0.617,IF(T35=12.5,0.963,IF(T35=16,1.578,IF(T35=20,2.466))))))</f>
        <v>0.245</v>
      </c>
      <c r="O70" s="486"/>
      <c r="P70" s="564" t="s">
        <v>235</v>
      </c>
      <c r="Q70" s="564"/>
      <c r="R70" s="565"/>
      <c r="T70" s="42"/>
    </row>
    <row r="71" spans="1:21" ht="15.75" thickBot="1" x14ac:dyDescent="0.3">
      <c r="A71" s="42"/>
      <c r="B71" s="273"/>
      <c r="C71" s="274"/>
      <c r="D71" s="274"/>
      <c r="E71" s="274"/>
      <c r="F71" s="274"/>
      <c r="G71" s="274"/>
      <c r="H71" s="274"/>
      <c r="I71" s="274"/>
      <c r="J71" s="274"/>
      <c r="K71" s="274"/>
      <c r="L71" s="274"/>
      <c r="M71" s="274"/>
      <c r="N71" s="274"/>
      <c r="O71" s="274"/>
      <c r="P71" s="274"/>
      <c r="Q71" s="274"/>
      <c r="R71" s="274"/>
      <c r="S71" s="274"/>
      <c r="T71" s="275"/>
    </row>
  </sheetData>
  <sheetProtection password="DED7" sheet="1" objects="1" scenarios="1"/>
  <mergeCells count="75">
    <mergeCell ref="C50:C52"/>
    <mergeCell ref="H50:H52"/>
    <mergeCell ref="D51:G51"/>
    <mergeCell ref="D48:G48"/>
    <mergeCell ref="J30:N30"/>
    <mergeCell ref="E30:H30"/>
    <mergeCell ref="D34:G34"/>
    <mergeCell ref="D41:G41"/>
    <mergeCell ref="K37:O37"/>
    <mergeCell ref="D38:G38"/>
    <mergeCell ref="K38:O38"/>
    <mergeCell ref="C43:C44"/>
    <mergeCell ref="D33:G33"/>
    <mergeCell ref="K33:O33"/>
    <mergeCell ref="P43:P44"/>
    <mergeCell ref="D44:G44"/>
    <mergeCell ref="K44:O44"/>
    <mergeCell ref="J61:K61"/>
    <mergeCell ref="L61:M61"/>
    <mergeCell ref="N61:O61"/>
    <mergeCell ref="P61:R61"/>
    <mergeCell ref="H43:H44"/>
    <mergeCell ref="J43:J44"/>
    <mergeCell ref="J60:R60"/>
    <mergeCell ref="J57:K57"/>
    <mergeCell ref="L57:M57"/>
    <mergeCell ref="N57:O57"/>
    <mergeCell ref="P57:R57"/>
    <mergeCell ref="J58:K58"/>
    <mergeCell ref="L58:M58"/>
    <mergeCell ref="J62:K62"/>
    <mergeCell ref="L62:M62"/>
    <mergeCell ref="N62:O62"/>
    <mergeCell ref="P62:R62"/>
    <mergeCell ref="D45:G45"/>
    <mergeCell ref="K45:O45"/>
    <mergeCell ref="J56:R56"/>
    <mergeCell ref="D52:G52"/>
    <mergeCell ref="N58:O58"/>
    <mergeCell ref="P58:R58"/>
    <mergeCell ref="S33:T33"/>
    <mergeCell ref="S34:T34"/>
    <mergeCell ref="C36:C37"/>
    <mergeCell ref="H36:H37"/>
    <mergeCell ref="J36:J37"/>
    <mergeCell ref="P36:P37"/>
    <mergeCell ref="D37:G37"/>
    <mergeCell ref="S29:T29"/>
    <mergeCell ref="B1:T2"/>
    <mergeCell ref="J20:J22"/>
    <mergeCell ref="P20:P22"/>
    <mergeCell ref="S21:T21"/>
    <mergeCell ref="L23:N23"/>
    <mergeCell ref="S25:T25"/>
    <mergeCell ref="J26:J27"/>
    <mergeCell ref="P26:P27"/>
    <mergeCell ref="L28:N28"/>
    <mergeCell ref="J64:R64"/>
    <mergeCell ref="J65:K65"/>
    <mergeCell ref="L65:M65"/>
    <mergeCell ref="N65:O65"/>
    <mergeCell ref="P65:R65"/>
    <mergeCell ref="J66:K66"/>
    <mergeCell ref="L66:M66"/>
    <mergeCell ref="N66:O66"/>
    <mergeCell ref="P66:R66"/>
    <mergeCell ref="J68:R68"/>
    <mergeCell ref="J69:K69"/>
    <mergeCell ref="L69:M69"/>
    <mergeCell ref="N69:O69"/>
    <mergeCell ref="P69:R69"/>
    <mergeCell ref="J70:K70"/>
    <mergeCell ref="L70:M70"/>
    <mergeCell ref="N70:O70"/>
    <mergeCell ref="P70:R70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71018" r:id="rId3">
          <objectPr defaultSize="0" autoPict="0" r:id="rId4">
            <anchor moveWithCells="1">
              <from>
                <xdr:col>6</xdr:col>
                <xdr:colOff>0</xdr:colOff>
                <xdr:row>3</xdr:row>
                <xdr:rowOff>28575</xdr:rowOff>
              </from>
              <to>
                <xdr:col>11</xdr:col>
                <xdr:colOff>495300</xdr:colOff>
                <xdr:row>16</xdr:row>
                <xdr:rowOff>104775</xdr:rowOff>
              </to>
            </anchor>
          </objectPr>
        </oleObject>
      </mc:Choice>
      <mc:Fallback>
        <oleObject progId="AutoCAD.Drawing.18" shapeId="171018" r:id="rId3"/>
      </mc:Fallback>
    </mc:AlternateContent>
    <mc:AlternateContent xmlns:mc="http://schemas.openxmlformats.org/markup-compatibility/2006">
      <mc:Choice Requires="x14">
        <oleObject progId="AutoCAD.Drawing.18" shapeId="171019" r:id="rId5">
          <objectPr defaultSize="0" autoPict="0" r:id="rId6">
            <anchor moveWithCells="1">
              <from>
                <xdr:col>4</xdr:col>
                <xdr:colOff>66675</xdr:colOff>
                <xdr:row>16</xdr:row>
                <xdr:rowOff>180975</xdr:rowOff>
              </from>
              <to>
                <xdr:col>8</xdr:col>
                <xdr:colOff>0</xdr:colOff>
                <xdr:row>28</xdr:row>
                <xdr:rowOff>161925</xdr:rowOff>
              </to>
            </anchor>
          </objectPr>
        </oleObject>
      </mc:Choice>
      <mc:Fallback>
        <oleObject progId="AutoCAD.Drawing.18" shapeId="171019" r:id="rId5"/>
      </mc:Fallback>
    </mc:AlternateContent>
    <mc:AlternateContent xmlns:mc="http://schemas.openxmlformats.org/markup-compatibility/2006">
      <mc:Choice Requires="x14">
        <oleObject progId="AutoCAD.Drawing.18" shapeId="171020" r:id="rId7">
          <objectPr defaultSize="0" autoPict="0" r:id="rId8">
            <anchor moveWithCells="1">
              <from>
                <xdr:col>9</xdr:col>
                <xdr:colOff>28575</xdr:colOff>
                <xdr:row>17</xdr:row>
                <xdr:rowOff>0</xdr:rowOff>
              </from>
              <to>
                <xdr:col>14</xdr:col>
                <xdr:colOff>38100</xdr:colOff>
                <xdr:row>28</xdr:row>
                <xdr:rowOff>152400</xdr:rowOff>
              </to>
            </anchor>
          </objectPr>
        </oleObject>
      </mc:Choice>
      <mc:Fallback>
        <oleObject progId="AutoCAD.Drawing.18" shapeId="171020" r:id="rId7"/>
      </mc:Fallback>
    </mc:AlternateContent>
    <mc:AlternateContent xmlns:mc="http://schemas.openxmlformats.org/markup-compatibility/2006">
      <mc:Choice Requires="x14">
        <oleObject progId="AutoCAD.Drawing.18" shapeId="171021" r:id="rId9">
          <objectPr defaultSize="0" autoPict="0" r:id="rId10">
            <anchor>
              <from>
                <xdr:col>9</xdr:col>
                <xdr:colOff>304800</xdr:colOff>
                <xdr:row>39</xdr:row>
                <xdr:rowOff>0</xdr:rowOff>
              </from>
              <to>
                <xdr:col>15</xdr:col>
                <xdr:colOff>390525</xdr:colOff>
                <xdr:row>46</xdr:row>
                <xdr:rowOff>19050</xdr:rowOff>
              </to>
            </anchor>
          </objectPr>
        </oleObject>
      </mc:Choice>
      <mc:Fallback>
        <oleObject progId="AutoCAD.Drawing.18" shapeId="171021" r:id="rId9"/>
      </mc:Fallback>
    </mc:AlternateContent>
    <mc:AlternateContent xmlns:mc="http://schemas.openxmlformats.org/markup-compatibility/2006">
      <mc:Choice Requires="x14">
        <oleObject progId="AutoCAD.Drawing.18" shapeId="171022" r:id="rId11">
          <objectPr defaultSize="0" autoPict="0" r:id="rId10">
            <anchor>
              <from>
                <xdr:col>2</xdr:col>
                <xdr:colOff>333375</xdr:colOff>
                <xdr:row>46</xdr:row>
                <xdr:rowOff>95250</xdr:rowOff>
              </from>
              <to>
                <xdr:col>7</xdr:col>
                <xdr:colOff>371475</xdr:colOff>
                <xdr:row>52</xdr:row>
                <xdr:rowOff>85725</xdr:rowOff>
              </to>
            </anchor>
          </objectPr>
        </oleObject>
      </mc:Choice>
      <mc:Fallback>
        <oleObject progId="AutoCAD.Drawing.18" shapeId="171022" r:id="rId11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12" name="Button 1">
              <controlPr defaultSize="0" print="0" autoFill="0" autoPict="0" macro="[0]!Macro115">
                <anchor moveWithCells="1" sizeWithCells="1">
                  <from>
                    <xdr:col>18</xdr:col>
                    <xdr:colOff>438150</xdr:colOff>
                    <xdr:row>65</xdr:row>
                    <xdr:rowOff>19050</xdr:rowOff>
                  </from>
                  <to>
                    <xdr:col>19</xdr:col>
                    <xdr:colOff>447675</xdr:colOff>
                    <xdr:row>68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AG39"/>
  <sheetViews>
    <sheetView showGridLines="0" showRowColHeaders="0" zoomScale="85" zoomScaleNormal="85" workbookViewId="0"/>
  </sheetViews>
  <sheetFormatPr defaultRowHeight="15" x14ac:dyDescent="0.25"/>
  <cols>
    <col min="5" max="5" width="10.28515625" customWidth="1"/>
    <col min="6" max="6" width="11.7109375" customWidth="1"/>
    <col min="8" max="8" width="11.7109375" bestFit="1" customWidth="1"/>
    <col min="9" max="9" width="12" bestFit="1" customWidth="1"/>
    <col min="10" max="10" width="10.140625" customWidth="1"/>
    <col min="15" max="15" width="17.7109375" bestFit="1" customWidth="1"/>
    <col min="16" max="16" width="8.5703125" bestFit="1" customWidth="1"/>
    <col min="17" max="17" width="19.7109375" bestFit="1" customWidth="1"/>
    <col min="18" max="18" width="12.5703125" bestFit="1" customWidth="1"/>
    <col min="29" max="29" width="21.42578125" bestFit="1" customWidth="1"/>
    <col min="30" max="30" width="12" bestFit="1" customWidth="1"/>
    <col min="32" max="32" width="12.5703125" bestFit="1" customWidth="1"/>
    <col min="33" max="33" width="12" bestFit="1" customWidth="1"/>
  </cols>
  <sheetData>
    <row r="1" spans="2:33" ht="15.75" thickBot="1" x14ac:dyDescent="0.3"/>
    <row r="2" spans="2:33" ht="15.75" thickBot="1" x14ac:dyDescent="0.3">
      <c r="B2" s="20"/>
      <c r="C2" s="314"/>
      <c r="D2" s="314"/>
      <c r="E2" s="314"/>
      <c r="F2" s="311"/>
      <c r="AC2" t="s">
        <v>299</v>
      </c>
      <c r="AD2">
        <f>Entradas2!F5</f>
        <v>2</v>
      </c>
    </row>
    <row r="3" spans="2:33" ht="15.75" thickBot="1" x14ac:dyDescent="0.3">
      <c r="B3" s="41"/>
      <c r="C3" s="316"/>
      <c r="D3" s="316"/>
      <c r="E3" s="316"/>
      <c r="F3" s="42"/>
      <c r="O3" s="461" t="s">
        <v>170</v>
      </c>
      <c r="P3" s="462"/>
      <c r="Q3" s="24"/>
    </row>
    <row r="4" spans="2:33" ht="15.75" thickBot="1" x14ac:dyDescent="0.3">
      <c r="B4" s="41"/>
      <c r="C4" s="316"/>
      <c r="D4" s="316"/>
      <c r="E4" s="316"/>
      <c r="F4" s="42"/>
      <c r="I4" s="89" t="s">
        <v>77</v>
      </c>
      <c r="J4" s="90" t="s">
        <v>78</v>
      </c>
      <c r="K4" s="90" t="s">
        <v>80</v>
      </c>
      <c r="L4" s="90" t="s">
        <v>81</v>
      </c>
      <c r="M4" s="91" t="s">
        <v>82</v>
      </c>
      <c r="O4" s="463"/>
      <c r="P4" s="464"/>
      <c r="Q4" s="24"/>
      <c r="AC4" s="97" t="s">
        <v>86</v>
      </c>
      <c r="AD4">
        <f>Entradas2!C12</f>
        <v>45</v>
      </c>
      <c r="AF4" s="97" t="s">
        <v>108</v>
      </c>
      <c r="AG4">
        <f>Entradas2!C9*AE6/100</f>
        <v>0</v>
      </c>
    </row>
    <row r="5" spans="2:33" ht="15.75" thickBot="1" x14ac:dyDescent="0.3">
      <c r="B5" s="41"/>
      <c r="C5" s="316"/>
      <c r="D5" s="316"/>
      <c r="E5" s="316"/>
      <c r="F5" s="42"/>
      <c r="H5" s="72" t="s">
        <v>73</v>
      </c>
      <c r="I5" s="75">
        <f>Entradas2!C22</f>
        <v>23</v>
      </c>
      <c r="J5" s="52">
        <f>Entradas2!C22</f>
        <v>23</v>
      </c>
      <c r="K5" s="52">
        <f>Entradas2!C22</f>
        <v>23</v>
      </c>
      <c r="L5" s="52">
        <f>Entradas2!C22</f>
        <v>23</v>
      </c>
      <c r="M5" s="50">
        <f>Entradas2!C22</f>
        <v>23</v>
      </c>
      <c r="O5" s="24"/>
      <c r="P5" s="24"/>
      <c r="Q5" s="24"/>
      <c r="Z5" s="99" t="s">
        <v>122</v>
      </c>
      <c r="AA5" s="99">
        <f>I9*100</f>
        <v>48.932499999999997</v>
      </c>
      <c r="AC5" s="97" t="s">
        <v>102</v>
      </c>
      <c r="AD5" s="99">
        <f>LARGE(AA5:AA7,1)</f>
        <v>48.932499999999997</v>
      </c>
      <c r="AF5" s="97" t="s">
        <v>109</v>
      </c>
      <c r="AG5">
        <f>Entradas2!C8*AE6/100</f>
        <v>0</v>
      </c>
    </row>
    <row r="6" spans="2:33" x14ac:dyDescent="0.25">
      <c r="B6" s="41"/>
      <c r="C6" s="316"/>
      <c r="D6" s="316"/>
      <c r="E6" s="316"/>
      <c r="F6" s="42"/>
      <c r="H6" s="73" t="s">
        <v>69</v>
      </c>
      <c r="I6" s="76">
        <f>I5/2+15</f>
        <v>26.5</v>
      </c>
      <c r="J6" s="48">
        <f>J5/2+15</f>
        <v>26.5</v>
      </c>
      <c r="K6" s="48">
        <f>K5/2+15</f>
        <v>26.5</v>
      </c>
      <c r="L6" s="48">
        <f>L5/2+15</f>
        <v>26.5</v>
      </c>
      <c r="M6" s="57">
        <f>M5/2+15</f>
        <v>26.5</v>
      </c>
      <c r="O6" s="146" t="s">
        <v>172</v>
      </c>
      <c r="P6" s="147">
        <f>AE6/100</f>
        <v>0.5</v>
      </c>
      <c r="Q6" s="579" t="s">
        <v>210</v>
      </c>
      <c r="Z6" t="s">
        <v>123</v>
      </c>
      <c r="AA6">
        <f>(SQRT((J8^2)+(J9^2)))*100</f>
        <v>48.896135136122979</v>
      </c>
      <c r="AC6" s="97" t="s">
        <v>103</v>
      </c>
      <c r="AD6">
        <f>AD5*(TAN(RADIANS(AD4)))</f>
        <v>48.93249999999999</v>
      </c>
      <c r="AE6">
        <f>CEILING(AD6,5)</f>
        <v>50</v>
      </c>
    </row>
    <row r="7" spans="2:33" ht="15.75" thickBot="1" x14ac:dyDescent="0.3">
      <c r="B7" s="41"/>
      <c r="C7" s="316"/>
      <c r="D7" s="316"/>
      <c r="E7" s="316"/>
      <c r="F7" s="42"/>
      <c r="H7" s="73" t="s">
        <v>79</v>
      </c>
      <c r="I7" s="76">
        <f>Entradas2!C22*Entradas2!L21</f>
        <v>57.5</v>
      </c>
      <c r="J7" s="48">
        <f>Entradas2!C22*Entradas2!L21</f>
        <v>57.5</v>
      </c>
      <c r="K7" s="48">
        <f>Entradas2!C22*Entradas2!L21</f>
        <v>57.5</v>
      </c>
      <c r="L7" s="48">
        <f>Entradas2!C22*Entradas2!L21</f>
        <v>57.5</v>
      </c>
      <c r="M7" s="57">
        <f>Entradas2!C22*Entradas2!L21</f>
        <v>57.5</v>
      </c>
      <c r="O7" s="148" t="s">
        <v>173</v>
      </c>
      <c r="P7" s="149">
        <f>AD7/100</f>
        <v>0.6</v>
      </c>
      <c r="Q7" s="580"/>
      <c r="Z7" t="s">
        <v>125</v>
      </c>
      <c r="AA7">
        <f>(SQRT((L8^2)+(L9^2)))*100</f>
        <v>48.90353872676291</v>
      </c>
      <c r="AC7" s="97" t="s">
        <v>104</v>
      </c>
      <c r="AD7">
        <f>AE6+10</f>
        <v>60</v>
      </c>
    </row>
    <row r="8" spans="2:33" ht="18" x14ac:dyDescent="0.25">
      <c r="B8" s="41"/>
      <c r="C8" s="316"/>
      <c r="D8" s="316"/>
      <c r="E8" s="316"/>
      <c r="F8" s="42"/>
      <c r="H8" s="73" t="s">
        <v>98</v>
      </c>
      <c r="I8" s="76">
        <v>0</v>
      </c>
      <c r="J8" s="48">
        <f>-(0.809*J7)/100</f>
        <v>-0.46517500000000006</v>
      </c>
      <c r="K8" s="48">
        <f>(0.809*K7)/100</f>
        <v>0.46517500000000006</v>
      </c>
      <c r="L8" s="48">
        <f>-(L7/2)/100</f>
        <v>-0.28749999999999998</v>
      </c>
      <c r="M8" s="57">
        <f>(M7/2)/100</f>
        <v>0.28749999999999998</v>
      </c>
      <c r="O8" s="146" t="s">
        <v>174</v>
      </c>
      <c r="P8" s="147">
        <f>AD17</f>
        <v>35450.981644998181</v>
      </c>
      <c r="Q8" s="586" t="str">
        <f>IF(P8&gt;P9,"Opção: Aumentar o fck do Concreto","Verificação Atendida")</f>
        <v>Opção: Aumentar o fck do Concreto</v>
      </c>
      <c r="AC8" s="97" t="s">
        <v>87</v>
      </c>
      <c r="AD8">
        <f>(PI()*(I5^2)/4)/10000</f>
        <v>4.154756284372501E-2</v>
      </c>
    </row>
    <row r="9" spans="2:33" ht="18.75" thickBot="1" x14ac:dyDescent="0.3">
      <c r="B9" s="41"/>
      <c r="C9" s="316"/>
      <c r="D9" s="316"/>
      <c r="E9" s="316"/>
      <c r="F9" s="42"/>
      <c r="H9" s="73" t="s">
        <v>101</v>
      </c>
      <c r="I9" s="76">
        <f>(0.851*I7)/100</f>
        <v>0.48932499999999995</v>
      </c>
      <c r="J9" s="48">
        <f>0.262*J7/100</f>
        <v>0.15065000000000001</v>
      </c>
      <c r="K9" s="48">
        <f>0.262*K7/100</f>
        <v>0.15065000000000001</v>
      </c>
      <c r="L9" s="48">
        <f>-0.688*L7/100</f>
        <v>-0.39559999999999995</v>
      </c>
      <c r="M9" s="57">
        <f>-0.688*M7/100</f>
        <v>-0.39559999999999995</v>
      </c>
      <c r="O9" s="150" t="s">
        <v>212</v>
      </c>
      <c r="P9" s="151">
        <f>AD14</f>
        <v>9642.8571428571449</v>
      </c>
      <c r="Q9" s="587"/>
      <c r="AC9" s="97" t="s">
        <v>88</v>
      </c>
      <c r="AD9">
        <f>AD8*SIN(RADIANS(AD4))</f>
        <v>2.9378563428572192E-2</v>
      </c>
    </row>
    <row r="10" spans="2:33" ht="18" x14ac:dyDescent="0.25">
      <c r="B10" s="41"/>
      <c r="C10" s="316"/>
      <c r="D10" s="316"/>
      <c r="E10" s="316"/>
      <c r="F10" s="42"/>
      <c r="H10" s="73" t="s">
        <v>72</v>
      </c>
      <c r="I10" s="76">
        <f>SUMSQ(I8:M8)</f>
        <v>0.59808806125000002</v>
      </c>
      <c r="J10" s="48">
        <f>SUMSQ(I8:M8)</f>
        <v>0.59808806125000002</v>
      </c>
      <c r="K10" s="48">
        <f>SUMSQ(I8:M8)</f>
        <v>0.59808806125000002</v>
      </c>
      <c r="L10" s="48">
        <f>SUMSQ(I8:M8)</f>
        <v>0.59808806125000002</v>
      </c>
      <c r="M10" s="57">
        <f>SUMSQ(I8:M8)</f>
        <v>0.59808806125000002</v>
      </c>
      <c r="O10" s="146" t="s">
        <v>175</v>
      </c>
      <c r="P10" s="147">
        <f>AD23</f>
        <v>11783.215102138431</v>
      </c>
      <c r="Q10" s="586" t="str">
        <f>IF(P10&gt;P11,"Opção: Aumentar a Sessão do Pilar","Verificação Atendida")</f>
        <v>Verificação Atendida</v>
      </c>
    </row>
    <row r="11" spans="2:33" ht="18.75" thickBot="1" x14ac:dyDescent="0.3">
      <c r="B11" s="41"/>
      <c r="C11" s="316"/>
      <c r="D11" s="316"/>
      <c r="E11" s="316"/>
      <c r="F11" s="42"/>
      <c r="H11" s="73" t="s">
        <v>74</v>
      </c>
      <c r="I11" s="76">
        <f>SUMSQ(I9:M9)</f>
        <v>0.59782852062499992</v>
      </c>
      <c r="J11" s="48">
        <f>SUMSQ(I9:M9)</f>
        <v>0.59782852062499992</v>
      </c>
      <c r="K11" s="48">
        <f>SUMSQ(I9:M9)</f>
        <v>0.59782852062499992</v>
      </c>
      <c r="L11" s="48">
        <f>SUMSQ(I9:M9)</f>
        <v>0.59782852062499992</v>
      </c>
      <c r="M11" s="57">
        <f>SUMSQ(I9:M9)</f>
        <v>0.59782852062499992</v>
      </c>
      <c r="O11" s="150" t="s">
        <v>176</v>
      </c>
      <c r="P11" s="151">
        <f>AD28</f>
        <v>15178.571428571429</v>
      </c>
      <c r="Q11" s="587"/>
      <c r="AC11" s="98" t="s">
        <v>90</v>
      </c>
      <c r="AD11">
        <f>(J15)/(AD9*SIN(RADIANS(AD4)))</f>
        <v>24618.737253470965</v>
      </c>
      <c r="AF11" s="97" t="s">
        <v>113</v>
      </c>
      <c r="AG11">
        <f>J15/(SIN(RADIANS(AD4)))</f>
        <v>723.26313393244982</v>
      </c>
    </row>
    <row r="12" spans="2:33" ht="18.75" thickBot="1" x14ac:dyDescent="0.3">
      <c r="B12" s="41"/>
      <c r="C12" s="316"/>
      <c r="D12" s="316"/>
      <c r="E12" s="316"/>
      <c r="F12" s="42"/>
      <c r="H12" s="158" t="s">
        <v>76</v>
      </c>
      <c r="I12" s="176">
        <f>(Entradas2!$C$5/Entradas2!$F$5)-($AG$4+Entradas2!$C$6)*ABS('5 Estacas2'!I9)/'5 Estacas2'!I11</f>
        <v>491.81496059290657</v>
      </c>
      <c r="J12" s="177">
        <f>(Entradas2!$C$5/Entradas2!$F$5)-($AG$4+Entradas2!$C$6)*ABS('5 Estacas2'!J9)/'5 Estacas2'!J11-($AG$5+Entradas2!$C$7)*ABS('5 Estacas2'!J8)/'5 Estacas2'!J10</f>
        <v>489.70234580940701</v>
      </c>
      <c r="K12" s="177">
        <f>(Entradas2!$C$5/Entradas2!$F$5)-($AG$4+Entradas2!$C$6)*ABS('5 Estacas2'!K9)/'5 Estacas2'!K11+($AG$5+Entradas2!$C$7)*ABS('5 Estacas2'!K8)/'5 Estacas2'!K10</f>
        <v>505.25774743463887</v>
      </c>
      <c r="L12" s="59">
        <f>(Entradas2!$C$5/Entradas2!$F$5)+($AG$4+Entradas2!$C$6)*ABS('5 Estacas2'!L9)/'5 Estacas2'!L11-($AG$5+Entradas2!$C$7)*ABS('5 Estacas2'!L8)/'5 Estacas2'!L10</f>
        <v>501.81029771984225</v>
      </c>
      <c r="M12" s="58">
        <f>(Entradas2!$C$5/Entradas2!$F$5)+($AG$4+Entradas2!$C$6)*ABS('5 Estacas2'!M9)/'5 Estacas2'!M11+($AG$5+Entradas2!$C$7)*ABS('5 Estacas2'!M8)/'5 Estacas2'!M10</f>
        <v>511.42426658586936</v>
      </c>
      <c r="O12" s="152" t="s">
        <v>177</v>
      </c>
      <c r="P12" s="147">
        <f>AD32</f>
        <v>5306.238755889899</v>
      </c>
      <c r="Q12" s="586" t="str">
        <f>IF(P12&gt;P13,"Opção: Aumentar o Diâmetro da Estaca","Verificação Atendida")</f>
        <v>Opção: Aumentar o Diâmetro da Estaca</v>
      </c>
      <c r="AF12" s="97" t="s">
        <v>114</v>
      </c>
      <c r="AG12">
        <f>AG11*Entradas2!C16*Entradas2!C19</f>
        <v>1041.4989128627276</v>
      </c>
    </row>
    <row r="13" spans="2:33" ht="18.75" thickBot="1" x14ac:dyDescent="0.3">
      <c r="B13" s="41"/>
      <c r="C13" s="316"/>
      <c r="D13" s="316"/>
      <c r="E13" s="316"/>
      <c r="F13" s="42"/>
      <c r="O13" s="153" t="s">
        <v>178</v>
      </c>
      <c r="P13" s="151">
        <f>AD35</f>
        <v>2564.9639200150441</v>
      </c>
      <c r="Q13" s="587"/>
      <c r="AC13" s="98" t="s">
        <v>107</v>
      </c>
      <c r="AD13">
        <f>0.6*(1-Entradas2!C13/250)*AD26</f>
        <v>9.6428571428571441</v>
      </c>
    </row>
    <row r="14" spans="2:33" ht="18.75" thickBot="1" x14ac:dyDescent="0.3">
      <c r="B14" s="41"/>
      <c r="C14" s="316"/>
      <c r="D14" s="316"/>
      <c r="E14" s="316"/>
      <c r="F14" s="42"/>
      <c r="H14" s="647" t="s">
        <v>183</v>
      </c>
      <c r="I14" s="648"/>
      <c r="J14" s="649"/>
      <c r="O14" s="154" t="s">
        <v>179</v>
      </c>
      <c r="P14" s="155">
        <f>AD37</f>
        <v>736.45094388365192</v>
      </c>
      <c r="Q14" s="24"/>
      <c r="AC14" s="98" t="s">
        <v>89</v>
      </c>
      <c r="AD14">
        <f>AD13*1000</f>
        <v>9642.8571428571449</v>
      </c>
    </row>
    <row r="15" spans="2:33" ht="15.75" thickBot="1" x14ac:dyDescent="0.3">
      <c r="B15" s="41"/>
      <c r="C15" s="316"/>
      <c r="D15" s="316"/>
      <c r="E15" s="316"/>
      <c r="F15" s="42"/>
      <c r="H15" s="326" t="str">
        <f>IF(J15=I12,"Estaca E1",IF(J15=J12,"Estaca E2",IF(J15=K12,"Estaca E3",IF(J15=L12,"Estaca E4",IF(J15=M12,"Estaca E5")))))</f>
        <v>Estaca E5</v>
      </c>
      <c r="I15" s="327" t="s">
        <v>75</v>
      </c>
      <c r="J15" s="328">
        <f>LARGE(I12:M12,1)</f>
        <v>511.42426658586936</v>
      </c>
      <c r="O15" s="24"/>
      <c r="P15" s="24"/>
      <c r="Q15" s="24"/>
      <c r="AC15" s="97" t="s">
        <v>91</v>
      </c>
      <c r="AD15">
        <f>J15*Entradas2!C16*Entradas2!C19</f>
        <v>736.4509438836518</v>
      </c>
    </row>
    <row r="16" spans="2:33" ht="15.75" thickBot="1" x14ac:dyDescent="0.3">
      <c r="B16" s="41"/>
      <c r="C16" s="316"/>
      <c r="D16" s="316"/>
      <c r="E16" s="316"/>
      <c r="F16" s="42"/>
      <c r="H16" s="20" t="s">
        <v>99</v>
      </c>
      <c r="I16" s="311">
        <f>IF($H$15=$I$4,I8,IF($H$15=$J$4,J8,IF($H$15=$K$4,K8,IF($H$15=$L$4,L8,IF($H$15=$M$4,M8)))))</f>
        <v>0.28749999999999998</v>
      </c>
      <c r="O16" s="502" t="s">
        <v>180</v>
      </c>
      <c r="P16" s="503"/>
      <c r="Q16" s="504"/>
    </row>
    <row r="17" spans="2:33" ht="15.75" thickBot="1" x14ac:dyDescent="0.3">
      <c r="B17" s="312"/>
      <c r="C17" s="315"/>
      <c r="D17" s="315"/>
      <c r="E17" s="315"/>
      <c r="F17" s="313"/>
      <c r="H17" s="312" t="s">
        <v>100</v>
      </c>
      <c r="I17" s="323">
        <f>IF($H$15=$I$4,I9,IF($H$15=$J$4,J9,IF($H$15=$K$4,K9,IF($H$15=$L$4,L9,IF($H$15=$M$4,M9)))))</f>
        <v>-0.39559999999999995</v>
      </c>
      <c r="O17" s="156"/>
      <c r="P17" s="584" t="s">
        <v>181</v>
      </c>
      <c r="Q17" s="539"/>
      <c r="AC17" s="98" t="s">
        <v>92</v>
      </c>
      <c r="AD17">
        <f>(AD15)/(AD9*SIN(RADIANS(AD4)))</f>
        <v>35450.981644998181</v>
      </c>
    </row>
    <row r="18" spans="2:33" ht="15.75" thickBot="1" x14ac:dyDescent="0.3">
      <c r="B18" s="316"/>
      <c r="C18" s="316"/>
      <c r="D18" s="316"/>
      <c r="E18" s="316"/>
      <c r="F18" s="316"/>
      <c r="O18" s="157"/>
      <c r="P18" s="585" t="s">
        <v>182</v>
      </c>
      <c r="Q18" s="501"/>
    </row>
    <row r="19" spans="2:33" ht="13.5" customHeight="1" thickBot="1" x14ac:dyDescent="0.3">
      <c r="B19" s="316"/>
      <c r="C19" s="316"/>
      <c r="D19" s="316"/>
      <c r="E19" s="316"/>
      <c r="F19" s="316"/>
      <c r="AC19" s="97" t="s">
        <v>93</v>
      </c>
      <c r="AD19">
        <f>Entradas2!C11*Entradas2!C10</f>
        <v>2500</v>
      </c>
    </row>
    <row r="20" spans="2:33" ht="15" customHeight="1" x14ac:dyDescent="0.25">
      <c r="B20" s="472" t="str">
        <f>IF(AD2=5,"Bloco Selecionado está Correto","Bloco Selecionado Incorreto")</f>
        <v>Bloco Selecionado Incorreto</v>
      </c>
      <c r="C20" s="473"/>
      <c r="D20" s="473"/>
      <c r="E20" s="473"/>
      <c r="F20" s="474"/>
      <c r="G20" s="112"/>
      <c r="H20" s="478" t="str">
        <f>IF(J15&gt;Entradas2!$C$24,"ATENÇÃO: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I20" s="479"/>
      <c r="J20" s="479"/>
      <c r="K20" s="480"/>
      <c r="AC20" s="97" t="s">
        <v>94</v>
      </c>
      <c r="AD20">
        <f>AD19/10000</f>
        <v>0.25</v>
      </c>
    </row>
    <row r="21" spans="2:33" ht="15.75" customHeight="1" thickBot="1" x14ac:dyDescent="0.3">
      <c r="B21" s="475"/>
      <c r="C21" s="476"/>
      <c r="D21" s="476"/>
      <c r="E21" s="476"/>
      <c r="F21" s="477"/>
      <c r="G21" s="112"/>
      <c r="H21" s="481"/>
      <c r="I21" s="482"/>
      <c r="J21" s="482"/>
      <c r="K21" s="483"/>
      <c r="AC21" s="97" t="s">
        <v>95</v>
      </c>
      <c r="AD21">
        <f>(AD20*SIN(RADIANS(AD4)))/Entradas2!F5</f>
        <v>8.8388347648318433E-2</v>
      </c>
    </row>
    <row r="23" spans="2:33" x14ac:dyDescent="0.25">
      <c r="AC23" s="97" t="s">
        <v>110</v>
      </c>
      <c r="AD23">
        <f>AG12/AD21</f>
        <v>11783.215102138431</v>
      </c>
    </row>
    <row r="26" spans="2:33" x14ac:dyDescent="0.25">
      <c r="AC26" s="97" t="s">
        <v>105</v>
      </c>
      <c r="AD26">
        <f>Entradas2!C13/Entradas2!C17</f>
        <v>17.857142857142858</v>
      </c>
      <c r="AF26" s="97" t="s">
        <v>120</v>
      </c>
      <c r="AG26">
        <f>AD26*1000</f>
        <v>17857.142857142859</v>
      </c>
    </row>
    <row r="27" spans="2:33" x14ac:dyDescent="0.25">
      <c r="AC27" s="96"/>
    </row>
    <row r="28" spans="2:33" x14ac:dyDescent="0.25">
      <c r="AC28" s="98" t="s">
        <v>96</v>
      </c>
      <c r="AD28">
        <f>0.85*AG26</f>
        <v>15178.571428571429</v>
      </c>
    </row>
    <row r="29" spans="2:33" x14ac:dyDescent="0.25">
      <c r="AC29" s="96"/>
    </row>
    <row r="30" spans="2:33" x14ac:dyDescent="0.25">
      <c r="AC30" s="97" t="s">
        <v>111</v>
      </c>
      <c r="AD30">
        <f>(AD21+AD9) /2</f>
        <v>5.888345553844531E-2</v>
      </c>
    </row>
    <row r="32" spans="2:33" x14ac:dyDescent="0.25">
      <c r="AC32" s="98" t="s">
        <v>112</v>
      </c>
      <c r="AD32">
        <f>(0.3*AG12)/AD30</f>
        <v>5306.238755889899</v>
      </c>
    </row>
    <row r="34" spans="29:31" x14ac:dyDescent="0.25">
      <c r="AC34" s="98" t="s">
        <v>116</v>
      </c>
      <c r="AD34" t="s">
        <v>119</v>
      </c>
      <c r="AE34">
        <f>0.3*((Entradas2!C13)^(2/3))</f>
        <v>2.5649639200150443</v>
      </c>
    </row>
    <row r="35" spans="29:31" x14ac:dyDescent="0.25">
      <c r="AC35" s="98" t="s">
        <v>115</v>
      </c>
      <c r="AD35">
        <f>AE34*1000</f>
        <v>2564.9639200150441</v>
      </c>
    </row>
    <row r="37" spans="29:31" x14ac:dyDescent="0.25">
      <c r="AC37" s="98" t="s">
        <v>118</v>
      </c>
      <c r="AD37">
        <f>AG12*COS(RADIANS(AD4))</f>
        <v>736.45094388365192</v>
      </c>
    </row>
    <row r="39" spans="29:31" x14ac:dyDescent="0.25">
      <c r="AC39" s="98" t="s">
        <v>300</v>
      </c>
      <c r="AD39">
        <f>Entradas2!C24</f>
        <v>670</v>
      </c>
    </row>
  </sheetData>
  <sheetProtection password="DED7" sheet="1" objects="1" scenarios="1"/>
  <mergeCells count="11">
    <mergeCell ref="H14:J14"/>
    <mergeCell ref="O3:P4"/>
    <mergeCell ref="Q6:Q7"/>
    <mergeCell ref="Q8:Q9"/>
    <mergeCell ref="Q10:Q11"/>
    <mergeCell ref="Q12:Q13"/>
    <mergeCell ref="O16:Q16"/>
    <mergeCell ref="P17:Q17"/>
    <mergeCell ref="P18:Q18"/>
    <mergeCell ref="B20:F21"/>
    <mergeCell ref="H20:K21"/>
  </mergeCells>
  <conditionalFormatting sqref="O8:P9">
    <cfRule type="expression" dxfId="31" priority="9">
      <formula>$P$9&gt;=$P$8</formula>
    </cfRule>
    <cfRule type="expression" dxfId="30" priority="10">
      <formula>$P$8&gt;$P$9</formula>
    </cfRule>
  </conditionalFormatting>
  <conditionalFormatting sqref="O10:P11">
    <cfRule type="expression" dxfId="29" priority="7">
      <formula>$P$11&gt;=$P$10</formula>
    </cfRule>
    <cfRule type="expression" dxfId="28" priority="8">
      <formula>$P$10&gt;$P$11</formula>
    </cfRule>
  </conditionalFormatting>
  <conditionalFormatting sqref="O12:P13">
    <cfRule type="expression" dxfId="27" priority="5">
      <formula>$P$13&gt;=$P$12</formula>
    </cfRule>
    <cfRule type="expression" dxfId="26" priority="6">
      <formula>$P$12&gt;$P$13</formula>
    </cfRule>
  </conditionalFormatting>
  <conditionalFormatting sqref="H20:K21">
    <cfRule type="expression" dxfId="25" priority="3">
      <formula>$AD$39&gt;=$J$15</formula>
    </cfRule>
    <cfRule type="expression" dxfId="24" priority="4">
      <formula>$J$15&gt;$AD$39</formula>
    </cfRule>
  </conditionalFormatting>
  <conditionalFormatting sqref="B20:F21">
    <cfRule type="expression" dxfId="23" priority="1">
      <formula>$AD$2&lt;&gt;5</formula>
    </cfRule>
    <cfRule type="expression" dxfId="22" priority="2">
      <formula>$AD$2=5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1266" r:id="rId3">
          <objectPr defaultSize="0" autoPict="0" r:id="rId4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5</xdr:col>
                <xdr:colOff>762000</xdr:colOff>
                <xdr:row>16</xdr:row>
                <xdr:rowOff>180975</xdr:rowOff>
              </to>
            </anchor>
          </objectPr>
        </oleObject>
      </mc:Choice>
      <mc:Fallback>
        <oleObject progId="AutoCAD.Drawing.18" shapeId="11266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ntes2">
                <anchor moveWithCells="1" sizeWithCells="1">
                  <from>
                    <xdr:col>12</xdr:col>
                    <xdr:colOff>371475</xdr:colOff>
                    <xdr:row>19</xdr:row>
                    <xdr:rowOff>19050</xdr:rowOff>
                  </from>
                  <to>
                    <xdr:col>14</xdr:col>
                    <xdr:colOff>866775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acro116">
                <anchor moveWithCells="1" sizeWithCells="1">
                  <from>
                    <xdr:col>15</xdr:col>
                    <xdr:colOff>171450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N26"/>
  <sheetViews>
    <sheetView showGridLines="0" showRowColHeaders="0" zoomScale="85" zoomScaleNormal="85" workbookViewId="0"/>
  </sheetViews>
  <sheetFormatPr defaultRowHeight="15" x14ac:dyDescent="0.25"/>
  <sheetData>
    <row r="1" spans="2:14" ht="15" customHeight="1" x14ac:dyDescent="0.25"/>
    <row r="2" spans="2:14" ht="15.75" customHeight="1" thickBot="1" x14ac:dyDescent="0.3"/>
    <row r="3" spans="2:14" ht="15" customHeight="1" x14ac:dyDescent="0.25">
      <c r="B3" s="505" t="s">
        <v>238</v>
      </c>
      <c r="C3" s="506"/>
      <c r="D3" s="506"/>
      <c r="E3" s="506"/>
      <c r="F3" s="506"/>
      <c r="G3" s="506"/>
      <c r="H3" s="506"/>
      <c r="I3" s="506"/>
      <c r="J3" s="506"/>
      <c r="K3" s="506"/>
      <c r="L3" s="506"/>
      <c r="M3" s="506"/>
      <c r="N3" s="507"/>
    </row>
    <row r="4" spans="2:14" ht="15.75" customHeight="1" thickBot="1" x14ac:dyDescent="0.3">
      <c r="B4" s="508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10"/>
    </row>
    <row r="6" spans="2:14" ht="15.75" thickBot="1" x14ac:dyDescent="0.3"/>
    <row r="7" spans="2:14" x14ac:dyDescent="0.25">
      <c r="B7" s="20"/>
      <c r="C7" s="246"/>
      <c r="D7" s="246"/>
      <c r="E7" s="246"/>
      <c r="F7" s="246"/>
      <c r="G7" s="247"/>
      <c r="I7" s="20"/>
      <c r="J7" s="246"/>
      <c r="K7" s="246"/>
      <c r="L7" s="246"/>
      <c r="M7" s="246"/>
      <c r="N7" s="247"/>
    </row>
    <row r="8" spans="2:14" x14ac:dyDescent="0.25">
      <c r="B8" s="41"/>
      <c r="C8" s="34"/>
      <c r="D8" s="34"/>
      <c r="E8" s="34"/>
      <c r="F8" s="34"/>
      <c r="G8" s="42"/>
      <c r="I8" s="41"/>
      <c r="J8" s="34"/>
      <c r="K8" s="34"/>
      <c r="L8" s="34"/>
      <c r="M8" s="34"/>
      <c r="N8" s="42"/>
    </row>
    <row r="9" spans="2:14" x14ac:dyDescent="0.25">
      <c r="B9" s="41"/>
      <c r="C9" s="34"/>
      <c r="D9" s="34"/>
      <c r="E9" s="34"/>
      <c r="F9" s="34"/>
      <c r="G9" s="42"/>
      <c r="I9" s="41"/>
      <c r="J9" s="34"/>
      <c r="K9" s="34"/>
      <c r="L9" s="34"/>
      <c r="M9" s="34"/>
      <c r="N9" s="42"/>
    </row>
    <row r="10" spans="2:14" x14ac:dyDescent="0.25">
      <c r="B10" s="41"/>
      <c r="C10" s="34"/>
      <c r="D10" s="34"/>
      <c r="E10" s="34"/>
      <c r="F10" s="34"/>
      <c r="G10" s="42"/>
      <c r="I10" s="41"/>
      <c r="J10" s="34"/>
      <c r="K10" s="34"/>
      <c r="L10" s="34"/>
      <c r="M10" s="34"/>
      <c r="N10" s="42"/>
    </row>
    <row r="11" spans="2:14" ht="15" customHeight="1" x14ac:dyDescent="0.35">
      <c r="B11" s="41"/>
      <c r="C11" s="34"/>
      <c r="D11" s="208"/>
      <c r="E11" s="208"/>
      <c r="F11" s="208"/>
      <c r="G11" s="209"/>
      <c r="H11" s="207"/>
      <c r="I11" s="210"/>
      <c r="J11" s="208"/>
      <c r="K11" s="208"/>
      <c r="L11" s="34"/>
      <c r="M11" s="34"/>
      <c r="N11" s="42"/>
    </row>
    <row r="12" spans="2:14" ht="15" customHeight="1" x14ac:dyDescent="0.35">
      <c r="B12" s="41"/>
      <c r="C12" s="34"/>
      <c r="D12" s="208"/>
      <c r="E12" s="208"/>
      <c r="F12" s="208"/>
      <c r="G12" s="209"/>
      <c r="H12" s="207"/>
      <c r="I12" s="210"/>
      <c r="J12" s="208"/>
      <c r="K12" s="208"/>
      <c r="L12" s="34"/>
      <c r="M12" s="34"/>
      <c r="N12" s="42"/>
    </row>
    <row r="13" spans="2:14" ht="15" customHeight="1" x14ac:dyDescent="0.35">
      <c r="B13" s="41"/>
      <c r="C13" s="34"/>
      <c r="D13" s="208"/>
      <c r="E13" s="208"/>
      <c r="F13" s="208"/>
      <c r="G13" s="209"/>
      <c r="H13" s="207"/>
      <c r="I13" s="210"/>
      <c r="J13" s="208"/>
      <c r="K13" s="208"/>
      <c r="L13" s="34"/>
      <c r="M13" s="34"/>
      <c r="N13" s="42"/>
    </row>
    <row r="14" spans="2:14" ht="15" customHeight="1" x14ac:dyDescent="0.35">
      <c r="B14" s="41"/>
      <c r="C14" s="34"/>
      <c r="D14" s="208"/>
      <c r="E14" s="208"/>
      <c r="F14" s="208"/>
      <c r="G14" s="209"/>
      <c r="H14" s="207"/>
      <c r="I14" s="210"/>
      <c r="J14" s="208"/>
      <c r="K14" s="208"/>
      <c r="L14" s="34"/>
      <c r="M14" s="34"/>
      <c r="N14" s="42"/>
    </row>
    <row r="15" spans="2:14" x14ac:dyDescent="0.25">
      <c r="B15" s="41"/>
      <c r="C15" s="34"/>
      <c r="D15" s="34"/>
      <c r="E15" s="34"/>
      <c r="F15" s="34"/>
      <c r="G15" s="42"/>
      <c r="I15" s="41"/>
      <c r="J15" s="34"/>
      <c r="K15" s="34"/>
      <c r="L15" s="34"/>
      <c r="M15" s="34"/>
      <c r="N15" s="42"/>
    </row>
    <row r="16" spans="2:14" x14ac:dyDescent="0.25">
      <c r="B16" s="41"/>
      <c r="C16" s="34"/>
      <c r="D16" s="34"/>
      <c r="E16" s="34"/>
      <c r="F16" s="34"/>
      <c r="G16" s="42"/>
      <c r="I16" s="41"/>
      <c r="J16" s="34"/>
      <c r="K16" s="34"/>
      <c r="L16" s="34"/>
      <c r="M16" s="34"/>
      <c r="N16" s="42"/>
    </row>
    <row r="17" spans="2:14" x14ac:dyDescent="0.25">
      <c r="B17" s="41"/>
      <c r="C17" s="34"/>
      <c r="D17" s="34"/>
      <c r="E17" s="34"/>
      <c r="F17" s="34"/>
      <c r="G17" s="42"/>
      <c r="I17" s="41"/>
      <c r="J17" s="34"/>
      <c r="K17" s="34"/>
      <c r="L17" s="34"/>
      <c r="M17" s="34"/>
      <c r="N17" s="42"/>
    </row>
    <row r="18" spans="2:14" x14ac:dyDescent="0.25">
      <c r="B18" s="41"/>
      <c r="C18" s="34"/>
      <c r="D18" s="34"/>
      <c r="E18" s="34"/>
      <c r="F18" s="34"/>
      <c r="G18" s="42"/>
      <c r="I18" s="41"/>
      <c r="J18" s="34"/>
      <c r="K18" s="34"/>
      <c r="L18" s="34"/>
      <c r="M18" s="34"/>
      <c r="N18" s="42"/>
    </row>
    <row r="19" spans="2:14" x14ac:dyDescent="0.25">
      <c r="B19" s="41"/>
      <c r="C19" s="34"/>
      <c r="D19" s="34"/>
      <c r="E19" s="34"/>
      <c r="F19" s="34"/>
      <c r="G19" s="42"/>
      <c r="I19" s="41"/>
      <c r="J19" s="34"/>
      <c r="K19" s="34"/>
      <c r="L19" s="34"/>
      <c r="M19" s="34"/>
      <c r="N19" s="42"/>
    </row>
    <row r="20" spans="2:14" x14ac:dyDescent="0.25">
      <c r="B20" s="41"/>
      <c r="C20" s="34"/>
      <c r="D20" s="34"/>
      <c r="E20" s="34"/>
      <c r="F20" s="34"/>
      <c r="G20" s="42"/>
      <c r="I20" s="41"/>
      <c r="J20" s="34"/>
      <c r="K20" s="34"/>
      <c r="L20" s="34"/>
      <c r="M20" s="34"/>
      <c r="N20" s="42"/>
    </row>
    <row r="21" spans="2:14" x14ac:dyDescent="0.25">
      <c r="B21" s="41"/>
      <c r="C21" s="34"/>
      <c r="D21" s="34"/>
      <c r="E21" s="34"/>
      <c r="F21" s="34"/>
      <c r="G21" s="42"/>
      <c r="I21" s="41"/>
      <c r="J21" s="34"/>
      <c r="K21" s="34"/>
      <c r="L21" s="34"/>
      <c r="M21" s="34"/>
      <c r="N21" s="42"/>
    </row>
    <row r="22" spans="2:14" x14ac:dyDescent="0.25">
      <c r="B22" s="41"/>
      <c r="C22" s="34"/>
      <c r="D22" s="34"/>
      <c r="E22" s="34"/>
      <c r="F22" s="34"/>
      <c r="G22" s="42"/>
      <c r="I22" s="41"/>
      <c r="J22" s="34"/>
      <c r="K22" s="34"/>
      <c r="L22" s="34"/>
      <c r="M22" s="34"/>
      <c r="N22" s="42"/>
    </row>
    <row r="23" spans="2:14" x14ac:dyDescent="0.25">
      <c r="B23" s="41"/>
      <c r="C23" s="34"/>
      <c r="D23" s="34"/>
      <c r="E23" s="34"/>
      <c r="F23" s="34"/>
      <c r="G23" s="42"/>
      <c r="I23" s="41"/>
      <c r="J23" s="34"/>
      <c r="K23" s="34"/>
      <c r="L23" s="34"/>
      <c r="M23" s="34"/>
      <c r="N23" s="42"/>
    </row>
    <row r="24" spans="2:14" ht="15.75" thickBot="1" x14ac:dyDescent="0.3">
      <c r="B24" s="248"/>
      <c r="C24" s="249"/>
      <c r="D24" s="249"/>
      <c r="E24" s="249"/>
      <c r="F24" s="249"/>
      <c r="G24" s="250"/>
      <c r="I24" s="248"/>
      <c r="J24" s="249"/>
      <c r="K24" s="249"/>
      <c r="L24" s="249"/>
      <c r="M24" s="249"/>
      <c r="N24" s="250"/>
    </row>
    <row r="25" spans="2:14" x14ac:dyDescent="0.25">
      <c r="B25" s="217"/>
      <c r="C25" s="218"/>
      <c r="D25" s="218"/>
      <c r="E25" s="218"/>
      <c r="F25" s="218"/>
      <c r="G25" s="219"/>
      <c r="I25" s="211"/>
      <c r="J25" s="212"/>
      <c r="K25" s="212"/>
      <c r="L25" s="212"/>
      <c r="M25" s="212"/>
      <c r="N25" s="213"/>
    </row>
    <row r="26" spans="2:14" ht="15.75" thickBot="1" x14ac:dyDescent="0.3">
      <c r="B26" s="220"/>
      <c r="C26" s="221"/>
      <c r="D26" s="221"/>
      <c r="E26" s="221"/>
      <c r="F26" s="221"/>
      <c r="G26" s="222"/>
      <c r="I26" s="214"/>
      <c r="J26" s="215"/>
      <c r="K26" s="215"/>
      <c r="L26" s="215"/>
      <c r="M26" s="215"/>
      <c r="N26" s="216"/>
    </row>
  </sheetData>
  <sheetProtection password="DED7" sheet="1" objects="1" scenarios="1"/>
  <mergeCells count="1">
    <mergeCell ref="B3:N4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53602" r:id="rId3">
          <objectPr defaultSize="0" autoPict="0" r:id="rId4">
            <anchor moveWithCells="1">
              <from>
                <xdr:col>8</xdr:col>
                <xdr:colOff>57150</xdr:colOff>
                <xdr:row>6</xdr:row>
                <xdr:rowOff>66675</xdr:rowOff>
              </from>
              <to>
                <xdr:col>13</xdr:col>
                <xdr:colOff>542925</xdr:colOff>
                <xdr:row>23</xdr:row>
                <xdr:rowOff>171450</xdr:rowOff>
              </to>
            </anchor>
          </objectPr>
        </oleObject>
      </mc:Choice>
      <mc:Fallback>
        <oleObject progId="AutoCAD.Drawing.18" shapeId="153602" r:id="rId3"/>
      </mc:Fallback>
    </mc:AlternateContent>
    <mc:AlternateContent xmlns:mc="http://schemas.openxmlformats.org/markup-compatibility/2006">
      <mc:Choice Requires="x14">
        <oleObject progId="AutoCAD.Drawing.18" shapeId="153606" r:id="rId5">
          <objectPr defaultSize="0" autoPict="0" r:id="rId6">
            <anchor moveWithCells="1">
              <from>
                <xdr:col>1</xdr:col>
                <xdr:colOff>38100</xdr:colOff>
                <xdr:row>6</xdr:row>
                <xdr:rowOff>28575</xdr:rowOff>
              </from>
              <to>
                <xdr:col>6</xdr:col>
                <xdr:colOff>571500</xdr:colOff>
                <xdr:row>23</xdr:row>
                <xdr:rowOff>171450</xdr:rowOff>
              </to>
            </anchor>
          </objectPr>
        </oleObject>
      </mc:Choice>
      <mc:Fallback>
        <oleObject progId="AutoCAD.Drawing.18" shapeId="153606" r:id="rId5"/>
      </mc:Fallback>
    </mc:AlternateContent>
    <mc:AlternateContent xmlns:mc="http://schemas.openxmlformats.org/markup-compatibility/2006">
      <mc:Choice Requires="x14">
        <oleObject progId="AutoCAD.Drawing.18" shapeId="153607" r:id="rId7">
          <objectPr defaultSize="0" autoPict="0" r:id="rId8">
            <anchor moveWithCells="1">
              <from>
                <xdr:col>8</xdr:col>
                <xdr:colOff>47625</xdr:colOff>
                <xdr:row>6</xdr:row>
                <xdr:rowOff>28575</xdr:rowOff>
              </from>
              <to>
                <xdr:col>13</xdr:col>
                <xdr:colOff>552450</xdr:colOff>
                <xdr:row>23</xdr:row>
                <xdr:rowOff>133350</xdr:rowOff>
              </to>
            </anchor>
          </objectPr>
        </oleObject>
      </mc:Choice>
      <mc:Fallback>
        <oleObject progId="AutoCAD.Drawing.18" shapeId="153607" r:id="rId7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3" r:id="rId9" name="Option Button 3">
              <controlPr defaultSize="0" autoFill="0" autoLine="0" autoPict="0" macro="[0]!macro117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6</xdr:col>
                    <xdr:colOff>571500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10" name="Option Button 4">
              <controlPr defaultSize="0" autoFill="0" autoLine="0" autoPict="0" macro="[0]!Macro118">
                <anchor moveWithCells="1">
                  <from>
                    <xdr:col>8</xdr:col>
                    <xdr:colOff>28575</xdr:colOff>
                    <xdr:row>24</xdr:row>
                    <xdr:rowOff>28575</xdr:rowOff>
                  </from>
                  <to>
                    <xdr:col>13</xdr:col>
                    <xdr:colOff>542925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11" name="Button 5">
              <controlPr defaultSize="0" print="0" autoFill="0" autoPict="0" macro="[0]!Macro119">
                <anchor moveWithCells="1" sizeWithCells="1">
                  <from>
                    <xdr:col>6</xdr:col>
                    <xdr:colOff>133350</xdr:colOff>
                    <xdr:row>27</xdr:row>
                    <xdr:rowOff>9525</xdr:rowOff>
                  </from>
                  <to>
                    <xdr:col>8</xdr:col>
                    <xdr:colOff>323850</xdr:colOff>
                    <xdr:row>30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13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7" max="17" width="16.85546875" customWidth="1"/>
    <col min="18" max="18" width="10.28515625" bestFit="1" customWidth="1"/>
    <col min="19" max="19" width="12.5703125" customWidth="1"/>
    <col min="20" max="20" width="12.7109375" customWidth="1"/>
  </cols>
  <sheetData>
    <row r="1" spans="2:22" x14ac:dyDescent="0.25">
      <c r="B1" s="505" t="s">
        <v>234</v>
      </c>
      <c r="C1" s="506"/>
      <c r="D1" s="506"/>
      <c r="E1" s="506"/>
      <c r="F1" s="506"/>
      <c r="G1" s="507"/>
      <c r="O1" s="190"/>
      <c r="P1" s="190"/>
      <c r="Q1" s="190"/>
      <c r="R1" s="190"/>
      <c r="S1" s="190"/>
      <c r="T1" s="190"/>
      <c r="U1" s="190"/>
      <c r="V1" s="190"/>
    </row>
    <row r="2" spans="2:22" ht="15.75" thickBot="1" x14ac:dyDescent="0.3">
      <c r="B2" s="508"/>
      <c r="C2" s="509"/>
      <c r="D2" s="509"/>
      <c r="E2" s="509"/>
      <c r="F2" s="509"/>
      <c r="G2" s="510"/>
      <c r="O2" s="190"/>
      <c r="P2" s="190"/>
      <c r="Q2" s="190"/>
      <c r="R2" s="190"/>
      <c r="S2" s="190"/>
      <c r="T2" s="190"/>
      <c r="U2" s="190"/>
      <c r="V2" s="190"/>
    </row>
    <row r="3" spans="2:22" ht="15.75" thickBot="1" x14ac:dyDescent="0.3">
      <c r="O3" s="190"/>
      <c r="P3" s="190"/>
      <c r="Q3" s="190"/>
      <c r="R3" s="190"/>
      <c r="S3" s="190"/>
      <c r="T3" s="190"/>
      <c r="U3" s="190"/>
      <c r="V3" s="190"/>
    </row>
    <row r="4" spans="2:22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9.9561250885886938</v>
      </c>
      <c r="O4" s="190"/>
      <c r="P4" s="190"/>
      <c r="Q4" s="190" t="s">
        <v>130</v>
      </c>
      <c r="R4" s="190">
        <f>(PI()*(E101/10)^2)/4</f>
        <v>3.1415926535897931</v>
      </c>
      <c r="S4" s="190"/>
      <c r="T4" s="190"/>
      <c r="U4" s="190"/>
      <c r="V4" s="190"/>
    </row>
    <row r="5" spans="2:22" ht="18.75" thickBot="1" x14ac:dyDescent="0.3">
      <c r="B5" s="120" t="s">
        <v>167</v>
      </c>
      <c r="C5" s="197">
        <f>COS(RADIANS(54))*'5 Estacas2'!AD37</f>
        <v>432.87500385168232</v>
      </c>
      <c r="O5" s="190"/>
      <c r="P5" s="190"/>
      <c r="Q5" s="190"/>
      <c r="R5" s="190"/>
      <c r="S5" s="190"/>
      <c r="T5" s="190"/>
      <c r="U5" s="190"/>
      <c r="V5" s="190"/>
    </row>
    <row r="6" spans="2:22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O6" s="190"/>
      <c r="P6" s="190"/>
      <c r="Q6" s="190" t="s">
        <v>135</v>
      </c>
      <c r="R6" s="190"/>
      <c r="S6" s="190"/>
      <c r="T6" s="190">
        <f>ABS(G10-1)</f>
        <v>3</v>
      </c>
      <c r="U6" s="190"/>
      <c r="V6" s="190"/>
    </row>
    <row r="7" spans="2:22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O7" s="190"/>
      <c r="P7" s="190"/>
      <c r="Q7" s="190" t="s">
        <v>133</v>
      </c>
      <c r="R7" s="190">
        <f>G4/R4</f>
        <v>3.1691330437802501</v>
      </c>
      <c r="S7" s="190"/>
      <c r="T7" s="190"/>
      <c r="U7" s="190"/>
      <c r="V7" s="190"/>
    </row>
    <row r="8" spans="2:22" ht="15.75" thickBot="1" x14ac:dyDescent="0.3">
      <c r="B8" s="122" t="s">
        <v>136</v>
      </c>
      <c r="C8" s="8">
        <f>Entradas2!C22</f>
        <v>23</v>
      </c>
      <c r="E8" s="253"/>
      <c r="F8" s="254"/>
      <c r="G8" s="255"/>
      <c r="H8" s="34"/>
      <c r="O8" s="190"/>
      <c r="P8" s="190"/>
      <c r="Q8" s="190" t="s">
        <v>137</v>
      </c>
      <c r="R8" s="190">
        <v>20</v>
      </c>
      <c r="S8" s="190"/>
      <c r="T8" s="190"/>
      <c r="U8" s="190"/>
      <c r="V8" s="190"/>
    </row>
    <row r="9" spans="2:22" ht="15.75" thickBot="1" x14ac:dyDescent="0.3">
      <c r="E9" s="34"/>
      <c r="F9" s="34"/>
      <c r="G9" s="34"/>
      <c r="H9" s="34"/>
      <c r="O9" s="190"/>
      <c r="P9" s="190"/>
      <c r="Q9" s="190"/>
      <c r="R9" s="190">
        <f>1.2*19</f>
        <v>22.8</v>
      </c>
      <c r="S9" s="190"/>
      <c r="T9" s="190"/>
      <c r="U9" s="190"/>
      <c r="V9" s="190"/>
    </row>
    <row r="10" spans="2:22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4</v>
      </c>
      <c r="O10" s="190"/>
      <c r="P10" s="190"/>
      <c r="Q10" s="190"/>
      <c r="R10" s="190">
        <f>E101</f>
        <v>20</v>
      </c>
      <c r="S10" s="190"/>
      <c r="T10" s="190"/>
      <c r="U10" s="190"/>
      <c r="V10" s="190"/>
    </row>
    <row r="11" spans="2:22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IFERROR((LARGE(R11:R12,1)),"-")</f>
        <v>5</v>
      </c>
      <c r="O11" s="190"/>
      <c r="P11" s="190"/>
      <c r="Q11" s="190" t="s">
        <v>138</v>
      </c>
      <c r="R11" s="190">
        <f>(LARGE(R8:R10,1))/10</f>
        <v>2.2800000000000002</v>
      </c>
      <c r="S11" s="190"/>
      <c r="T11" s="190"/>
      <c r="U11" s="190"/>
      <c r="V11" s="190"/>
    </row>
    <row r="12" spans="2:22" ht="15.75" thickBot="1" x14ac:dyDescent="0.3">
      <c r="E12" s="531"/>
      <c r="F12" s="532"/>
      <c r="G12" s="534"/>
      <c r="O12" s="190"/>
      <c r="P12" s="190"/>
      <c r="Q12" s="190" t="s">
        <v>140</v>
      </c>
      <c r="R12" s="190">
        <f>((C8)-G10*(E101/10))/T6</f>
        <v>5</v>
      </c>
      <c r="S12" s="190"/>
      <c r="T12" s="190"/>
      <c r="U12" s="190"/>
      <c r="V12" s="190"/>
    </row>
    <row r="13" spans="2:22" ht="15.75" thickBot="1" x14ac:dyDescent="0.3">
      <c r="B13" s="521" t="s">
        <v>215</v>
      </c>
      <c r="C13" s="465"/>
      <c r="O13" s="190"/>
      <c r="P13" s="190"/>
      <c r="Q13" s="190"/>
      <c r="R13" s="190"/>
      <c r="S13" s="190"/>
      <c r="T13" s="190"/>
      <c r="U13" s="190"/>
      <c r="V13" s="190"/>
    </row>
    <row r="14" spans="2:22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O14" s="190"/>
      <c r="P14" s="190"/>
      <c r="Q14" s="190" t="s">
        <v>149</v>
      </c>
      <c r="R14" s="190">
        <f>G10*R4</f>
        <v>12.566370614359172</v>
      </c>
      <c r="S14" s="190"/>
      <c r="T14" s="190"/>
      <c r="U14" s="190"/>
      <c r="V14" s="190"/>
    </row>
    <row r="15" spans="2:22" ht="15.75" thickBot="1" x14ac:dyDescent="0.3">
      <c r="E15" s="492" t="s">
        <v>143</v>
      </c>
      <c r="F15" s="493"/>
      <c r="G15" s="141">
        <f>'5 Estacas2'!I6-C6+C8/2</f>
        <v>34</v>
      </c>
      <c r="H15" s="494" t="str">
        <f>IF(G16&lt;=G15,"Verificação Atendida","Aumentar o Diâmetro da Barra ou fck do Concreto")</f>
        <v>Aumentar o Diâmetro da Barra ou fck do Concreto</v>
      </c>
      <c r="I15" s="495"/>
      <c r="J15" s="496"/>
      <c r="O15" s="190"/>
      <c r="P15" s="190"/>
      <c r="Q15" s="190"/>
      <c r="R15" s="190"/>
      <c r="S15" s="190"/>
      <c r="T15" s="190"/>
      <c r="U15" s="190"/>
      <c r="V15" s="190"/>
    </row>
    <row r="16" spans="2:22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41.781776903954849</v>
      </c>
      <c r="H16" s="497"/>
      <c r="I16" s="498"/>
      <c r="J16" s="499"/>
      <c r="O16" s="190"/>
      <c r="P16" s="190"/>
      <c r="Q16" s="190" t="s">
        <v>144</v>
      </c>
      <c r="R16" s="190">
        <f>0.3*0.7*Entradas2!C13^(2/3)</f>
        <v>1.795474744010531</v>
      </c>
      <c r="S16" s="190"/>
      <c r="T16" s="190"/>
      <c r="U16" s="190"/>
      <c r="V16" s="190"/>
    </row>
    <row r="17" spans="2:22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O17" s="190"/>
      <c r="P17" s="190"/>
      <c r="Q17" s="190" t="s">
        <v>145</v>
      </c>
      <c r="R17" s="190">
        <f>R16/Entradas2!C17</f>
        <v>1.2824819600075221</v>
      </c>
      <c r="S17" s="190"/>
      <c r="T17" s="190"/>
      <c r="U17" s="190"/>
      <c r="V17" s="190"/>
    </row>
    <row r="18" spans="2:22" ht="15.75" thickBot="1" x14ac:dyDescent="0.3">
      <c r="E18" s="143"/>
      <c r="F18" s="538" t="s">
        <v>181</v>
      </c>
      <c r="G18" s="539"/>
      <c r="H18" s="2"/>
      <c r="I18" s="2"/>
      <c r="J18" s="2"/>
      <c r="O18" s="190"/>
      <c r="P18" s="190"/>
      <c r="Q18" s="190"/>
      <c r="R18" s="190"/>
      <c r="S18" s="190"/>
      <c r="T18" s="190"/>
      <c r="U18" s="190"/>
      <c r="V18" s="190"/>
    </row>
    <row r="19" spans="2:22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O19" s="190"/>
      <c r="P19" s="190"/>
      <c r="Q19" s="190" t="s">
        <v>146</v>
      </c>
      <c r="R19" s="190">
        <f>C14*C17*C20*R17</f>
        <v>2.885584410016925</v>
      </c>
      <c r="S19" s="190"/>
      <c r="T19" s="190" t="s">
        <v>147</v>
      </c>
      <c r="U19" s="190">
        <f>R19/10</f>
        <v>0.28855844100169248</v>
      </c>
      <c r="V19" s="190"/>
    </row>
    <row r="20" spans="2:22" ht="18.75" thickBot="1" x14ac:dyDescent="0.3">
      <c r="B20" s="122" t="s">
        <v>203</v>
      </c>
      <c r="C20" s="8">
        <v>1</v>
      </c>
      <c r="O20" s="190"/>
      <c r="P20" s="190"/>
      <c r="Q20" s="190"/>
      <c r="R20" s="190"/>
      <c r="S20" s="190"/>
      <c r="T20" s="190"/>
      <c r="U20" s="190"/>
      <c r="V20" s="190"/>
    </row>
    <row r="21" spans="2:22" x14ac:dyDescent="0.25">
      <c r="E21" s="515" t="s">
        <v>150</v>
      </c>
      <c r="F21" s="517"/>
      <c r="G21" s="549">
        <f>IF(E101=20,8*E101,5*E101)</f>
        <v>160</v>
      </c>
      <c r="O21" s="190"/>
      <c r="P21" s="190"/>
      <c r="Q21" s="190" t="s">
        <v>148</v>
      </c>
      <c r="R21" s="190">
        <f>(E101/10)*(C7/U19)/4</f>
        <v>75.337010968447473</v>
      </c>
      <c r="S21" s="190"/>
      <c r="T21" s="190"/>
      <c r="U21" s="190"/>
      <c r="V21" s="190"/>
    </row>
    <row r="22" spans="2:22" ht="15" customHeight="1" thickBot="1" x14ac:dyDescent="0.3">
      <c r="B22" s="103"/>
      <c r="E22" s="525"/>
      <c r="F22" s="526"/>
      <c r="G22" s="550"/>
      <c r="O22" s="190"/>
      <c r="P22" s="190"/>
      <c r="Q22" s="190"/>
      <c r="R22" s="190"/>
      <c r="S22" s="190"/>
      <c r="T22" s="190"/>
      <c r="U22" s="190"/>
      <c r="V22" s="190"/>
    </row>
    <row r="23" spans="2:22" x14ac:dyDescent="0.25">
      <c r="E23" s="529" t="s">
        <v>151</v>
      </c>
      <c r="F23" s="530"/>
      <c r="G23" s="546">
        <f>IF(E101=20,CEILING(R24,1),CEILING(R23,1))</f>
        <v>120</v>
      </c>
      <c r="O23" s="190"/>
      <c r="P23" s="190"/>
      <c r="Q23" s="190" t="s">
        <v>152</v>
      </c>
      <c r="R23" s="190">
        <f>'5 Estacas2'!I7+2*('5 Estacas2'!I6-C6-(G21/10)/2+(PI())*(G21/10)/4+10*(E101/10))</f>
        <v>151.63274122871834</v>
      </c>
      <c r="S23" s="190"/>
      <c r="T23" s="190"/>
      <c r="U23" s="190"/>
      <c r="V23" s="190"/>
    </row>
    <row r="24" spans="2:22" ht="15.75" thickBot="1" x14ac:dyDescent="0.3">
      <c r="E24" s="531"/>
      <c r="F24" s="532"/>
      <c r="G24" s="547"/>
      <c r="H24" s="190">
        <f>ROUNDUP(G23,0)</f>
        <v>120</v>
      </c>
      <c r="O24" s="190"/>
      <c r="P24" s="190"/>
      <c r="Q24" s="190" t="s">
        <v>153</v>
      </c>
      <c r="R24" s="190">
        <f>'5 Estacas2'!I7+2*('5 Estacas2'!I6-C6-(G21/10)/2+(PI())*(G21/10)/4+2*(E101/10))</f>
        <v>119.63274122871834</v>
      </c>
      <c r="S24" s="190"/>
      <c r="T24" s="190"/>
      <c r="U24" s="190"/>
      <c r="V24" s="190"/>
    </row>
    <row r="25" spans="2:22" x14ac:dyDescent="0.25">
      <c r="O25" s="190"/>
      <c r="P25" s="190"/>
      <c r="Q25" s="190"/>
      <c r="R25" s="190"/>
      <c r="S25" s="190"/>
      <c r="T25" s="190"/>
      <c r="U25" s="190"/>
      <c r="V25" s="190"/>
    </row>
    <row r="26" spans="2:22" x14ac:dyDescent="0.25">
      <c r="O26" s="190"/>
      <c r="P26" s="190"/>
      <c r="Q26" s="190"/>
      <c r="R26" s="190"/>
      <c r="S26" s="190"/>
      <c r="T26" s="190"/>
      <c r="U26" s="190"/>
      <c r="V26" s="190"/>
    </row>
    <row r="27" spans="2:22" x14ac:dyDescent="0.25">
      <c r="O27" s="190"/>
      <c r="P27" s="190"/>
      <c r="Q27" s="190" t="s">
        <v>168</v>
      </c>
      <c r="R27" s="190">
        <f>2*E101/10</f>
        <v>4</v>
      </c>
      <c r="S27" s="190"/>
      <c r="T27" s="190"/>
      <c r="U27" s="190"/>
      <c r="V27" s="190"/>
    </row>
    <row r="28" spans="2:22" x14ac:dyDescent="0.25">
      <c r="O28" s="190"/>
      <c r="P28" s="190"/>
      <c r="Q28" s="354" t="s">
        <v>169</v>
      </c>
      <c r="R28" s="190">
        <f>E101</f>
        <v>20</v>
      </c>
      <c r="S28" s="190"/>
      <c r="T28" s="190"/>
      <c r="U28" s="190"/>
      <c r="V28" s="190"/>
    </row>
    <row r="29" spans="2:22" x14ac:dyDescent="0.25">
      <c r="O29" s="190"/>
      <c r="P29" s="190"/>
      <c r="Q29" s="190"/>
      <c r="R29" s="190"/>
      <c r="S29" s="190"/>
      <c r="T29" s="190"/>
      <c r="U29" s="190"/>
      <c r="V29" s="190"/>
    </row>
    <row r="30" spans="2:22" x14ac:dyDescent="0.25">
      <c r="O30" s="190"/>
      <c r="P30" s="190"/>
      <c r="Q30" s="190"/>
      <c r="R30" s="190"/>
      <c r="S30" s="190"/>
      <c r="T30" s="190"/>
      <c r="U30" s="190"/>
      <c r="V30" s="190"/>
    </row>
    <row r="31" spans="2:22" x14ac:dyDescent="0.25">
      <c r="O31" s="190"/>
      <c r="P31" s="190"/>
      <c r="Q31" s="190"/>
      <c r="R31" s="190"/>
      <c r="S31" s="190"/>
      <c r="T31" s="190"/>
      <c r="U31" s="190"/>
      <c r="V31" s="190"/>
    </row>
    <row r="32" spans="2:22" x14ac:dyDescent="0.25">
      <c r="O32" s="190"/>
      <c r="P32" s="190"/>
      <c r="Q32" s="190"/>
      <c r="R32" s="190"/>
      <c r="S32" s="190"/>
      <c r="T32" s="190"/>
      <c r="U32" s="190"/>
      <c r="V32" s="190"/>
    </row>
    <row r="35" spans="9:9" ht="18" x14ac:dyDescent="0.35">
      <c r="I35" s="190" t="s">
        <v>213</v>
      </c>
    </row>
    <row r="98" spans="1:5" x14ac:dyDescent="0.25">
      <c r="A98" s="381"/>
      <c r="B98" s="381"/>
      <c r="C98" s="381"/>
      <c r="D98" s="381"/>
      <c r="E98" s="381"/>
    </row>
    <row r="99" spans="1:5" x14ac:dyDescent="0.25">
      <c r="A99" s="381"/>
      <c r="B99" s="381"/>
      <c r="C99" s="381"/>
      <c r="D99" s="381"/>
      <c r="E99" s="381"/>
    </row>
    <row r="100" spans="1:5" x14ac:dyDescent="0.25">
      <c r="A100" s="381"/>
      <c r="B100" s="388">
        <v>6</v>
      </c>
      <c r="C100" s="388"/>
      <c r="D100" s="388"/>
      <c r="E100" s="388"/>
    </row>
    <row r="101" spans="1:5" x14ac:dyDescent="0.25">
      <c r="A101" s="381"/>
      <c r="B101" s="389">
        <v>6.3</v>
      </c>
      <c r="C101" s="388"/>
      <c r="D101" s="385" t="s">
        <v>132</v>
      </c>
      <c r="E101" s="385">
        <f>IF(B100=1,B101,IF(B100=2,B102,IF(B100=3,B103,IF(B100=4,B104,IF(B100=5,B105,IF(B100=6,B106))))))</f>
        <v>20</v>
      </c>
    </row>
    <row r="102" spans="1:5" x14ac:dyDescent="0.25">
      <c r="A102" s="381"/>
      <c r="B102" s="389">
        <v>8</v>
      </c>
      <c r="C102" s="388"/>
      <c r="D102" s="388"/>
      <c r="E102" s="388"/>
    </row>
    <row r="103" spans="1:5" x14ac:dyDescent="0.25">
      <c r="A103" s="381"/>
      <c r="B103" s="389">
        <v>10</v>
      </c>
      <c r="C103" s="388"/>
      <c r="D103" s="388"/>
      <c r="E103" s="388"/>
    </row>
    <row r="104" spans="1:5" x14ac:dyDescent="0.25">
      <c r="A104" s="381"/>
      <c r="B104" s="389">
        <v>12.5</v>
      </c>
      <c r="C104" s="388"/>
      <c r="D104" s="388"/>
      <c r="E104" s="388"/>
    </row>
    <row r="105" spans="1:5" x14ac:dyDescent="0.25">
      <c r="A105" s="381"/>
      <c r="B105" s="389">
        <v>16</v>
      </c>
      <c r="C105" s="388"/>
      <c r="D105" s="388"/>
      <c r="E105" s="388"/>
    </row>
    <row r="106" spans="1:5" x14ac:dyDescent="0.25">
      <c r="A106" s="381"/>
      <c r="B106" s="389">
        <v>20</v>
      </c>
      <c r="C106" s="388"/>
      <c r="D106" s="388"/>
      <c r="E106" s="388"/>
    </row>
    <row r="107" spans="1:5" x14ac:dyDescent="0.25">
      <c r="A107" s="381"/>
      <c r="B107" s="381"/>
      <c r="C107" s="381"/>
      <c r="D107" s="381"/>
      <c r="E107" s="381"/>
    </row>
    <row r="108" spans="1:5" x14ac:dyDescent="0.25">
      <c r="A108" s="381"/>
      <c r="B108" s="381"/>
      <c r="C108" s="381"/>
      <c r="D108" s="381"/>
      <c r="E108" s="381"/>
    </row>
    <row r="109" spans="1:5" x14ac:dyDescent="0.25">
      <c r="A109" s="381"/>
      <c r="B109" s="381"/>
      <c r="C109" s="381"/>
      <c r="D109" s="381"/>
      <c r="E109" s="381"/>
    </row>
    <row r="110" spans="1:5" x14ac:dyDescent="0.25">
      <c r="A110" s="381"/>
      <c r="B110" s="381"/>
      <c r="C110" s="381"/>
      <c r="D110" s="381"/>
      <c r="E110" s="381"/>
    </row>
    <row r="111" spans="1:5" x14ac:dyDescent="0.25">
      <c r="A111" s="381"/>
      <c r="B111" s="381"/>
      <c r="C111" s="381"/>
      <c r="D111" s="381"/>
      <c r="E111" s="381"/>
    </row>
    <row r="112" spans="1:5" x14ac:dyDescent="0.25">
      <c r="A112" s="381"/>
      <c r="B112" s="381"/>
      <c r="C112" s="381"/>
      <c r="D112" s="381"/>
      <c r="E112" s="381"/>
    </row>
    <row r="113" spans="1:5" x14ac:dyDescent="0.25">
      <c r="A113" s="381"/>
      <c r="B113" s="381"/>
      <c r="C113" s="381"/>
      <c r="D113" s="381"/>
      <c r="E113" s="381"/>
    </row>
  </sheetData>
  <sheetProtection password="DED7" sheet="1" objects="1" scenarios="1"/>
  <mergeCells count="23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23:F24"/>
    <mergeCell ref="G23:G24"/>
    <mergeCell ref="E17:G17"/>
    <mergeCell ref="F18:G18"/>
    <mergeCell ref="B19:C19"/>
    <mergeCell ref="F19:G19"/>
    <mergeCell ref="E21:F22"/>
    <mergeCell ref="G21:G22"/>
  </mergeCells>
  <conditionalFormatting sqref="E15:E16 G15:G16">
    <cfRule type="expression" dxfId="21" priority="1">
      <formula>$G$16&gt;$G$15</formula>
    </cfRule>
    <cfRule type="expression" dxfId="20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cincoestacasproximoarm">
                <anchor moveWithCells="1" sizeWithCells="1">
                  <from>
                    <xdr:col>7</xdr:col>
                    <xdr:colOff>381000</xdr:colOff>
                    <xdr:row>21</xdr:row>
                    <xdr:rowOff>152400</xdr:rowOff>
                  </from>
                  <to>
                    <xdr:col>9</xdr:col>
                    <xdr:colOff>590550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Macro120">
                <anchor moveWithCells="1" sizeWithCells="1">
                  <from>
                    <xdr:col>7</xdr:col>
                    <xdr:colOff>381000</xdr:colOff>
                    <xdr:row>18</xdr:row>
                    <xdr:rowOff>114300</xdr:rowOff>
                  </from>
                  <to>
                    <xdr:col>9</xdr:col>
                    <xdr:colOff>590550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150"/>
  <sheetViews>
    <sheetView showGridLines="0" showRowColHeaders="0" zoomScale="85" zoomScaleNormal="85" workbookViewId="0"/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6" width="9.140625" style="182"/>
    <col min="17" max="17" width="32.42578125" style="182" bestFit="1" customWidth="1"/>
    <col min="18" max="19" width="9.140625" style="182"/>
    <col min="20" max="20" width="12.5703125" style="182" bestFit="1" customWidth="1"/>
    <col min="21" max="16384" width="9.140625" style="182"/>
  </cols>
  <sheetData>
    <row r="1" spans="1:25" ht="15" customHeight="1" x14ac:dyDescent="0.25">
      <c r="A1"/>
      <c r="B1" s="505" t="s">
        <v>254</v>
      </c>
      <c r="C1" s="506"/>
      <c r="D1" s="506"/>
      <c r="E1" s="506"/>
      <c r="F1" s="506"/>
      <c r="G1" s="507"/>
      <c r="H1"/>
      <c r="I1"/>
      <c r="J1"/>
      <c r="K1"/>
      <c r="L1"/>
      <c r="M1" s="350"/>
      <c r="N1" s="350"/>
      <c r="O1" s="350"/>
      <c r="P1" s="350"/>
      <c r="Q1" s="350"/>
      <c r="R1" s="350"/>
      <c r="S1" s="350"/>
      <c r="T1" s="350"/>
      <c r="U1" s="350"/>
      <c r="V1" s="350"/>
      <c r="W1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/>
      <c r="M2" s="350"/>
      <c r="N2" s="350"/>
      <c r="O2" s="350"/>
      <c r="P2" s="350"/>
      <c r="Q2" s="350"/>
      <c r="R2" s="350"/>
      <c r="S2" s="350"/>
      <c r="T2" s="350"/>
      <c r="U2" s="350"/>
      <c r="V2" s="350"/>
      <c r="W2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/>
      <c r="M3" s="650" t="s">
        <v>228</v>
      </c>
      <c r="N3" s="650"/>
      <c r="O3" s="350">
        <f>((((SIN(RADIANS(54))*'5 Estacas2'!I7)+(('5 Estacas2'!I7*TAN(RADIANS(54)))/2))-'5 Estacas2'!I5)-(G10*D115/10))/R6</f>
        <v>8.2927796271579588</v>
      </c>
      <c r="P3" s="350"/>
      <c r="Q3" s="350"/>
      <c r="R3" s="350"/>
      <c r="S3" s="350"/>
      <c r="T3" s="350"/>
      <c r="U3" s="350"/>
      <c r="V3" s="350"/>
      <c r="W3"/>
      <c r="X3"/>
      <c r="Y3"/>
    </row>
    <row r="4" spans="1:25" ht="19.5" thickBot="1" x14ac:dyDescent="0.35">
      <c r="A4"/>
      <c r="B4" s="511" t="s">
        <v>128</v>
      </c>
      <c r="C4" s="512"/>
      <c r="D4" s="293"/>
      <c r="E4" s="513" t="s">
        <v>205</v>
      </c>
      <c r="F4" s="514"/>
      <c r="G4" s="281">
        <f>C5/C7</f>
        <v>2.489031272147173</v>
      </c>
      <c r="H4"/>
      <c r="I4"/>
      <c r="J4"/>
      <c r="K4"/>
      <c r="L4"/>
      <c r="M4" s="350" t="s">
        <v>137</v>
      </c>
      <c r="N4" s="350"/>
      <c r="O4" s="350">
        <f>R10/10</f>
        <v>0.63</v>
      </c>
      <c r="P4" s="350"/>
      <c r="Q4" s="350" t="s">
        <v>130</v>
      </c>
      <c r="R4" s="350">
        <f>(PI()*(D115/10)^2)/4</f>
        <v>0.31172453105244724</v>
      </c>
      <c r="S4" s="350"/>
      <c r="T4" s="350"/>
      <c r="U4" s="350"/>
      <c r="V4" s="350"/>
      <c r="W4"/>
      <c r="X4"/>
      <c r="Y4"/>
    </row>
    <row r="5" spans="1:25" ht="18.75" thickBot="1" x14ac:dyDescent="0.3">
      <c r="A5"/>
      <c r="B5" s="120" t="s">
        <v>167</v>
      </c>
      <c r="C5" s="277">
        <f>0.2*(IF('5 Estacas2'!H15="Estaca E1",'5 Estacas2'!AD37,IF('5 Estacas2'!H15="Estaca E3",'5 Estacas2'!AD37,IF('5 Estacas2'!H15="Estaca E2",TAN(RADIANS(54))*'5 Estacas2'!AD37,IF('5 Estacas2'!H15="Estaca E4",COS(RADIANS(54))*'5 Estacas2'!AD37,IF('5 Estacas2'!H15="Estaca E5",COS(RADIANS(54))*'5 Estacas2'!AD37))))))</f>
        <v>86.575000770336473</v>
      </c>
      <c r="D5" s="293"/>
      <c r="E5"/>
      <c r="F5"/>
      <c r="G5"/>
      <c r="H5"/>
      <c r="I5"/>
      <c r="J5"/>
      <c r="K5"/>
      <c r="L5"/>
      <c r="M5" s="350"/>
      <c r="N5" s="350"/>
      <c r="O5" s="350">
        <f>(1.2*19)/10</f>
        <v>2.2800000000000002</v>
      </c>
      <c r="P5" s="350"/>
      <c r="Q5" s="350"/>
      <c r="R5" s="350"/>
      <c r="S5" s="350"/>
      <c r="T5" s="350"/>
      <c r="U5" s="350"/>
      <c r="V5" s="350"/>
      <c r="W5"/>
      <c r="X5"/>
      <c r="Y5"/>
    </row>
    <row r="6" spans="1:25" x14ac:dyDescent="0.25">
      <c r="A6"/>
      <c r="B6" s="121" t="s">
        <v>129</v>
      </c>
      <c r="C6" s="278">
        <v>4</v>
      </c>
      <c r="D6" s="293"/>
      <c r="E6" s="515" t="s">
        <v>131</v>
      </c>
      <c r="F6" s="516"/>
      <c r="G6" s="517"/>
      <c r="H6" s="34"/>
      <c r="I6"/>
      <c r="J6"/>
      <c r="K6"/>
      <c r="L6"/>
      <c r="M6" s="350"/>
      <c r="N6" s="350"/>
      <c r="O6" s="350"/>
      <c r="P6" s="350"/>
      <c r="Q6" s="350" t="s">
        <v>135</v>
      </c>
      <c r="R6" s="350">
        <f>G10-1</f>
        <v>7</v>
      </c>
      <c r="S6" s="350"/>
      <c r="T6" s="350"/>
      <c r="U6" s="350"/>
      <c r="V6" s="350"/>
      <c r="W6"/>
      <c r="X6"/>
      <c r="Y6"/>
    </row>
    <row r="7" spans="1:25" ht="18" x14ac:dyDescent="0.25">
      <c r="A7"/>
      <c r="B7" s="121" t="s">
        <v>200</v>
      </c>
      <c r="C7" s="279">
        <f>(50/Entradas2!C18)*0.8</f>
        <v>34.782608695652179</v>
      </c>
      <c r="D7" s="293"/>
      <c r="E7" s="518"/>
      <c r="F7" s="519"/>
      <c r="G7" s="520"/>
      <c r="H7" s="237"/>
      <c r="I7"/>
      <c r="J7"/>
      <c r="K7"/>
      <c r="L7"/>
      <c r="M7" s="350"/>
      <c r="N7" s="350"/>
      <c r="O7" s="350"/>
      <c r="P7" s="350"/>
      <c r="Q7" s="350" t="s">
        <v>133</v>
      </c>
      <c r="R7" s="350">
        <f>G4/R4</f>
        <v>7.9847141440671434</v>
      </c>
      <c r="S7" s="350"/>
      <c r="T7" s="350"/>
      <c r="U7" s="350"/>
      <c r="V7" s="350"/>
      <c r="W7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 s="293"/>
      <c r="E8" s="269"/>
      <c r="F8" s="270"/>
      <c r="G8" s="271"/>
      <c r="H8" s="237"/>
      <c r="I8"/>
      <c r="J8"/>
      <c r="K8"/>
      <c r="L8"/>
      <c r="M8" s="350" t="s">
        <v>138</v>
      </c>
      <c r="N8" s="350"/>
      <c r="O8" s="350">
        <f>LARGE(O3:O5,1)</f>
        <v>8.2927796271579588</v>
      </c>
      <c r="P8" s="350"/>
      <c r="Q8" s="350" t="s">
        <v>137</v>
      </c>
      <c r="R8" s="350">
        <v>20</v>
      </c>
      <c r="S8" s="350"/>
      <c r="T8" s="350"/>
      <c r="U8" s="350"/>
      <c r="V8" s="350"/>
      <c r="W8"/>
      <c r="X8"/>
      <c r="Y8"/>
    </row>
    <row r="9" spans="1:25" ht="15.75" thickBot="1" x14ac:dyDescent="0.3">
      <c r="A9"/>
      <c r="B9"/>
      <c r="C9"/>
      <c r="D9" s="293"/>
      <c r="E9" s="34"/>
      <c r="F9" s="34"/>
      <c r="G9" s="34"/>
      <c r="H9" s="34"/>
      <c r="I9"/>
      <c r="J9"/>
      <c r="K9"/>
      <c r="L9"/>
      <c r="M9" s="350"/>
      <c r="N9" s="350"/>
      <c r="O9" s="350"/>
      <c r="P9" s="350"/>
      <c r="Q9" s="350"/>
      <c r="R9" s="350">
        <f>1.2*19</f>
        <v>22.8</v>
      </c>
      <c r="S9" s="350"/>
      <c r="T9" s="350"/>
      <c r="U9" s="350"/>
      <c r="V9" s="350"/>
      <c r="W9"/>
      <c r="X9"/>
      <c r="Y9"/>
    </row>
    <row r="10" spans="1:25" ht="15.75" thickBot="1" x14ac:dyDescent="0.3">
      <c r="A10"/>
      <c r="B10" s="521" t="s">
        <v>214</v>
      </c>
      <c r="C10" s="465"/>
      <c r="D10" s="293"/>
      <c r="E10" s="489" t="s">
        <v>134</v>
      </c>
      <c r="F10" s="491"/>
      <c r="G10" s="282">
        <f>ROUNDUP(R7,0)</f>
        <v>8</v>
      </c>
      <c r="H10"/>
      <c r="I10"/>
      <c r="J10"/>
      <c r="K10"/>
      <c r="L10"/>
      <c r="M10" s="350"/>
      <c r="N10" s="350"/>
      <c r="O10" s="350"/>
      <c r="P10" s="350"/>
      <c r="Q10" s="350"/>
      <c r="R10" s="350">
        <f>D115</f>
        <v>6.3</v>
      </c>
      <c r="S10" s="350"/>
      <c r="T10" s="350"/>
      <c r="U10" s="350"/>
      <c r="V10" s="350"/>
      <c r="W1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 s="293"/>
      <c r="E11" s="529" t="s">
        <v>139</v>
      </c>
      <c r="F11" s="530"/>
      <c r="G11" s="588">
        <f>O8</f>
        <v>8.2927796271579588</v>
      </c>
      <c r="H11"/>
      <c r="I11"/>
      <c r="J11"/>
      <c r="K11"/>
      <c r="L11"/>
      <c r="M11" s="350"/>
      <c r="N11" s="350"/>
      <c r="O11" s="350"/>
      <c r="P11" s="350"/>
      <c r="Q11" s="350" t="s">
        <v>138</v>
      </c>
      <c r="R11" s="350">
        <f>(LARGE(R8:R10,1))/10</f>
        <v>2.2800000000000002</v>
      </c>
      <c r="S11" s="350"/>
      <c r="T11" s="350"/>
      <c r="U11" s="350"/>
      <c r="V11" s="350"/>
      <c r="W11"/>
      <c r="X11"/>
      <c r="Y11"/>
    </row>
    <row r="12" spans="1:25" ht="15.75" thickBot="1" x14ac:dyDescent="0.3">
      <c r="A12"/>
      <c r="B12"/>
      <c r="C12"/>
      <c r="D12" s="293"/>
      <c r="E12" s="531"/>
      <c r="F12" s="532"/>
      <c r="G12" s="589"/>
      <c r="H12"/>
      <c r="I12"/>
      <c r="J12"/>
      <c r="K12"/>
      <c r="L12"/>
      <c r="M12" s="350"/>
      <c r="N12" s="350"/>
      <c r="O12" s="350"/>
      <c r="P12" s="350"/>
      <c r="Q12" s="350" t="s">
        <v>140</v>
      </c>
      <c r="R12" s="350">
        <f>((C8)-G10*(D115/10))/R6</f>
        <v>2.5657142857142858</v>
      </c>
      <c r="S12" s="350"/>
      <c r="T12" s="350"/>
      <c r="U12" s="350"/>
      <c r="V12" s="350"/>
      <c r="W12"/>
      <c r="X12"/>
      <c r="Y12"/>
    </row>
    <row r="13" spans="1:25" ht="15.75" thickBot="1" x14ac:dyDescent="0.3">
      <c r="A13"/>
      <c r="B13" s="521" t="s">
        <v>215</v>
      </c>
      <c r="C13" s="465"/>
      <c r="D13" s="293"/>
      <c r="E13"/>
      <c r="F13"/>
      <c r="G13"/>
      <c r="H13"/>
      <c r="I13"/>
      <c r="J13"/>
      <c r="K13"/>
      <c r="L13"/>
      <c r="M13" s="350"/>
      <c r="N13" s="350"/>
      <c r="O13" s="350"/>
      <c r="P13" s="350"/>
      <c r="Q13" s="350"/>
      <c r="R13" s="350"/>
      <c r="S13" s="350"/>
      <c r="T13" s="350"/>
      <c r="U13" s="350"/>
      <c r="V13" s="350"/>
      <c r="W13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 s="293"/>
      <c r="E14" s="535" t="s">
        <v>141</v>
      </c>
      <c r="F14" s="536"/>
      <c r="G14" s="537"/>
      <c r="H14" s="489" t="s">
        <v>210</v>
      </c>
      <c r="I14" s="490"/>
      <c r="J14" s="491"/>
      <c r="K14"/>
      <c r="L14"/>
      <c r="M14" s="350"/>
      <c r="N14" s="350"/>
      <c r="O14" s="350"/>
      <c r="P14" s="350"/>
      <c r="Q14" s="350" t="s">
        <v>149</v>
      </c>
      <c r="R14" s="350">
        <f>G10*R4</f>
        <v>2.4937962484195779</v>
      </c>
      <c r="S14" s="350"/>
      <c r="T14" s="350"/>
      <c r="U14" s="350"/>
      <c r="V14" s="350"/>
      <c r="W14"/>
      <c r="X14"/>
      <c r="Y14"/>
    </row>
    <row r="15" spans="1:25" ht="15.75" thickBot="1" x14ac:dyDescent="0.3">
      <c r="A15"/>
      <c r="B15"/>
      <c r="C15"/>
      <c r="D15" s="293"/>
      <c r="E15" s="492" t="s">
        <v>143</v>
      </c>
      <c r="F15" s="493"/>
      <c r="G15" s="141">
        <f>0.87*'5 Estacas1'!L6-C6+(C8/2)</f>
        <v>30.555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/>
      <c r="M15" s="350"/>
      <c r="N15" s="350"/>
      <c r="O15" s="350"/>
      <c r="P15" s="350"/>
      <c r="Q15" s="350"/>
      <c r="R15" s="350"/>
      <c r="S15" s="350"/>
      <c r="T15" s="350"/>
      <c r="U15" s="350"/>
      <c r="V15" s="350"/>
      <c r="W15"/>
      <c r="X15"/>
      <c r="Y15"/>
    </row>
    <row r="16" spans="1:25" ht="15.75" thickBot="1" x14ac:dyDescent="0.3">
      <c r="A16"/>
      <c r="B16" s="521" t="s">
        <v>216</v>
      </c>
      <c r="C16" s="465"/>
      <c r="D16" s="293"/>
      <c r="E16" s="500" t="s">
        <v>142</v>
      </c>
      <c r="F16" s="501"/>
      <c r="G16" s="142">
        <f>C11*R21*G4/R14</f>
        <v>13.264056159985666</v>
      </c>
      <c r="H16" s="497"/>
      <c r="I16" s="498"/>
      <c r="J16" s="499"/>
      <c r="K16" s="276"/>
      <c r="L16"/>
      <c r="M16" s="350"/>
      <c r="N16" s="350"/>
      <c r="O16" s="350"/>
      <c r="P16" s="350"/>
      <c r="Q16" s="350" t="s">
        <v>144</v>
      </c>
      <c r="R16" s="350">
        <f>0.3*0.7*Entradas2!C13^(2/3)</f>
        <v>1.795474744010531</v>
      </c>
      <c r="S16" s="350"/>
      <c r="T16" s="350"/>
      <c r="U16" s="350"/>
      <c r="V16" s="350"/>
      <c r="W16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 s="293"/>
      <c r="E17" s="502" t="s">
        <v>180</v>
      </c>
      <c r="F17" s="503"/>
      <c r="G17" s="504"/>
      <c r="H17" s="2"/>
      <c r="I17" s="2"/>
      <c r="J17" s="2"/>
      <c r="K17"/>
      <c r="L17"/>
      <c r="M17" s="350"/>
      <c r="N17" s="350"/>
      <c r="O17" s="350"/>
      <c r="P17" s="350"/>
      <c r="Q17" s="350" t="s">
        <v>145</v>
      </c>
      <c r="R17" s="350">
        <f>R16/Entradas2!C17</f>
        <v>1.2824819600075221</v>
      </c>
      <c r="S17" s="350"/>
      <c r="T17" s="350"/>
      <c r="U17" s="350"/>
      <c r="V17" s="350"/>
      <c r="W17"/>
      <c r="X17"/>
      <c r="Y17"/>
    </row>
    <row r="18" spans="1:25" ht="15.75" thickBot="1" x14ac:dyDescent="0.3">
      <c r="A18"/>
      <c r="B18"/>
      <c r="C18"/>
      <c r="D18" s="293"/>
      <c r="E18" s="143"/>
      <c r="F18" s="538" t="s">
        <v>181</v>
      </c>
      <c r="G18" s="539"/>
      <c r="H18" s="2"/>
      <c r="I18" s="2"/>
      <c r="J18" s="2"/>
      <c r="K18"/>
      <c r="L18"/>
      <c r="M18" s="350"/>
      <c r="N18" s="350"/>
      <c r="O18" s="350"/>
      <c r="P18" s="350"/>
      <c r="Q18" s="350"/>
      <c r="R18" s="350"/>
      <c r="S18" s="350"/>
      <c r="T18" s="350"/>
      <c r="U18" s="350"/>
      <c r="V18" s="350"/>
      <c r="W18"/>
      <c r="X18"/>
      <c r="Y18"/>
    </row>
    <row r="19" spans="1:25" ht="15.75" thickBot="1" x14ac:dyDescent="0.3">
      <c r="A19"/>
      <c r="B19" s="521" t="s">
        <v>217</v>
      </c>
      <c r="C19" s="465"/>
      <c r="D19" s="293"/>
      <c r="E19" s="144"/>
      <c r="F19" s="540" t="s">
        <v>182</v>
      </c>
      <c r="G19" s="501"/>
      <c r="H19" s="2"/>
      <c r="I19" s="2"/>
      <c r="J19" s="2"/>
      <c r="K19"/>
      <c r="L19"/>
      <c r="M19" s="350"/>
      <c r="N19" s="350"/>
      <c r="O19" s="350"/>
      <c r="P19" s="350"/>
      <c r="Q19" s="350" t="s">
        <v>146</v>
      </c>
      <c r="R19" s="350">
        <f>C14*C17*C20*R17</f>
        <v>2.885584410016925</v>
      </c>
      <c r="S19" s="350"/>
      <c r="T19" s="350" t="s">
        <v>147</v>
      </c>
      <c r="U19" s="350">
        <f>R19/10</f>
        <v>0.28855844100169248</v>
      </c>
      <c r="V19" s="350"/>
      <c r="W19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 s="293"/>
      <c r="E20"/>
      <c r="F20"/>
      <c r="G20"/>
      <c r="H20"/>
      <c r="I20"/>
      <c r="J20"/>
      <c r="K20"/>
      <c r="L2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IF(D115=20,8*D115,5*D115)</f>
        <v>31.5</v>
      </c>
      <c r="H21"/>
      <c r="I21"/>
      <c r="J21"/>
      <c r="K21"/>
      <c r="L21"/>
      <c r="M21" s="350"/>
      <c r="N21" s="350"/>
      <c r="O21" s="350"/>
      <c r="P21" s="350"/>
      <c r="Q21" s="350" t="s">
        <v>148</v>
      </c>
      <c r="R21" s="350">
        <f>(D115/10)*(C7/U19)/4</f>
        <v>18.984926764048765</v>
      </c>
      <c r="S21" s="350"/>
      <c r="T21" s="350"/>
      <c r="U21" s="350"/>
      <c r="V21" s="350"/>
      <c r="W21"/>
      <c r="X21"/>
      <c r="Y21"/>
    </row>
    <row r="22" spans="1:25" ht="15.75" thickBot="1" x14ac:dyDescent="0.3">
      <c r="A22"/>
      <c r="B22" s="190">
        <v>2</v>
      </c>
      <c r="C22"/>
      <c r="D22"/>
      <c r="E22" s="525"/>
      <c r="F22" s="526"/>
      <c r="G22" s="593"/>
      <c r="H22"/>
      <c r="I22"/>
      <c r="J22"/>
      <c r="K22"/>
      <c r="L22"/>
      <c r="M22" s="350"/>
      <c r="N22" s="350"/>
      <c r="O22" s="350"/>
      <c r="P22" s="350"/>
      <c r="Q22" s="350"/>
      <c r="R22" s="350"/>
      <c r="S22" s="350"/>
      <c r="T22" s="350"/>
      <c r="U22" s="350"/>
      <c r="V22" s="350"/>
      <c r="W22"/>
      <c r="X22"/>
      <c r="Y22"/>
    </row>
    <row r="23" spans="1:25" x14ac:dyDescent="0.25">
      <c r="A23"/>
      <c r="B23" s="191">
        <v>6.3</v>
      </c>
      <c r="E23" s="529" t="s">
        <v>151</v>
      </c>
      <c r="F23" s="530"/>
      <c r="G23" s="590" t="s">
        <v>235</v>
      </c>
      <c r="H23"/>
      <c r="I23"/>
      <c r="J23"/>
      <c r="K23"/>
      <c r="L23"/>
      <c r="M23" s="350"/>
      <c r="N23" s="350"/>
      <c r="O23" s="350"/>
      <c r="P23" s="350"/>
      <c r="Q23" s="350" t="s">
        <v>152</v>
      </c>
      <c r="R23" s="350">
        <f>2*'6 Estacas'!L7+2*('6 Estacas'!L6-C6-(G21/10)/2+PI()*(G21/10)/4+10*(D115/10))</f>
        <v>174.39800842940392</v>
      </c>
      <c r="S23" s="350"/>
      <c r="T23" s="350"/>
      <c r="U23" s="350"/>
      <c r="V23" s="350"/>
      <c r="W23"/>
      <c r="X23"/>
      <c r="Y23"/>
    </row>
    <row r="24" spans="1:25" ht="15.75" thickBot="1" x14ac:dyDescent="0.3">
      <c r="A24"/>
      <c r="B24" s="191">
        <v>5</v>
      </c>
      <c r="E24" s="531"/>
      <c r="F24" s="532"/>
      <c r="G24" s="591"/>
      <c r="H24" s="111"/>
      <c r="I24"/>
      <c r="J24"/>
      <c r="K24"/>
      <c r="L24"/>
      <c r="M24" s="350"/>
      <c r="N24" s="350"/>
      <c r="O24" s="350"/>
      <c r="P24" s="350"/>
      <c r="Q24" s="350" t="s">
        <v>153</v>
      </c>
      <c r="R24" s="350">
        <f>2*'6 Estacas'!L7+2*('3 Estacas1'!N6-C6-(G21/10)/2+PI()*(G21/10)/2+2*(D115/10))</f>
        <v>169.26601685880786</v>
      </c>
      <c r="S24" s="350"/>
      <c r="T24" s="350"/>
      <c r="U24" s="350"/>
      <c r="V24" s="350"/>
      <c r="W24"/>
      <c r="X24"/>
      <c r="Y24"/>
    </row>
    <row r="25" spans="1:25" x14ac:dyDescent="0.25">
      <c r="A25"/>
      <c r="B25" s="191">
        <v>6.3</v>
      </c>
      <c r="E25"/>
      <c r="F25"/>
      <c r="G25"/>
      <c r="H25"/>
      <c r="I25"/>
      <c r="J25"/>
      <c r="K25"/>
      <c r="L25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/>
      <c r="X25"/>
      <c r="Y25"/>
    </row>
    <row r="26" spans="1:25" x14ac:dyDescent="0.25">
      <c r="A26"/>
      <c r="B26" s="191">
        <v>12.5</v>
      </c>
      <c r="F26"/>
      <c r="G26"/>
      <c r="H26"/>
      <c r="I26"/>
      <c r="J26"/>
      <c r="K26"/>
      <c r="L26"/>
      <c r="M26" s="350"/>
      <c r="N26" s="350"/>
      <c r="O26" s="350"/>
      <c r="P26" s="350"/>
      <c r="Q26" s="350"/>
      <c r="R26" s="350"/>
      <c r="S26" s="350"/>
      <c r="T26" s="350"/>
      <c r="U26" s="350"/>
      <c r="V26" s="350"/>
      <c r="W26"/>
      <c r="X26"/>
      <c r="Y26"/>
    </row>
    <row r="27" spans="1:25" x14ac:dyDescent="0.25">
      <c r="A27"/>
      <c r="B27" s="191">
        <v>16</v>
      </c>
      <c r="C27"/>
      <c r="D27"/>
      <c r="E27"/>
      <c r="F27"/>
      <c r="G27"/>
      <c r="H27"/>
      <c r="I27"/>
      <c r="J27"/>
      <c r="K27"/>
      <c r="L27"/>
      <c r="M27" s="350"/>
      <c r="N27" s="350"/>
      <c r="O27" s="350"/>
      <c r="P27" s="350"/>
      <c r="Q27" s="350" t="s">
        <v>168</v>
      </c>
      <c r="R27" s="350">
        <f>2*D115/10</f>
        <v>1.26</v>
      </c>
      <c r="S27" s="350"/>
      <c r="T27" s="350"/>
      <c r="U27" s="350"/>
      <c r="V27" s="350"/>
      <c r="W27"/>
      <c r="X27"/>
      <c r="Y27"/>
    </row>
    <row r="28" spans="1:25" ht="15.75" thickBot="1" x14ac:dyDescent="0.3">
      <c r="A28"/>
      <c r="B28" s="191">
        <v>20</v>
      </c>
      <c r="C28"/>
      <c r="D28"/>
      <c r="E28"/>
      <c r="F28"/>
      <c r="G28"/>
      <c r="H28"/>
      <c r="I28"/>
      <c r="J28"/>
      <c r="K28"/>
      <c r="L28"/>
      <c r="M28" s="350"/>
      <c r="N28" s="350"/>
      <c r="O28" s="350"/>
      <c r="P28" s="350"/>
      <c r="Q28" s="373" t="s">
        <v>169</v>
      </c>
      <c r="R28" s="350">
        <f>D115</f>
        <v>6.3</v>
      </c>
      <c r="S28" s="350"/>
      <c r="T28" s="350"/>
      <c r="U28" s="350"/>
      <c r="V28" s="350"/>
      <c r="W28"/>
      <c r="X28"/>
      <c r="Y28"/>
    </row>
    <row r="29" spans="1:25" ht="15" customHeight="1" x14ac:dyDescent="0.25">
      <c r="A29"/>
      <c r="B29" s="505" t="s">
        <v>255</v>
      </c>
      <c r="C29" s="506"/>
      <c r="D29" s="506"/>
      <c r="E29" s="506"/>
      <c r="F29" s="506"/>
      <c r="G29" s="507"/>
      <c r="H29"/>
      <c r="I29"/>
      <c r="J29"/>
      <c r="K29"/>
      <c r="L29"/>
      <c r="M29" s="350"/>
      <c r="N29" s="350"/>
      <c r="O29" s="350"/>
      <c r="P29" s="350"/>
      <c r="Q29" s="350"/>
      <c r="R29" s="350"/>
      <c r="S29" s="350"/>
      <c r="T29" s="350"/>
      <c r="U29" s="350"/>
      <c r="V29" s="350"/>
      <c r="W29"/>
      <c r="X29"/>
      <c r="Y29"/>
    </row>
    <row r="30" spans="1:25" ht="15.75" customHeight="1" thickBot="1" x14ac:dyDescent="0.3">
      <c r="A30"/>
      <c r="B30" s="508"/>
      <c r="C30" s="509"/>
      <c r="D30" s="509"/>
      <c r="E30" s="509"/>
      <c r="F30" s="509"/>
      <c r="G30" s="510"/>
      <c r="H30"/>
      <c r="I30"/>
      <c r="J30"/>
      <c r="K30"/>
      <c r="L30"/>
      <c r="M30" s="350"/>
      <c r="N30" s="350"/>
      <c r="O30" s="350"/>
      <c r="P30" s="350"/>
      <c r="Q30" s="350"/>
      <c r="R30" s="350"/>
      <c r="S30" s="350"/>
      <c r="T30" s="350"/>
      <c r="U30" s="350"/>
      <c r="V30" s="350"/>
      <c r="W30"/>
      <c r="X30"/>
      <c r="Y30"/>
    </row>
    <row r="31" spans="1:25" ht="15.75" thickBot="1" x14ac:dyDescent="0.3">
      <c r="A31"/>
      <c r="B31"/>
      <c r="C31"/>
      <c r="D31"/>
      <c r="E31"/>
      <c r="F31"/>
      <c r="G31"/>
      <c r="H31"/>
      <c r="I31"/>
      <c r="J31"/>
      <c r="K31"/>
      <c r="L31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/>
      <c r="X31"/>
      <c r="Y31"/>
    </row>
    <row r="32" spans="1:25" ht="19.5" thickBot="1" x14ac:dyDescent="0.35">
      <c r="A32"/>
      <c r="B32" s="511" t="s">
        <v>128</v>
      </c>
      <c r="C32" s="512"/>
      <c r="D32"/>
      <c r="E32" s="513" t="s">
        <v>205</v>
      </c>
      <c r="F32" s="514"/>
      <c r="G32" s="281">
        <f>C33/C35</f>
        <v>3.4258576424707345</v>
      </c>
      <c r="H32"/>
      <c r="I32"/>
      <c r="J32"/>
      <c r="K32"/>
      <c r="L32"/>
      <c r="M32" s="350"/>
      <c r="N32" s="350"/>
      <c r="O32" s="350"/>
      <c r="P32" s="350"/>
      <c r="Q32" s="350" t="s">
        <v>130</v>
      </c>
      <c r="R32" s="350">
        <f>(PI()*(E105/10)^2)/4</f>
        <v>0.31172453105244724</v>
      </c>
      <c r="S32" s="350"/>
      <c r="T32" s="350"/>
      <c r="U32" s="350"/>
      <c r="V32" s="350"/>
      <c r="W32"/>
      <c r="X32"/>
      <c r="Y32"/>
    </row>
    <row r="33" spans="1:25" ht="18.75" thickBot="1" x14ac:dyDescent="0.3">
      <c r="A33"/>
      <c r="B33" s="120" t="s">
        <v>167</v>
      </c>
      <c r="C33" s="277">
        <f>0.2*(IF('5 Estacas2'!H15="Estaca E1",'5 Estacas2'!AD37/SIN(RADIANS(54)),IF('5 Estacas2'!H15="Estaca E3",'5 Estacas2'!AD37/SIN(RADIANS(54)),IF('5 Estacas2'!H15="Estaca E2",'5 Estacas2'!AD37,IF('5 Estacas2'!H15="Estaca E4",SIN(RADIANS(54))*'5 Estacas2'!AD37,IF('5 Estacas2'!H15="Estaca E5",SIN(RADIANS(54))*'5 Estacas2'!AD37))))))</f>
        <v>119.16026582506905</v>
      </c>
      <c r="D33"/>
      <c r="E33"/>
      <c r="F33"/>
      <c r="G33"/>
      <c r="H33"/>
      <c r="I33"/>
      <c r="J33"/>
      <c r="K33"/>
      <c r="L33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/>
      <c r="X33"/>
      <c r="Y33"/>
    </row>
    <row r="34" spans="1:25" ht="15" customHeight="1" x14ac:dyDescent="0.25">
      <c r="A34"/>
      <c r="B34" s="121" t="s">
        <v>129</v>
      </c>
      <c r="C34" s="278">
        <v>4</v>
      </c>
      <c r="D34"/>
      <c r="E34" s="515" t="s">
        <v>131</v>
      </c>
      <c r="F34" s="516"/>
      <c r="G34" s="517"/>
      <c r="H34" s="34"/>
      <c r="I34"/>
      <c r="J34"/>
      <c r="K34"/>
      <c r="L34"/>
      <c r="M34" s="350"/>
      <c r="N34" s="350"/>
      <c r="O34" s="350"/>
      <c r="P34" s="375" t="s">
        <v>256</v>
      </c>
      <c r="Q34" s="350" t="s">
        <v>135</v>
      </c>
      <c r="R34" s="350">
        <f>G38-1</f>
        <v>10</v>
      </c>
      <c r="S34" s="350"/>
      <c r="T34" s="350"/>
      <c r="U34" s="350"/>
      <c r="V34" s="350"/>
      <c r="W34"/>
      <c r="X34"/>
      <c r="Y34"/>
    </row>
    <row r="35" spans="1:25" ht="18" x14ac:dyDescent="0.25">
      <c r="A35"/>
      <c r="B35" s="121" t="s">
        <v>200</v>
      </c>
      <c r="C35" s="279">
        <f>(50/Entradas2!C18)*0.8</f>
        <v>34.782608695652179</v>
      </c>
      <c r="D35"/>
      <c r="E35" s="518"/>
      <c r="F35" s="519"/>
      <c r="G35" s="520"/>
      <c r="H35" s="237"/>
      <c r="I35"/>
      <c r="J35"/>
      <c r="K35"/>
      <c r="L35"/>
      <c r="M35" s="350" t="s">
        <v>229</v>
      </c>
      <c r="N35" s="350">
        <f>(('5 Estacas2'!I7+'5 Estacas2'!I5)-(G38*E105/10))/R34</f>
        <v>7.3569999999999993</v>
      </c>
      <c r="O35" s="350"/>
      <c r="P35" s="350"/>
      <c r="Q35" s="350" t="s">
        <v>133</v>
      </c>
      <c r="R35" s="350">
        <f>G32/R32</f>
        <v>10.990016188024478</v>
      </c>
      <c r="S35" s="350"/>
      <c r="T35" s="350"/>
      <c r="U35" s="350"/>
      <c r="V35" s="350"/>
      <c r="W35"/>
      <c r="X35"/>
      <c r="Y35"/>
    </row>
    <row r="36" spans="1:25" ht="15.75" thickBot="1" x14ac:dyDescent="0.3">
      <c r="A36"/>
      <c r="B36" s="122" t="s">
        <v>136</v>
      </c>
      <c r="C36" s="280">
        <f>Entradas2!C22</f>
        <v>23</v>
      </c>
      <c r="D36"/>
      <c r="E36" s="269"/>
      <c r="F36" s="270"/>
      <c r="G36" s="271"/>
      <c r="H36" s="237"/>
      <c r="I36"/>
      <c r="J36"/>
      <c r="K36"/>
      <c r="L36"/>
      <c r="M36" s="350"/>
      <c r="N36" s="350"/>
      <c r="O36" s="350"/>
      <c r="P36" s="350"/>
      <c r="Q36" s="350" t="s">
        <v>137</v>
      </c>
      <c r="R36" s="350">
        <v>20</v>
      </c>
      <c r="S36" s="350"/>
      <c r="T36" s="350"/>
      <c r="U36" s="350"/>
      <c r="V36" s="350"/>
      <c r="W36"/>
      <c r="X36"/>
      <c r="Y36"/>
    </row>
    <row r="37" spans="1:25" ht="15" customHeight="1" thickBot="1" x14ac:dyDescent="0.3">
      <c r="A37"/>
      <c r="B37"/>
      <c r="C37"/>
      <c r="D37"/>
      <c r="E37" s="34"/>
      <c r="F37" s="34"/>
      <c r="G37" s="34"/>
      <c r="H37" s="34"/>
      <c r="I37"/>
      <c r="J37"/>
      <c r="K37"/>
      <c r="L37"/>
      <c r="M37" s="350"/>
      <c r="N37" s="350">
        <f>1.2*19/10</f>
        <v>2.2800000000000002</v>
      </c>
      <c r="O37" s="350"/>
      <c r="P37" s="350"/>
      <c r="Q37" s="350"/>
      <c r="R37" s="350">
        <f>1.2*19</f>
        <v>22.8</v>
      </c>
      <c r="S37" s="350"/>
      <c r="T37" s="350"/>
      <c r="U37" s="350"/>
      <c r="V37" s="350"/>
      <c r="W37"/>
      <c r="X37"/>
      <c r="Y37"/>
    </row>
    <row r="38" spans="1:25" ht="15.75" customHeight="1" thickBot="1" x14ac:dyDescent="0.3">
      <c r="A38"/>
      <c r="B38" s="521" t="s">
        <v>214</v>
      </c>
      <c r="C38" s="465"/>
      <c r="D38"/>
      <c r="E38" s="489" t="s">
        <v>134</v>
      </c>
      <c r="F38" s="491"/>
      <c r="G38" s="282">
        <f>ROUNDUP(R35,0)</f>
        <v>11</v>
      </c>
      <c r="H38"/>
      <c r="I38"/>
      <c r="J38"/>
      <c r="K38"/>
      <c r="L38"/>
      <c r="M38" s="350"/>
      <c r="N38" s="350">
        <f>E105/10</f>
        <v>0.63</v>
      </c>
      <c r="O38" s="350"/>
      <c r="P38" s="350"/>
      <c r="Q38" s="350"/>
      <c r="R38" s="350">
        <f>E105</f>
        <v>6.3</v>
      </c>
      <c r="S38" s="350"/>
      <c r="T38" s="350"/>
      <c r="U38" s="350"/>
      <c r="V38" s="350"/>
      <c r="W38"/>
      <c r="X38"/>
      <c r="Y38"/>
    </row>
    <row r="39" spans="1:25" ht="15.75" customHeight="1" thickBot="1" x14ac:dyDescent="0.3">
      <c r="A39"/>
      <c r="B39" s="122" t="s">
        <v>204</v>
      </c>
      <c r="C39" s="280">
        <v>0.7</v>
      </c>
      <c r="D39"/>
      <c r="E39" s="541" t="s">
        <v>139</v>
      </c>
      <c r="F39" s="542"/>
      <c r="G39" s="636">
        <f>M39</f>
        <v>7.3569999999999993</v>
      </c>
      <c r="H39"/>
      <c r="I39"/>
      <c r="J39"/>
      <c r="K39"/>
      <c r="L39"/>
      <c r="M39" s="350">
        <f>LARGE(N35:N38,1)</f>
        <v>7.3569999999999993</v>
      </c>
      <c r="N39" s="350"/>
      <c r="O39" s="350"/>
      <c r="P39" s="350"/>
      <c r="Q39" s="350" t="s">
        <v>138</v>
      </c>
      <c r="R39" s="350">
        <f>(LARGE(R36:R38,1))/10</f>
        <v>2.2800000000000002</v>
      </c>
      <c r="S39" s="350"/>
      <c r="T39" s="350"/>
      <c r="U39" s="350"/>
      <c r="V39" s="350"/>
      <c r="W39"/>
      <c r="X39"/>
      <c r="Y39"/>
    </row>
    <row r="40" spans="1:25" ht="15.75" thickBot="1" x14ac:dyDescent="0.3">
      <c r="A40"/>
      <c r="B40"/>
      <c r="C40"/>
      <c r="D40"/>
      <c r="E40" s="531"/>
      <c r="F40" s="532"/>
      <c r="G40" s="637"/>
      <c r="H40"/>
      <c r="I40"/>
      <c r="J40"/>
      <c r="K40"/>
      <c r="L40"/>
      <c r="M40" s="350"/>
      <c r="N40" s="350"/>
      <c r="O40" s="350"/>
      <c r="P40" s="350"/>
      <c r="Q40" s="350" t="s">
        <v>140</v>
      </c>
      <c r="R40" s="350">
        <f>((C36)-G38*(E105/10))/R34</f>
        <v>1.607</v>
      </c>
      <c r="S40" s="350"/>
      <c r="T40" s="350"/>
      <c r="U40" s="350"/>
      <c r="V40" s="350"/>
      <c r="W40"/>
      <c r="X40"/>
      <c r="Y40"/>
    </row>
    <row r="41" spans="1:25" ht="15.75" thickBot="1" x14ac:dyDescent="0.3">
      <c r="A41"/>
      <c r="B41" s="521" t="s">
        <v>215</v>
      </c>
      <c r="C41" s="465"/>
      <c r="D41"/>
      <c r="E41"/>
      <c r="F41"/>
      <c r="G41"/>
      <c r="H41"/>
      <c r="I41"/>
      <c r="J41"/>
      <c r="K41"/>
      <c r="L41"/>
      <c r="M41" s="350"/>
      <c r="N41" s="350"/>
      <c r="O41" s="350"/>
      <c r="P41" s="350"/>
      <c r="Q41" s="350"/>
      <c r="R41" s="350"/>
      <c r="S41" s="350"/>
      <c r="T41" s="350"/>
      <c r="U41" s="350"/>
      <c r="V41" s="350"/>
      <c r="W41"/>
      <c r="X41"/>
      <c r="Y41"/>
    </row>
    <row r="42" spans="1:25" ht="15" customHeight="1" thickBot="1" x14ac:dyDescent="0.3">
      <c r="A42"/>
      <c r="B42" s="122" t="s">
        <v>201</v>
      </c>
      <c r="C42" s="280">
        <v>2.25</v>
      </c>
      <c r="D42"/>
      <c r="E42" s="535" t="s">
        <v>141</v>
      </c>
      <c r="F42" s="536"/>
      <c r="G42" s="537"/>
      <c r="H42" s="489" t="s">
        <v>210</v>
      </c>
      <c r="I42" s="490"/>
      <c r="J42" s="491"/>
      <c r="K42"/>
      <c r="L42"/>
      <c r="M42" s="350"/>
      <c r="N42" s="350"/>
      <c r="O42" s="350"/>
      <c r="P42" s="350"/>
      <c r="Q42" s="350" t="s">
        <v>149</v>
      </c>
      <c r="R42" s="350">
        <f>G38*R32</f>
        <v>3.4289698415769196</v>
      </c>
      <c r="S42" s="350"/>
      <c r="T42" s="350"/>
      <c r="U42" s="350"/>
      <c r="V42" s="350"/>
      <c r="W42"/>
      <c r="X42"/>
      <c r="Y42"/>
    </row>
    <row r="43" spans="1:25" ht="15.75" thickBot="1" x14ac:dyDescent="0.3">
      <c r="A43"/>
      <c r="B43"/>
      <c r="C43"/>
      <c r="D43"/>
      <c r="E43" s="626" t="s">
        <v>143</v>
      </c>
      <c r="F43" s="627"/>
      <c r="G43" s="141">
        <f>'5 Estacas1'!L6*0.87-C34+(C36/2)</f>
        <v>30.555</v>
      </c>
      <c r="H43" s="494" t="str">
        <f>IF(G44&lt;=G43,"Verificação Atendida","Aumentar o Diâmetro da Barra ou fck do Concreto")</f>
        <v>Verificação Atendida</v>
      </c>
      <c r="I43" s="495"/>
      <c r="J43" s="496"/>
      <c r="K43" s="276"/>
      <c r="L43"/>
      <c r="M43" s="350"/>
      <c r="N43" s="350"/>
      <c r="O43" s="350"/>
      <c r="P43" s="350"/>
      <c r="Q43" s="350"/>
      <c r="R43" s="350"/>
      <c r="S43" s="350"/>
      <c r="T43" s="350"/>
      <c r="U43" s="350"/>
      <c r="V43" s="350"/>
      <c r="W43"/>
      <c r="X43"/>
      <c r="Y43"/>
    </row>
    <row r="44" spans="1:25" ht="15.75" thickBot="1" x14ac:dyDescent="0.3">
      <c r="A44"/>
      <c r="B44" s="521" t="s">
        <v>216</v>
      </c>
      <c r="C44" s="465"/>
      <c r="D44"/>
      <c r="E44" s="630" t="s">
        <v>142</v>
      </c>
      <c r="F44" s="631"/>
      <c r="G44" s="142">
        <f>C39*R49*G32/R42</f>
        <v>13.277386975068053</v>
      </c>
      <c r="H44" s="497"/>
      <c r="I44" s="498"/>
      <c r="J44" s="499"/>
      <c r="K44" s="276"/>
      <c r="L44"/>
      <c r="M44" s="350"/>
      <c r="N44" s="350"/>
      <c r="O44" s="350"/>
      <c r="P44" s="350"/>
      <c r="Q44" s="350" t="s">
        <v>144</v>
      </c>
      <c r="R44" s="350">
        <f>0.3*0.7*Entradas2!C13^(2/3)</f>
        <v>1.795474744010531</v>
      </c>
      <c r="S44" s="350"/>
      <c r="T44" s="350"/>
      <c r="U44" s="350"/>
      <c r="V44" s="350"/>
      <c r="W44"/>
      <c r="X44"/>
      <c r="Y44"/>
    </row>
    <row r="45" spans="1:25" ht="18.75" thickBot="1" x14ac:dyDescent="0.3">
      <c r="A45"/>
      <c r="B45" s="122" t="s">
        <v>202</v>
      </c>
      <c r="C45" s="280">
        <v>1</v>
      </c>
      <c r="D45"/>
      <c r="E45" s="623" t="s">
        <v>180</v>
      </c>
      <c r="F45" s="624"/>
      <c r="G45" s="625"/>
      <c r="H45" s="2"/>
      <c r="I45" s="2"/>
      <c r="J45" s="2"/>
      <c r="K45"/>
      <c r="L45"/>
      <c r="M45" s="350"/>
      <c r="N45" s="350"/>
      <c r="O45" s="350"/>
      <c r="P45" s="350"/>
      <c r="Q45" s="350" t="s">
        <v>145</v>
      </c>
      <c r="R45" s="350">
        <f>R44/Entradas2!C17</f>
        <v>1.2824819600075221</v>
      </c>
      <c r="S45" s="350"/>
      <c r="T45" s="350"/>
      <c r="U45" s="350"/>
      <c r="V45" s="350"/>
      <c r="W45"/>
      <c r="X45"/>
      <c r="Y45"/>
    </row>
    <row r="46" spans="1:25" ht="15.75" thickBot="1" x14ac:dyDescent="0.3">
      <c r="A46"/>
      <c r="B46"/>
      <c r="C46"/>
      <c r="D46"/>
      <c r="E46" s="143"/>
      <c r="F46" s="626" t="s">
        <v>181</v>
      </c>
      <c r="G46" s="627"/>
      <c r="H46" s="2"/>
      <c r="I46" s="2"/>
      <c r="J46" s="2"/>
      <c r="K46"/>
      <c r="L46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/>
      <c r="X46"/>
      <c r="Y46"/>
    </row>
    <row r="47" spans="1:25" ht="15.75" customHeight="1" thickBot="1" x14ac:dyDescent="0.3">
      <c r="A47"/>
      <c r="B47" s="521" t="s">
        <v>217</v>
      </c>
      <c r="C47" s="465"/>
      <c r="D47"/>
      <c r="E47" s="144"/>
      <c r="F47" s="630" t="s">
        <v>182</v>
      </c>
      <c r="G47" s="631"/>
      <c r="H47" s="2"/>
      <c r="I47" s="2"/>
      <c r="J47" s="2"/>
      <c r="K47"/>
      <c r="L47"/>
      <c r="M47" s="350"/>
      <c r="N47" s="350"/>
      <c r="O47" s="350"/>
      <c r="P47" s="350"/>
      <c r="Q47" s="350" t="s">
        <v>146</v>
      </c>
      <c r="R47" s="350">
        <f>C42*C45*C48*R45</f>
        <v>2.885584410016925</v>
      </c>
      <c r="S47" s="350"/>
      <c r="T47" s="350" t="s">
        <v>147</v>
      </c>
      <c r="U47" s="350">
        <f>R47/10</f>
        <v>0.28855844100169248</v>
      </c>
      <c r="V47" s="350"/>
      <c r="W47"/>
      <c r="X47"/>
      <c r="Y47"/>
    </row>
    <row r="48" spans="1:25" ht="18.75" thickBot="1" x14ac:dyDescent="0.3">
      <c r="A48"/>
      <c r="B48" s="122" t="s">
        <v>203</v>
      </c>
      <c r="C48" s="280">
        <v>1</v>
      </c>
      <c r="D48"/>
      <c r="E48"/>
      <c r="F48"/>
      <c r="G48"/>
      <c r="H48"/>
      <c r="I48"/>
      <c r="J48"/>
      <c r="K48"/>
      <c r="L48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/>
      <c r="X48"/>
      <c r="Y48"/>
    </row>
    <row r="49" spans="1:25" ht="15" customHeight="1" x14ac:dyDescent="0.25">
      <c r="A49"/>
      <c r="B49"/>
      <c r="C49"/>
      <c r="D49"/>
      <c r="E49" s="515" t="s">
        <v>150</v>
      </c>
      <c r="F49" s="517"/>
      <c r="G49" s="632">
        <f>IF(E105=20,8*E105,5*E105)</f>
        <v>31.5</v>
      </c>
      <c r="H49"/>
      <c r="I49"/>
      <c r="J49"/>
      <c r="K49"/>
      <c r="L49"/>
      <c r="M49" s="350"/>
      <c r="N49" s="350"/>
      <c r="O49" s="350"/>
      <c r="P49" s="350"/>
      <c r="Q49" s="350" t="s">
        <v>148</v>
      </c>
      <c r="R49" s="350">
        <f>(E105/10)*(C35/U47)/4</f>
        <v>18.984926764048765</v>
      </c>
      <c r="S49" s="350"/>
      <c r="T49" s="350"/>
      <c r="U49" s="350"/>
      <c r="V49" s="350"/>
      <c r="W49"/>
      <c r="X49"/>
      <c r="Y49"/>
    </row>
    <row r="50" spans="1:25" ht="15.75" thickBot="1" x14ac:dyDescent="0.3">
      <c r="A50"/>
      <c r="B50" s="103"/>
      <c r="C50"/>
      <c r="D50"/>
      <c r="E50" s="525"/>
      <c r="F50" s="526"/>
      <c r="G50" s="633"/>
      <c r="H50"/>
      <c r="I50"/>
      <c r="J50"/>
      <c r="K50"/>
      <c r="L5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/>
      <c r="X50"/>
      <c r="Y50"/>
    </row>
    <row r="51" spans="1:25" ht="15" customHeight="1" x14ac:dyDescent="0.25">
      <c r="A51"/>
      <c r="B51"/>
      <c r="C51"/>
      <c r="D51"/>
      <c r="E51" s="541" t="s">
        <v>151</v>
      </c>
      <c r="F51" s="542"/>
      <c r="G51" s="634" t="s">
        <v>235</v>
      </c>
      <c r="H51"/>
      <c r="I51"/>
      <c r="J51"/>
      <c r="K51"/>
      <c r="L51"/>
      <c r="M51" s="350"/>
      <c r="N51" s="350"/>
      <c r="O51" s="350"/>
      <c r="P51" s="350"/>
      <c r="Q51" s="350" t="s">
        <v>152</v>
      </c>
      <c r="R51" s="350">
        <f>'6 Estacas'!L7+2*('6 Estacas'!L6-C34-(G49/10)/2+PI()*(G49/10)/4+10*(E105/10))</f>
        <v>116.89800842940392</v>
      </c>
      <c r="S51" s="350"/>
      <c r="T51" s="350"/>
      <c r="U51" s="350"/>
      <c r="V51" s="350"/>
      <c r="W51"/>
      <c r="X51"/>
      <c r="Y51"/>
    </row>
    <row r="52" spans="1:25" ht="15.75" thickBot="1" x14ac:dyDescent="0.3">
      <c r="A52"/>
      <c r="B52"/>
      <c r="C52"/>
      <c r="D52"/>
      <c r="E52" s="531"/>
      <c r="F52" s="532"/>
      <c r="G52" s="635"/>
      <c r="H52" s="111"/>
      <c r="I52"/>
      <c r="J52"/>
      <c r="K52"/>
      <c r="L52"/>
      <c r="M52" s="350"/>
      <c r="N52" s="350"/>
      <c r="O52" s="350"/>
      <c r="P52" s="350"/>
      <c r="Q52" s="350" t="s">
        <v>153</v>
      </c>
      <c r="R52" s="350">
        <f>'6 Estacas'!L7+2*('6 Estacas'!L6-C34-(G49/10)/2+PI()*(G49/10)/2+2*(E105/10))</f>
        <v>111.76601685880786</v>
      </c>
      <c r="S52" s="350"/>
      <c r="T52" s="350"/>
      <c r="U52" s="350"/>
      <c r="V52" s="350"/>
      <c r="W52"/>
      <c r="X52"/>
      <c r="Y52"/>
    </row>
    <row r="53" spans="1:25" x14ac:dyDescent="0.25">
      <c r="A53"/>
      <c r="B53"/>
      <c r="C53"/>
      <c r="D53"/>
      <c r="E53"/>
      <c r="F53"/>
      <c r="G53"/>
      <c r="H53"/>
      <c r="I53"/>
      <c r="J53"/>
      <c r="K53"/>
      <c r="L53"/>
      <c r="M53" s="350"/>
      <c r="N53" s="350"/>
      <c r="O53" s="350"/>
      <c r="P53" s="350"/>
      <c r="Q53" s="350"/>
      <c r="R53" s="350"/>
      <c r="S53" s="350"/>
      <c r="T53" s="350"/>
      <c r="U53" s="350"/>
      <c r="V53" s="350"/>
      <c r="W53"/>
      <c r="X53"/>
      <c r="Y53"/>
    </row>
    <row r="54" spans="1:25" x14ac:dyDescent="0.25">
      <c r="A54"/>
      <c r="B54"/>
      <c r="C54"/>
      <c r="D54"/>
      <c r="E54"/>
      <c r="F54"/>
      <c r="G54"/>
      <c r="H54"/>
      <c r="I54"/>
      <c r="J54"/>
      <c r="K54"/>
      <c r="L54"/>
      <c r="M54" s="350"/>
      <c r="N54" s="350"/>
      <c r="O54" s="350"/>
      <c r="P54" s="350"/>
      <c r="Q54" s="350"/>
      <c r="R54" s="350"/>
      <c r="S54" s="350"/>
      <c r="T54" s="350"/>
      <c r="U54" s="350"/>
      <c r="V54" s="350"/>
      <c r="W54"/>
      <c r="X54"/>
      <c r="Y54"/>
    </row>
    <row r="55" spans="1:25" x14ac:dyDescent="0.25">
      <c r="A55"/>
      <c r="B55"/>
      <c r="C55"/>
      <c r="D55"/>
      <c r="E55"/>
      <c r="F55"/>
      <c r="G55"/>
      <c r="H55"/>
      <c r="I55"/>
      <c r="J55"/>
      <c r="K55"/>
      <c r="L55"/>
      <c r="M55" s="350"/>
      <c r="N55" s="350"/>
      <c r="O55" s="350"/>
      <c r="P55" s="350"/>
      <c r="Q55" s="350" t="s">
        <v>168</v>
      </c>
      <c r="R55" s="350">
        <f>2*E105/10</f>
        <v>1.26</v>
      </c>
      <c r="S55" s="350"/>
      <c r="T55" s="350"/>
      <c r="U55" s="350"/>
      <c r="V55" s="350"/>
      <c r="W55"/>
      <c r="X55"/>
      <c r="Y55"/>
    </row>
    <row r="56" spans="1:25" x14ac:dyDescent="0.25">
      <c r="F56"/>
      <c r="G56"/>
      <c r="H56"/>
      <c r="I56"/>
      <c r="J56"/>
      <c r="K56"/>
      <c r="L56"/>
      <c r="M56" s="350"/>
      <c r="N56" s="350"/>
      <c r="O56" s="350"/>
      <c r="P56" s="350"/>
      <c r="Q56" s="373" t="s">
        <v>169</v>
      </c>
      <c r="R56" s="350">
        <f>E105</f>
        <v>6.3</v>
      </c>
      <c r="S56" s="350"/>
      <c r="T56" s="350"/>
      <c r="U56" s="350"/>
      <c r="V56" s="350"/>
      <c r="W56"/>
      <c r="X56"/>
      <c r="Y56"/>
    </row>
    <row r="57" spans="1:25" ht="15" customHeight="1" x14ac:dyDescent="0.25">
      <c r="F57"/>
      <c r="G57"/>
      <c r="H57"/>
      <c r="I57"/>
      <c r="J57"/>
      <c r="K57"/>
      <c r="L57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/>
      <c r="X57"/>
      <c r="Y57"/>
    </row>
    <row r="58" spans="1:25" x14ac:dyDescent="0.25">
      <c r="F58"/>
      <c r="G58"/>
      <c r="H58"/>
      <c r="I58"/>
      <c r="J58"/>
      <c r="K58"/>
      <c r="L58"/>
      <c r="M58" s="350"/>
      <c r="N58" s="350"/>
      <c r="O58" s="350"/>
      <c r="P58" s="350"/>
      <c r="Q58" s="350" t="s">
        <v>227</v>
      </c>
      <c r="R58" s="350"/>
      <c r="S58" s="350"/>
      <c r="T58" s="350"/>
      <c r="U58" s="350"/>
      <c r="V58" s="350"/>
      <c r="W58"/>
      <c r="X58"/>
      <c r="Y58"/>
    </row>
    <row r="59" spans="1:25" ht="15" customHeight="1" x14ac:dyDescent="0.25">
      <c r="F59"/>
      <c r="G59"/>
      <c r="H59"/>
      <c r="I59"/>
      <c r="J59"/>
      <c r="K59"/>
      <c r="L59"/>
      <c r="M59" s="350"/>
      <c r="N59" s="350"/>
      <c r="O59" s="350"/>
      <c r="P59" s="350"/>
      <c r="Q59" s="350"/>
      <c r="R59" s="350"/>
      <c r="S59" s="350"/>
      <c r="T59" s="350"/>
      <c r="U59" s="350"/>
      <c r="V59" s="350"/>
      <c r="W59"/>
      <c r="X59"/>
      <c r="Y59"/>
    </row>
    <row r="60" spans="1:25" x14ac:dyDescent="0.25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x14ac:dyDescent="0.25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x14ac:dyDescent="0.25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ht="18" x14ac:dyDescent="0.35">
      <c r="F63"/>
      <c r="G63"/>
      <c r="H63"/>
      <c r="I63" s="190" t="s">
        <v>213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x14ac:dyDescent="0.25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x14ac:dyDescent="0.25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x14ac:dyDescent="0.25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x14ac:dyDescent="0.25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x14ac:dyDescent="0.25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x14ac:dyDescent="0.25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x14ac:dyDescent="0.25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x14ac:dyDescent="0.25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 s="381"/>
      <c r="B102" s="381"/>
      <c r="C102" s="381"/>
      <c r="D102" s="381"/>
      <c r="E102" s="381"/>
      <c r="F102" s="381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 s="381"/>
      <c r="B103" s="381"/>
      <c r="C103" s="381"/>
      <c r="D103" s="381"/>
      <c r="E103" s="381"/>
      <c r="F103" s="381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 s="381"/>
      <c r="B104" s="388">
        <v>2</v>
      </c>
      <c r="C104" s="388"/>
      <c r="D104" s="388"/>
      <c r="E104" s="388"/>
      <c r="F104" s="381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 s="381"/>
      <c r="B105" s="389">
        <v>5</v>
      </c>
      <c r="C105" s="385"/>
      <c r="D105" s="385" t="s">
        <v>132</v>
      </c>
      <c r="E105" s="385">
        <f>IF(B104=1,B105,IF(2,B106))</f>
        <v>6.3</v>
      </c>
      <c r="F105" s="383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 s="381"/>
      <c r="B106" s="389">
        <v>6.3</v>
      </c>
      <c r="C106" s="385"/>
      <c r="D106" s="385"/>
      <c r="E106" s="385"/>
      <c r="F106" s="383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 s="381"/>
      <c r="B107" s="390"/>
      <c r="C107" s="383"/>
      <c r="D107" s="383"/>
      <c r="E107" s="383"/>
      <c r="F107" s="383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 s="381"/>
      <c r="B108" s="390"/>
      <c r="C108" s="383"/>
      <c r="D108" s="383"/>
      <c r="E108" s="383"/>
      <c r="F108" s="383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 s="381"/>
      <c r="B109" s="390"/>
      <c r="C109" s="383"/>
      <c r="D109" s="383"/>
      <c r="E109" s="383"/>
      <c r="F109" s="383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 s="381"/>
      <c r="B110" s="390"/>
      <c r="C110" s="383"/>
      <c r="D110" s="383"/>
      <c r="E110" s="383"/>
      <c r="F110" s="383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 s="381"/>
      <c r="B111" s="381"/>
      <c r="C111" s="383"/>
      <c r="D111" s="383"/>
      <c r="E111" s="383"/>
      <c r="F111" s="383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 s="381"/>
      <c r="B112" s="388">
        <v>2</v>
      </c>
      <c r="C112" s="385"/>
      <c r="D112" s="385"/>
      <c r="E112" s="383"/>
      <c r="F112" s="383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 s="381"/>
      <c r="B113" s="388">
        <v>5</v>
      </c>
      <c r="C113" s="385"/>
      <c r="D113" s="385"/>
      <c r="E113" s="383"/>
      <c r="F113" s="38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 s="381"/>
      <c r="B114" s="388">
        <v>6.3</v>
      </c>
      <c r="C114" s="385"/>
      <c r="D114" s="385"/>
      <c r="E114" s="383"/>
      <c r="F114" s="383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 s="381"/>
      <c r="B115" s="388"/>
      <c r="C115" s="385" t="s">
        <v>132</v>
      </c>
      <c r="D115" s="385">
        <f>IF(B112=1,B113,IF(B112=2,B114))</f>
        <v>6.3</v>
      </c>
      <c r="E115" s="383"/>
      <c r="F115" s="383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 s="381"/>
      <c r="B116" s="381"/>
      <c r="C116" s="381"/>
      <c r="D116" s="381"/>
      <c r="E116" s="381"/>
      <c r="F116" s="381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 s="381"/>
      <c r="B117" s="381"/>
      <c r="C117" s="381"/>
      <c r="D117" s="381"/>
      <c r="E117" s="381"/>
      <c r="F117" s="381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 s="381"/>
      <c r="B118" s="381"/>
      <c r="C118" s="381"/>
      <c r="D118" s="381"/>
      <c r="E118" s="381"/>
      <c r="F118" s="381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 s="381"/>
      <c r="B119" s="381"/>
      <c r="C119" s="381"/>
      <c r="D119" s="381"/>
      <c r="E119" s="381"/>
      <c r="F119" s="381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</sheetData>
  <sheetProtection password="DED7" sheet="1" objects="1" scenarios="1"/>
  <mergeCells count="47">
    <mergeCell ref="B47:C47"/>
    <mergeCell ref="F47:G47"/>
    <mergeCell ref="E49:F50"/>
    <mergeCell ref="G49:G50"/>
    <mergeCell ref="E51:F52"/>
    <mergeCell ref="G51:G52"/>
    <mergeCell ref="H42:J42"/>
    <mergeCell ref="E43:F43"/>
    <mergeCell ref="H43:J44"/>
    <mergeCell ref="F46:G46"/>
    <mergeCell ref="B44:C44"/>
    <mergeCell ref="E44:F44"/>
    <mergeCell ref="E45:G45"/>
    <mergeCell ref="E42:G42"/>
    <mergeCell ref="B38:C38"/>
    <mergeCell ref="E38:F38"/>
    <mergeCell ref="E39:F40"/>
    <mergeCell ref="G39:G40"/>
    <mergeCell ref="B41:C41"/>
    <mergeCell ref="E34:G35"/>
    <mergeCell ref="E17:G17"/>
    <mergeCell ref="F18:G18"/>
    <mergeCell ref="B19:C19"/>
    <mergeCell ref="F19:G19"/>
    <mergeCell ref="E21:F22"/>
    <mergeCell ref="G21:G22"/>
    <mergeCell ref="E23:F24"/>
    <mergeCell ref="G23:G24"/>
    <mergeCell ref="B29:G30"/>
    <mergeCell ref="B32:C32"/>
    <mergeCell ref="E32:F32"/>
    <mergeCell ref="E15:F15"/>
    <mergeCell ref="H15:J16"/>
    <mergeCell ref="B16:C16"/>
    <mergeCell ref="E16:F16"/>
    <mergeCell ref="B1:G2"/>
    <mergeCell ref="E11:F12"/>
    <mergeCell ref="G11:G12"/>
    <mergeCell ref="B13:C13"/>
    <mergeCell ref="E14:G14"/>
    <mergeCell ref="H14:J14"/>
    <mergeCell ref="M3:N3"/>
    <mergeCell ref="B4:C4"/>
    <mergeCell ref="E4:F4"/>
    <mergeCell ref="E6:G7"/>
    <mergeCell ref="B10:C10"/>
    <mergeCell ref="E10:F10"/>
  </mergeCells>
  <conditionalFormatting sqref="E15:E16 G15:G16 E43:E44 G43:G44">
    <cfRule type="expression" dxfId="19" priority="1">
      <formula>$G$16&gt;$G$15</formula>
    </cfRule>
    <cfRule type="expression" dxfId="18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3" name="Drop Down 1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4" name="Drop Down 2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7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8" r:id="rId6" name="Button 4">
              <controlPr defaultSize="0" print="0" autoFill="0" autoPict="0" macro="[0]!Macro123">
                <anchor moveWithCells="1" sizeWithCells="1">
                  <from>
                    <xdr:col>7</xdr:col>
                    <xdr:colOff>400050</xdr:colOff>
                    <xdr:row>49</xdr:row>
                    <xdr:rowOff>152400</xdr:rowOff>
                  </from>
                  <to>
                    <xdr:col>9</xdr:col>
                    <xdr:colOff>590550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9" r:id="rId7" name="Button 5">
              <controlPr defaultSize="0" print="0" autoFill="0" autoPict="0" macro="[0]!Macro122">
                <anchor moveWithCells="1" sizeWithCells="1">
                  <from>
                    <xdr:col>7</xdr:col>
                    <xdr:colOff>400050</xdr:colOff>
                    <xdr:row>46</xdr:row>
                    <xdr:rowOff>142875</xdr:rowOff>
                  </from>
                  <to>
                    <xdr:col>9</xdr:col>
                    <xdr:colOff>590550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68"/>
  <sheetViews>
    <sheetView showGridLines="0" showRowColHeaders="0" zoomScale="85" zoomScaleNormal="85" workbookViewId="0"/>
  </sheetViews>
  <sheetFormatPr defaultRowHeight="15" x14ac:dyDescent="0.25"/>
  <cols>
    <col min="1" max="1" width="2.5703125" customWidth="1"/>
    <col min="2" max="2" width="5.85546875" customWidth="1"/>
    <col min="3" max="3" width="9.42578125" customWidth="1"/>
    <col min="4" max="4" width="10.140625" customWidth="1"/>
    <col min="6" max="6" width="13.28515625" customWidth="1"/>
    <col min="7" max="7" width="12.7109375" customWidth="1"/>
    <col min="8" max="8" width="10.28515625" customWidth="1"/>
    <col min="9" max="9" width="2.7109375" customWidth="1"/>
    <col min="10" max="10" width="9.5703125" customWidth="1"/>
    <col min="14" max="14" width="7.140625" customWidth="1"/>
    <col min="15" max="15" width="9.140625" customWidth="1"/>
    <col min="16" max="16" width="10.28515625" customWidth="1"/>
    <col min="17" max="17" width="4.85546875" customWidth="1"/>
    <col min="18" max="18" width="4.5703125" customWidth="1"/>
    <col min="19" max="19" width="32.5703125" bestFit="1" customWidth="1"/>
    <col min="20" max="20" width="10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113" t="s">
        <v>184</v>
      </c>
      <c r="T4" s="117" t="str">
        <f>'5 Estacas2'!H15</f>
        <v>Estaca E5</v>
      </c>
      <c r="U4" s="332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'5 Estacas2'!J15</f>
        <v>511.42426658586936</v>
      </c>
      <c r="U5" s="332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'5 Estacas2'!P9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'5 Estacas2'!P8</f>
        <v>35450.981644998181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'5 Estacas2'!P10</f>
        <v>11783.215102138431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'5 Estacas2'!P11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'5 Estacas2'!P12</f>
        <v>5306.238755889899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'5 Estacas2'!P13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'5 Estacas2'!AD37</f>
        <v>736.45094388365192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'5 Estacas2'!P6</f>
        <v>0.5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'5 Estacas2'!P7</f>
        <v>0.6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'5 Estacas2'!I6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183"/>
      <c r="J16" s="183"/>
      <c r="K16" s="183"/>
      <c r="L16" s="183"/>
      <c r="M16" s="183"/>
      <c r="N16" s="183"/>
      <c r="O16" s="183"/>
      <c r="P16" s="183"/>
      <c r="Q16" s="183"/>
      <c r="R16" s="34"/>
      <c r="S16" s="114" t="s">
        <v>198</v>
      </c>
      <c r="T16" s="118">
        <f>'5 Estacas2'!I7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183"/>
      <c r="K17" s="183"/>
      <c r="L17" s="183"/>
      <c r="M17" s="183"/>
      <c r="N17" s="183"/>
      <c r="O17" s="183"/>
      <c r="P17" s="183"/>
      <c r="Q17" s="183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266"/>
      <c r="L18" s="34"/>
      <c r="M18" s="34"/>
      <c r="N18" s="34"/>
      <c r="O18" s="266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ht="22.5" customHeight="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((((1.453*(T15/100))+(T16/100)))^2)*1.25*(SQRT(3))*(T14)*1.05</f>
        <v>1.2571710456002152</v>
      </c>
      <c r="U19" s="276"/>
    </row>
    <row r="20" spans="1:21" ht="19.5" customHeight="1" x14ac:dyDescent="0.25">
      <c r="B20" s="41"/>
      <c r="C20" s="34"/>
      <c r="D20" s="34"/>
      <c r="E20" s="34"/>
      <c r="F20" s="34"/>
      <c r="G20" s="34"/>
      <c r="H20" s="34"/>
      <c r="I20" s="112"/>
      <c r="J20" s="560"/>
      <c r="K20" s="34"/>
      <c r="L20" s="34"/>
      <c r="M20" s="34"/>
      <c r="N20" s="34"/>
      <c r="O20" s="34"/>
      <c r="P20" s="560"/>
      <c r="Q20" s="266"/>
      <c r="R20" s="34"/>
      <c r="S20" s="114" t="s">
        <v>196</v>
      </c>
      <c r="T20" s="119" t="s">
        <v>197</v>
      </c>
    </row>
    <row r="21" spans="1:21" ht="18" customHeight="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266"/>
      <c r="R21" s="34"/>
      <c r="S21" s="594" t="s">
        <v>279</v>
      </c>
      <c r="T21" s="595"/>
      <c r="U21" s="236"/>
    </row>
    <row r="22" spans="1:21" ht="17.25" customHeight="1" x14ac:dyDescent="0.25">
      <c r="B22" s="41"/>
      <c r="C22" s="34"/>
      <c r="D22" s="34"/>
      <c r="E22" s="34"/>
      <c r="F22" s="34"/>
      <c r="G22" s="34"/>
      <c r="H22" s="34"/>
      <c r="I22" s="112"/>
      <c r="J22" s="560"/>
      <c r="K22" s="34"/>
      <c r="L22" s="34"/>
      <c r="M22" s="34"/>
      <c r="N22" s="34"/>
      <c r="O22" s="34"/>
      <c r="P22" s="560"/>
      <c r="Q22" s="266"/>
      <c r="R22" s="34"/>
      <c r="S22" s="114" t="s">
        <v>190</v>
      </c>
      <c r="T22" s="119">
        <f>'5 Estacas2 Arm.Lados'!$E$101</f>
        <v>20</v>
      </c>
      <c r="U22" s="236"/>
    </row>
    <row r="23" spans="1:21" x14ac:dyDescent="0.25">
      <c r="B23" s="41"/>
      <c r="C23" s="34"/>
      <c r="D23" s="34"/>
      <c r="E23" s="34"/>
      <c r="F23" s="34"/>
      <c r="G23" s="34"/>
      <c r="H23" s="112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118">
        <f>'5 Estacas2 Arm.Lados'!$G$11</f>
        <v>5</v>
      </c>
      <c r="U23" s="236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'5 Estacas2 Arm.Lados'!$G$21</f>
        <v>160</v>
      </c>
      <c r="U24" s="236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594" t="s">
        <v>265</v>
      </c>
      <c r="T25" s="595"/>
      <c r="U25" s="236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560"/>
      <c r="K26" s="266"/>
      <c r="L26" s="34"/>
      <c r="M26" s="34"/>
      <c r="N26" s="34"/>
      <c r="O26" s="266"/>
      <c r="P26" s="560"/>
      <c r="Q26" s="34"/>
      <c r="R26" s="34"/>
      <c r="S26" s="114" t="s">
        <v>190</v>
      </c>
      <c r="T26" s="119">
        <f>'5 Estacas2Lados Arrm Dist'!D115</f>
        <v>6.3</v>
      </c>
      <c r="U26" s="236"/>
    </row>
    <row r="27" spans="1:21" x14ac:dyDescent="0.25">
      <c r="B27" s="41"/>
      <c r="C27" s="34"/>
      <c r="D27" s="34"/>
      <c r="E27" s="34"/>
      <c r="F27" s="34"/>
      <c r="G27" s="34"/>
      <c r="H27" s="34"/>
      <c r="I27" s="34"/>
      <c r="J27" s="560"/>
      <c r="K27" s="34"/>
      <c r="L27" s="34"/>
      <c r="M27" s="34"/>
      <c r="N27" s="34"/>
      <c r="O27" s="34"/>
      <c r="P27" s="560"/>
      <c r="Q27" s="34"/>
      <c r="R27" s="34"/>
      <c r="S27" s="114" t="s">
        <v>206</v>
      </c>
      <c r="T27" s="118">
        <f>'5 Estacas2Lados Arrm Dist'!G11</f>
        <v>8.2927796271579588</v>
      </c>
      <c r="U27" s="236"/>
    </row>
    <row r="28" spans="1:21" ht="18.75" thickBot="1" x14ac:dyDescent="0.4">
      <c r="B28" s="41"/>
      <c r="C28" s="34"/>
      <c r="D28" s="34"/>
      <c r="E28" s="34"/>
      <c r="F28" s="34"/>
      <c r="G28" s="34"/>
      <c r="H28" s="34"/>
      <c r="J28" s="34"/>
      <c r="K28" s="34"/>
      <c r="L28" s="563"/>
      <c r="M28" s="563"/>
      <c r="N28" s="563"/>
      <c r="O28" s="34"/>
      <c r="P28" s="34"/>
      <c r="R28" s="34"/>
      <c r="S28" s="127" t="s">
        <v>207</v>
      </c>
      <c r="T28" s="128">
        <f>'5 Estacas2Lados Arrm Dist'!G21</f>
        <v>31.5</v>
      </c>
      <c r="U28" s="236"/>
    </row>
    <row r="29" spans="1:21" x14ac:dyDescent="0.25">
      <c r="A29" s="42"/>
      <c r="B29" s="183"/>
      <c r="C29" s="183"/>
      <c r="D29" s="183"/>
      <c r="E29" s="183"/>
      <c r="F29" s="183"/>
      <c r="G29" s="183"/>
      <c r="H29" s="34"/>
      <c r="J29" s="34"/>
      <c r="K29" s="34"/>
      <c r="L29" s="34"/>
      <c r="M29" s="34"/>
      <c r="N29" s="34"/>
      <c r="O29" s="34"/>
      <c r="P29" s="34"/>
      <c r="R29" s="34"/>
      <c r="S29" s="594" t="s">
        <v>266</v>
      </c>
      <c r="T29" s="595"/>
      <c r="U29" s="236"/>
    </row>
    <row r="30" spans="1:21" ht="15" customHeight="1" x14ac:dyDescent="0.25">
      <c r="A30" s="42"/>
      <c r="B30" s="34"/>
      <c r="C30" s="34"/>
      <c r="D30" s="34"/>
      <c r="E30" s="183"/>
      <c r="F30" s="183"/>
      <c r="G30" s="183"/>
      <c r="H30" s="183"/>
      <c r="I30" s="34"/>
      <c r="J30" s="183"/>
      <c r="K30" s="112"/>
      <c r="L30" s="112"/>
      <c r="M30" s="112"/>
      <c r="N30" s="112"/>
      <c r="O30" s="34"/>
      <c r="P30" s="34"/>
      <c r="Q30" s="34"/>
      <c r="R30" s="34"/>
      <c r="S30" s="114" t="s">
        <v>190</v>
      </c>
      <c r="T30" s="119">
        <f>'5 Estacas2Lados Arrm Dist'!E105</f>
        <v>6.3</v>
      </c>
      <c r="U30" s="236"/>
    </row>
    <row r="31" spans="1:21" x14ac:dyDescent="0.25">
      <c r="A31" s="42"/>
      <c r="H31" s="34"/>
      <c r="J31" s="30"/>
      <c r="R31" s="34"/>
      <c r="S31" s="114" t="s">
        <v>206</v>
      </c>
      <c r="T31" s="118">
        <f>'5 Estacas2Lados Arrm Dist'!G39</f>
        <v>7.3569999999999993</v>
      </c>
      <c r="U31" s="236"/>
    </row>
    <row r="32" spans="1:21" ht="17.25" customHeight="1" thickBot="1" x14ac:dyDescent="0.4">
      <c r="A32" s="42"/>
      <c r="B32" s="34"/>
      <c r="C32" s="34"/>
      <c r="D32" s="34"/>
      <c r="E32" s="34"/>
      <c r="F32" s="34"/>
      <c r="G32" s="34"/>
      <c r="H32" s="34"/>
      <c r="R32" s="34"/>
      <c r="S32" s="300" t="s">
        <v>207</v>
      </c>
      <c r="T32" s="301">
        <f>'5 Estacas2Lados Arrm Dist'!G49</f>
        <v>31.5</v>
      </c>
      <c r="U32" s="236"/>
    </row>
    <row r="33" spans="1:21" ht="19.5" customHeight="1" x14ac:dyDescent="0.25">
      <c r="A33" s="42"/>
      <c r="B33" s="34"/>
      <c r="C33" s="34"/>
      <c r="D33" s="295"/>
      <c r="E33" s="112"/>
      <c r="F33" s="112"/>
      <c r="G33" s="558" t="s">
        <v>165</v>
      </c>
      <c r="H33" s="558"/>
      <c r="I33" s="558"/>
      <c r="J33" s="558"/>
      <c r="K33" s="558"/>
      <c r="L33" s="558"/>
      <c r="M33" s="298"/>
      <c r="N33" s="298"/>
      <c r="O33" s="298"/>
      <c r="P33" s="298"/>
      <c r="R33" s="34"/>
      <c r="S33" s="651"/>
      <c r="T33" s="652"/>
      <c r="U33" s="283"/>
    </row>
    <row r="34" spans="1:21" ht="12" customHeight="1" x14ac:dyDescent="0.25">
      <c r="A34" s="42"/>
      <c r="B34" s="34"/>
      <c r="C34" s="34"/>
      <c r="D34" s="288"/>
      <c r="E34" s="34"/>
      <c r="F34" s="34"/>
      <c r="G34" s="34"/>
      <c r="H34" s="34"/>
      <c r="K34" s="288"/>
      <c r="L34" s="288"/>
      <c r="M34" s="288"/>
      <c r="N34" s="288"/>
      <c r="O34" s="288"/>
      <c r="P34" s="288"/>
      <c r="R34" s="34"/>
      <c r="S34" s="299"/>
      <c r="T34" s="304"/>
      <c r="U34" s="283"/>
    </row>
    <row r="35" spans="1:21" ht="15.75" thickBot="1" x14ac:dyDescent="0.3">
      <c r="A35" s="42"/>
      <c r="D35" s="559"/>
      <c r="E35" s="653"/>
      <c r="F35" s="653"/>
      <c r="G35" s="653"/>
      <c r="P35" s="295"/>
      <c r="S35" s="654"/>
      <c r="T35" s="655"/>
      <c r="U35" s="283"/>
    </row>
    <row r="36" spans="1:21" ht="20.25" customHeight="1" thickBot="1" x14ac:dyDescent="0.3">
      <c r="A36" s="42"/>
      <c r="K36" s="640" t="s">
        <v>277</v>
      </c>
      <c r="L36" s="641"/>
      <c r="M36" s="641"/>
      <c r="N36" s="641"/>
      <c r="O36" s="642"/>
      <c r="S36" s="299"/>
      <c r="T36" s="302"/>
      <c r="U36" s="283"/>
    </row>
    <row r="37" spans="1:21" ht="23.25" customHeight="1" x14ac:dyDescent="0.25">
      <c r="A37" s="42"/>
      <c r="S37" s="299"/>
      <c r="T37" s="303"/>
      <c r="U37" s="283"/>
    </row>
    <row r="38" spans="1:21" ht="18.75" customHeight="1" x14ac:dyDescent="0.25">
      <c r="A38" s="42"/>
      <c r="C38" s="639" t="str">
        <f>CONCATENATE(IF(T22&lt;20,T22, "Dobra de 8Ф")," cm")</f>
        <v>Dobra de 8Ф cm</v>
      </c>
      <c r="D38" s="292" t="str">
        <f>CONCATENATE(IF(T22=20,2*T22/10,0)," cm")</f>
        <v>4 cm</v>
      </c>
      <c r="G38" s="292" t="str">
        <f>CONCATENATE(IF(T22=20,2*T22/10,0)," cm")</f>
        <v>4 cm</v>
      </c>
      <c r="H38" s="639" t="str">
        <f>CONCATENATE(IF(T22&lt;20,T22, "Dobra de 8Ф")," cm")</f>
        <v>Dobra de 8Ф cm</v>
      </c>
      <c r="J38" s="639" t="str">
        <f>CONCATENATE(IF(T26&lt;20,T26, "Dobra de 8Ф")," cm")</f>
        <v>6,3 cm</v>
      </c>
      <c r="K38" s="272" t="str">
        <f>CONCATENATE(IF(T26=20,2*T26/10,0)," cm")</f>
        <v>0 cm</v>
      </c>
      <c r="O38" s="272" t="str">
        <f>CONCATENATE(IF(T26=20,2*T26/10,0)," cm")</f>
        <v>0 cm</v>
      </c>
      <c r="P38" s="639" t="str">
        <f>CONCATENATE(IF(T26&lt;20,T26, "Dobra de 8Ф")," cm")</f>
        <v>6,3 cm</v>
      </c>
      <c r="S38" s="299"/>
      <c r="T38" s="302"/>
      <c r="U38" s="283"/>
    </row>
    <row r="39" spans="1:21" ht="15" customHeight="1" x14ac:dyDescent="0.25">
      <c r="A39" s="42"/>
      <c r="C39" s="639"/>
      <c r="H39" s="639"/>
      <c r="J39" s="639"/>
      <c r="P39" s="639"/>
      <c r="T39" s="42"/>
    </row>
    <row r="40" spans="1:21" x14ac:dyDescent="0.25">
      <c r="A40" s="42"/>
      <c r="C40" s="639"/>
      <c r="D40" s="551" t="str">
        <f>CONCATENATE(T16+2*T15-2*'5 Estacas2 Arm.Lados'!$C$6-T24/10," cm")</f>
        <v>86,5 cm</v>
      </c>
      <c r="E40" s="551"/>
      <c r="F40" s="551"/>
      <c r="G40" s="551"/>
      <c r="H40" s="639"/>
      <c r="J40" s="639"/>
      <c r="K40" s="551" t="s">
        <v>235</v>
      </c>
      <c r="L40" s="551"/>
      <c r="M40" s="551"/>
      <c r="N40" s="551"/>
      <c r="O40" s="551"/>
      <c r="P40" s="639"/>
      <c r="T40" s="42"/>
    </row>
    <row r="41" spans="1:21" x14ac:dyDescent="0.25">
      <c r="A41" s="42"/>
      <c r="D41" s="551" t="str">
        <f>CONCATENATE('5 Estacas2 Arm.Lados'!$G$10," Ф ",T22," mm"," c/ ",'5 Estacas2 Arm.Lados'!$G$23," cm.")</f>
        <v>4 Ф 20 mm c/ 120 cm.</v>
      </c>
      <c r="E41" s="551"/>
      <c r="F41" s="551"/>
      <c r="G41" s="551"/>
      <c r="K41" s="551" t="str">
        <f>CONCATENATE('5 Estacas1 Arm Dist'!G38," Ф ",T36," mm"," c/ ",'5 Estacas1 Arm Dist'!G51," cm.")</f>
        <v>40 Ф  mm c/ Variável cm.</v>
      </c>
      <c r="L41" s="551"/>
      <c r="M41" s="551"/>
      <c r="N41" s="551"/>
      <c r="O41" s="551"/>
      <c r="T41" s="42"/>
    </row>
    <row r="42" spans="1:21" x14ac:dyDescent="0.25">
      <c r="A42" s="42"/>
      <c r="D42" s="295"/>
      <c r="E42" s="295"/>
      <c r="F42" s="295"/>
      <c r="G42" s="295"/>
      <c r="T42" s="42"/>
    </row>
    <row r="43" spans="1:21" ht="21" customHeight="1" thickBot="1" x14ac:dyDescent="0.3">
      <c r="A43" s="42"/>
      <c r="J43" s="265"/>
      <c r="K43" s="265"/>
      <c r="L43" s="265"/>
      <c r="M43" s="265"/>
      <c r="N43" s="265"/>
      <c r="O43" s="265"/>
      <c r="P43" s="265"/>
      <c r="T43" s="42"/>
    </row>
    <row r="44" spans="1:21" ht="15" customHeight="1" thickBot="1" x14ac:dyDescent="0.3">
      <c r="A44" s="42"/>
      <c r="J44" s="265"/>
      <c r="K44" s="640" t="s">
        <v>278</v>
      </c>
      <c r="L44" s="641"/>
      <c r="M44" s="641"/>
      <c r="N44" s="641"/>
      <c r="O44" s="642"/>
      <c r="P44" s="112"/>
      <c r="T44" s="42"/>
    </row>
    <row r="45" spans="1:21" ht="20.25" customHeight="1" x14ac:dyDescent="0.25">
      <c r="A45" s="42"/>
      <c r="J45" s="265"/>
      <c r="K45" s="265"/>
      <c r="L45" s="265"/>
      <c r="M45" s="265"/>
      <c r="N45" s="265"/>
      <c r="O45" s="265"/>
      <c r="P45" s="265"/>
      <c r="T45" s="42"/>
    </row>
    <row r="46" spans="1:21" x14ac:dyDescent="0.25">
      <c r="A46" s="42"/>
      <c r="J46" s="639" t="str">
        <f>CONCATENATE(IF(T34&lt;20,T34, "Dobra de 8Ф")," cm")</f>
        <v xml:space="preserve"> cm</v>
      </c>
      <c r="K46" s="292" t="str">
        <f>CONCATENATE(IF(T34=20,2*T34/10,0)," cm")</f>
        <v>0 cm</v>
      </c>
      <c r="O46" s="292" t="str">
        <f>CONCATENATE(IF(T34=20,2*T34/10,0)," cm")</f>
        <v>0 cm</v>
      </c>
      <c r="P46" s="639" t="str">
        <f>CONCATENATE(IF(T34&lt;20,T34, "Dobra de 8Ф")," cm")</f>
        <v xml:space="preserve"> cm</v>
      </c>
      <c r="T46" s="42"/>
    </row>
    <row r="47" spans="1:21" x14ac:dyDescent="0.25">
      <c r="A47" s="42"/>
      <c r="J47" s="639"/>
      <c r="P47" s="639"/>
      <c r="T47" s="42"/>
    </row>
    <row r="48" spans="1:21" x14ac:dyDescent="0.25">
      <c r="A48" s="42"/>
      <c r="D48" s="34"/>
      <c r="E48" s="34"/>
      <c r="F48" s="34"/>
      <c r="G48" s="34"/>
      <c r="J48" s="639"/>
      <c r="K48" s="551" t="s">
        <v>235</v>
      </c>
      <c r="L48" s="551"/>
      <c r="M48" s="551"/>
      <c r="N48" s="551"/>
      <c r="O48" s="551"/>
      <c r="P48" s="639"/>
      <c r="T48" s="42"/>
    </row>
    <row r="49" spans="1:20" x14ac:dyDescent="0.25">
      <c r="A49" s="42"/>
      <c r="D49" s="295"/>
      <c r="E49" s="295"/>
      <c r="F49" s="295"/>
      <c r="G49" s="295"/>
      <c r="K49" s="551" t="str">
        <f>CONCATENATE('5 Estacas2Lados Arrm Dist'!G38," Ф ",T30," mm"," c/ ",'5 Estacas1 Arm Dist'!G51," cm.")</f>
        <v>11 Ф 6,3 mm c/ Variável cm.</v>
      </c>
      <c r="L49" s="551"/>
      <c r="M49" s="551"/>
      <c r="N49" s="551"/>
      <c r="O49" s="551"/>
      <c r="T49" s="42"/>
    </row>
    <row r="50" spans="1:20" x14ac:dyDescent="0.25">
      <c r="A50" s="42"/>
      <c r="D50" s="292"/>
      <c r="G50" s="292"/>
      <c r="T50" s="42"/>
    </row>
    <row r="51" spans="1:20" x14ac:dyDescent="0.25">
      <c r="A51" s="42"/>
      <c r="C51" s="297"/>
      <c r="H51" s="296"/>
      <c r="T51" s="42"/>
    </row>
    <row r="52" spans="1:20" x14ac:dyDescent="0.25">
      <c r="A52" s="42"/>
      <c r="C52" s="297"/>
      <c r="D52" s="297"/>
      <c r="E52" s="297"/>
      <c r="F52" s="297"/>
      <c r="G52" s="297"/>
      <c r="H52" s="296"/>
      <c r="T52" s="42"/>
    </row>
    <row r="53" spans="1:20" x14ac:dyDescent="0.25">
      <c r="A53" s="42"/>
      <c r="C53" s="297"/>
      <c r="D53" s="264"/>
      <c r="E53" s="264"/>
      <c r="F53" s="264"/>
      <c r="G53" s="264"/>
      <c r="H53" s="296"/>
      <c r="T53" s="42"/>
    </row>
    <row r="54" spans="1:20" x14ac:dyDescent="0.25">
      <c r="A54" s="42"/>
      <c r="T54" s="42"/>
    </row>
    <row r="55" spans="1:20" x14ac:dyDescent="0.25">
      <c r="A55" s="42"/>
      <c r="T55" s="42"/>
    </row>
    <row r="56" spans="1:20" ht="15.75" thickBot="1" x14ac:dyDescent="0.3">
      <c r="A56" s="42"/>
      <c r="T56" s="42"/>
    </row>
    <row r="57" spans="1:20" ht="15.75" thickBot="1" x14ac:dyDescent="0.3">
      <c r="A57" s="42"/>
      <c r="J57" s="566" t="s">
        <v>280</v>
      </c>
      <c r="K57" s="567"/>
      <c r="L57" s="567"/>
      <c r="M57" s="567"/>
      <c r="N57" s="567"/>
      <c r="O57" s="567"/>
      <c r="P57" s="567"/>
      <c r="Q57" s="567"/>
      <c r="R57" s="568"/>
      <c r="S57" s="276"/>
      <c r="T57" s="42"/>
    </row>
    <row r="58" spans="1:20" ht="18" x14ac:dyDescent="0.35">
      <c r="A58" s="42"/>
      <c r="J58" s="569" t="s">
        <v>194</v>
      </c>
      <c r="K58" s="570"/>
      <c r="L58" s="570" t="s">
        <v>193</v>
      </c>
      <c r="M58" s="570"/>
      <c r="N58" s="570" t="s">
        <v>192</v>
      </c>
      <c r="O58" s="570"/>
      <c r="P58" s="570" t="s">
        <v>191</v>
      </c>
      <c r="Q58" s="570"/>
      <c r="R58" s="571"/>
      <c r="S58" s="276"/>
      <c r="T58" s="42"/>
    </row>
    <row r="59" spans="1:20" ht="15.75" thickBot="1" x14ac:dyDescent="0.3">
      <c r="A59" s="42"/>
      <c r="J59" s="573">
        <f>T22</f>
        <v>20</v>
      </c>
      <c r="K59" s="486"/>
      <c r="L59" s="486">
        <f>(5*'5 Estacas2 Arm.Lados'!$G$23/100)*'5 Estacas2 Arm.Lados'!$G$10</f>
        <v>24</v>
      </c>
      <c r="M59" s="486"/>
      <c r="N59" s="486">
        <f>IF(T22=6.3,0.245,IF(T22=8,0.395,IF(T22=10,0.617,IF(T22=12.5,0.963,IF(T22=16,1.578,IF(T22=20,2.466))))))</f>
        <v>2.4660000000000002</v>
      </c>
      <c r="O59" s="486"/>
      <c r="P59" s="564">
        <f>(N59*L59)*1.1</f>
        <v>65.102400000000017</v>
      </c>
      <c r="Q59" s="564"/>
      <c r="R59" s="565"/>
      <c r="S59" s="276"/>
      <c r="T59" s="42"/>
    </row>
    <row r="60" spans="1:20" ht="15.75" thickBot="1" x14ac:dyDescent="0.3">
      <c r="A60" s="42"/>
      <c r="S60" s="276"/>
      <c r="T60" s="42"/>
    </row>
    <row r="61" spans="1:20" ht="15.75" thickBot="1" x14ac:dyDescent="0.3">
      <c r="A61" s="42"/>
      <c r="J61" s="566" t="s">
        <v>281</v>
      </c>
      <c r="K61" s="567"/>
      <c r="L61" s="567"/>
      <c r="M61" s="567"/>
      <c r="N61" s="567"/>
      <c r="O61" s="567"/>
      <c r="P61" s="567"/>
      <c r="Q61" s="567"/>
      <c r="R61" s="568"/>
      <c r="S61" s="276"/>
      <c r="T61" s="42"/>
    </row>
    <row r="62" spans="1:20" ht="18" x14ac:dyDescent="0.35">
      <c r="A62" s="42"/>
      <c r="J62" s="569" t="s">
        <v>194</v>
      </c>
      <c r="K62" s="570"/>
      <c r="L62" s="570" t="s">
        <v>193</v>
      </c>
      <c r="M62" s="570"/>
      <c r="N62" s="570" t="s">
        <v>192</v>
      </c>
      <c r="O62" s="570"/>
      <c r="P62" s="570" t="s">
        <v>191</v>
      </c>
      <c r="Q62" s="570"/>
      <c r="R62" s="571"/>
      <c r="S62" s="276"/>
      <c r="T62" s="42"/>
    </row>
    <row r="63" spans="1:20" ht="15.75" thickBot="1" x14ac:dyDescent="0.3">
      <c r="A63" s="42"/>
      <c r="J63" s="573">
        <f>T26</f>
        <v>6.3</v>
      </c>
      <c r="K63" s="486"/>
      <c r="L63" s="564" t="str">
        <f>'5 Estacas2Lados Arrm Dist'!G23</f>
        <v>Variável</v>
      </c>
      <c r="M63" s="486"/>
      <c r="N63" s="486">
        <f>IF(T26=6.3,0.245,IF(T26=8,0.395,IF(T26=10,0.617,IF(T26=12.5,0.963,IF(T26=16,1.578,IF(T26=20,2.466))))))</f>
        <v>0.245</v>
      </c>
      <c r="O63" s="486"/>
      <c r="P63" s="564" t="str">
        <f>"Variável"</f>
        <v>Variável</v>
      </c>
      <c r="Q63" s="564"/>
      <c r="R63" s="565"/>
      <c r="S63" s="276"/>
      <c r="T63" s="42"/>
    </row>
    <row r="64" spans="1:20" ht="15.75" thickBot="1" x14ac:dyDescent="0.3">
      <c r="A64" s="42"/>
      <c r="T64" s="42"/>
    </row>
    <row r="65" spans="1:21" ht="15.75" thickBot="1" x14ac:dyDescent="0.3">
      <c r="A65" s="42"/>
      <c r="J65" s="566" t="s">
        <v>282</v>
      </c>
      <c r="K65" s="567"/>
      <c r="L65" s="567"/>
      <c r="M65" s="567"/>
      <c r="N65" s="567"/>
      <c r="O65" s="567"/>
      <c r="P65" s="567"/>
      <c r="Q65" s="567"/>
      <c r="R65" s="568"/>
      <c r="T65" s="42"/>
    </row>
    <row r="66" spans="1:21" ht="18" x14ac:dyDescent="0.35">
      <c r="A66" s="42"/>
      <c r="J66" s="569" t="s">
        <v>194</v>
      </c>
      <c r="K66" s="570"/>
      <c r="L66" s="570" t="s">
        <v>193</v>
      </c>
      <c r="M66" s="570"/>
      <c r="N66" s="570" t="s">
        <v>192</v>
      </c>
      <c r="O66" s="570"/>
      <c r="P66" s="570" t="s">
        <v>191</v>
      </c>
      <c r="Q66" s="570"/>
      <c r="R66" s="571"/>
      <c r="T66" s="42"/>
    </row>
    <row r="67" spans="1:21" ht="15.75" thickBot="1" x14ac:dyDescent="0.3">
      <c r="A67" s="42"/>
      <c r="J67" s="573">
        <f>T30</f>
        <v>6.3</v>
      </c>
      <c r="K67" s="486"/>
      <c r="L67" s="564" t="str">
        <f>'5 Estacas2Lados Arrm Dist'!G51</f>
        <v>Variável</v>
      </c>
      <c r="M67" s="486"/>
      <c r="N67" s="486">
        <f>IF(T30=6.3,0.245,IF(T30=8,0.395,IF(T30=10,0.617,IF(T30=12.5,0.963,IF(T30=16,1.578,IF(T30=20,2.466))))))</f>
        <v>0.245</v>
      </c>
      <c r="O67" s="486"/>
      <c r="P67" s="564" t="str">
        <f>"Variável"</f>
        <v>Variável</v>
      </c>
      <c r="Q67" s="564"/>
      <c r="R67" s="565"/>
      <c r="T67" s="42"/>
    </row>
    <row r="68" spans="1:21" ht="15.75" thickBot="1" x14ac:dyDescent="0.3">
      <c r="A68" s="42"/>
      <c r="B68" s="270"/>
      <c r="C68" s="270"/>
      <c r="D68" s="270"/>
      <c r="E68" s="270"/>
      <c r="F68" s="270"/>
      <c r="G68" s="270"/>
      <c r="H68" s="270"/>
      <c r="I68" s="270"/>
      <c r="J68" s="270"/>
      <c r="K68" s="270"/>
      <c r="L68" s="270"/>
      <c r="M68" s="270"/>
      <c r="N68" s="270"/>
      <c r="O68" s="270"/>
      <c r="P68" s="270"/>
      <c r="Q68" s="270"/>
      <c r="R68" s="270"/>
      <c r="S68" s="270"/>
      <c r="T68" s="271"/>
      <c r="U68" s="41"/>
    </row>
  </sheetData>
  <sheetProtection password="DED7" sheet="1" objects="1" scenarios="1"/>
  <mergeCells count="55">
    <mergeCell ref="J67:K67"/>
    <mergeCell ref="L67:M67"/>
    <mergeCell ref="N67:O67"/>
    <mergeCell ref="P67:R67"/>
    <mergeCell ref="G33:L33"/>
    <mergeCell ref="J65:R65"/>
    <mergeCell ref="J66:K66"/>
    <mergeCell ref="L66:M66"/>
    <mergeCell ref="N66:O66"/>
    <mergeCell ref="P66:R66"/>
    <mergeCell ref="H38:H40"/>
    <mergeCell ref="J38:J40"/>
    <mergeCell ref="P38:P40"/>
    <mergeCell ref="J63:K63"/>
    <mergeCell ref="L63:M63"/>
    <mergeCell ref="N63:O63"/>
    <mergeCell ref="C38:C40"/>
    <mergeCell ref="J46:J48"/>
    <mergeCell ref="P46:P48"/>
    <mergeCell ref="K48:O48"/>
    <mergeCell ref="K44:O44"/>
    <mergeCell ref="K40:O40"/>
    <mergeCell ref="D41:G41"/>
    <mergeCell ref="D40:G40"/>
    <mergeCell ref="P63:R63"/>
    <mergeCell ref="J59:K59"/>
    <mergeCell ref="L59:M59"/>
    <mergeCell ref="N59:O59"/>
    <mergeCell ref="P59:R59"/>
    <mergeCell ref="J61:R61"/>
    <mergeCell ref="J62:K62"/>
    <mergeCell ref="L62:M62"/>
    <mergeCell ref="N62:O62"/>
    <mergeCell ref="P62:R62"/>
    <mergeCell ref="P58:R58"/>
    <mergeCell ref="J57:R57"/>
    <mergeCell ref="K41:O41"/>
    <mergeCell ref="J58:K58"/>
    <mergeCell ref="L58:M58"/>
    <mergeCell ref="N58:O58"/>
    <mergeCell ref="K49:O49"/>
    <mergeCell ref="S33:T33"/>
    <mergeCell ref="D35:G35"/>
    <mergeCell ref="S35:T35"/>
    <mergeCell ref="K36:O36"/>
    <mergeCell ref="S25:T25"/>
    <mergeCell ref="J26:J27"/>
    <mergeCell ref="P26:P27"/>
    <mergeCell ref="L28:N28"/>
    <mergeCell ref="S29:T29"/>
    <mergeCell ref="B1:T2"/>
    <mergeCell ref="J20:J22"/>
    <mergeCell ref="P20:P22"/>
    <mergeCell ref="S21:T21"/>
    <mergeCell ref="L23:N23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81254" r:id="rId3">
          <objectPr defaultSize="0" autoPict="0" r:id="rId4">
            <anchor>
              <from>
                <xdr:col>9</xdr:col>
                <xdr:colOff>200025</xdr:colOff>
                <xdr:row>35</xdr:row>
                <xdr:rowOff>152400</xdr:rowOff>
              </from>
              <to>
                <xdr:col>15</xdr:col>
                <xdr:colOff>361950</xdr:colOff>
                <xdr:row>41</xdr:row>
                <xdr:rowOff>142875</xdr:rowOff>
              </to>
            </anchor>
          </objectPr>
        </oleObject>
      </mc:Choice>
      <mc:Fallback>
        <oleObject progId="AutoCAD.Drawing.18" shapeId="181254" r:id="rId3"/>
      </mc:Fallback>
    </mc:AlternateContent>
    <mc:AlternateContent xmlns:mc="http://schemas.openxmlformats.org/markup-compatibility/2006">
      <mc:Choice Requires="x14">
        <oleObject progId="AutoCAD.Drawing.18" shapeId="181255" r:id="rId5">
          <objectPr defaultSize="0" autoPict="0" r:id="rId4">
            <anchor>
              <from>
                <xdr:col>9</xdr:col>
                <xdr:colOff>190500</xdr:colOff>
                <xdr:row>42</xdr:row>
                <xdr:rowOff>238125</xdr:rowOff>
              </from>
              <to>
                <xdr:col>15</xdr:col>
                <xdr:colOff>352425</xdr:colOff>
                <xdr:row>49</xdr:row>
                <xdr:rowOff>114300</xdr:rowOff>
              </to>
            </anchor>
          </objectPr>
        </oleObject>
      </mc:Choice>
      <mc:Fallback>
        <oleObject progId="AutoCAD.Drawing.18" shapeId="181255" r:id="rId5"/>
      </mc:Fallback>
    </mc:AlternateContent>
    <mc:AlternateContent xmlns:mc="http://schemas.openxmlformats.org/markup-compatibility/2006">
      <mc:Choice Requires="x14">
        <oleObject progId="AutoCAD.Drawing.18" shapeId="181258" r:id="rId6">
          <objectPr defaultSize="0" autoPict="0" r:id="rId7">
            <anchor moveWithCells="1">
              <from>
                <xdr:col>5</xdr:col>
                <xdr:colOff>714375</xdr:colOff>
                <xdr:row>3</xdr:row>
                <xdr:rowOff>66675</xdr:rowOff>
              </from>
              <to>
                <xdr:col>12</xdr:col>
                <xdr:colOff>38100</xdr:colOff>
                <xdr:row>17</xdr:row>
                <xdr:rowOff>95250</xdr:rowOff>
              </to>
            </anchor>
          </objectPr>
        </oleObject>
      </mc:Choice>
      <mc:Fallback>
        <oleObject progId="AutoCAD.Drawing.18" shapeId="181258" r:id="rId6"/>
      </mc:Fallback>
    </mc:AlternateContent>
    <mc:AlternateContent xmlns:mc="http://schemas.openxmlformats.org/markup-compatibility/2006">
      <mc:Choice Requires="x14">
        <oleObject progId="AutoCAD.Drawing.18" shapeId="181259" r:id="rId8">
          <objectPr defaultSize="0" autoPict="0" r:id="rId9">
            <anchor moveWithCells="1">
              <from>
                <xdr:col>5</xdr:col>
                <xdr:colOff>704850</xdr:colOff>
                <xdr:row>17</xdr:row>
                <xdr:rowOff>152400</xdr:rowOff>
              </from>
              <to>
                <xdr:col>12</xdr:col>
                <xdr:colOff>19050</xdr:colOff>
                <xdr:row>31</xdr:row>
                <xdr:rowOff>152400</xdr:rowOff>
              </to>
            </anchor>
          </objectPr>
        </oleObject>
      </mc:Choice>
      <mc:Fallback>
        <oleObject progId="AutoCAD.Drawing.18" shapeId="181259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1249" r:id="rId10" name="Button 1">
              <controlPr defaultSize="0" print="0" autoFill="0" autoPict="0" macro="[0]!Macro124">
                <anchor moveWithCells="1" sizeWithCells="1">
                  <from>
                    <xdr:col>18</xdr:col>
                    <xdr:colOff>457200</xdr:colOff>
                    <xdr:row>63</xdr:row>
                    <xdr:rowOff>190500</xdr:rowOff>
                  </from>
                  <to>
                    <xdr:col>19</xdr:col>
                    <xdr:colOff>466725</xdr:colOff>
                    <xdr:row>67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12"/>
  <sheetViews>
    <sheetView showGridLines="0" showRowColHeaders="0" zoomScale="85" zoomScaleNormal="85" workbookViewId="0"/>
  </sheetViews>
  <sheetFormatPr defaultRowHeight="15" x14ac:dyDescent="0.25"/>
  <cols>
    <col min="1" max="1" width="4.85546875" customWidth="1"/>
    <col min="2" max="2" width="19.85546875" bestFit="1" customWidth="1"/>
    <col min="3" max="3" width="16.7109375" customWidth="1"/>
    <col min="5" max="5" width="16.42578125" customWidth="1"/>
    <col min="6" max="6" width="15.140625" customWidth="1"/>
    <col min="7" max="7" width="11.42578125" customWidth="1"/>
    <col min="8" max="8" width="8.85546875" customWidth="1"/>
    <col min="17" max="17" width="16.85546875" customWidth="1"/>
    <col min="18" max="18" width="10.28515625" bestFit="1" customWidth="1"/>
    <col min="19" max="19" width="12.5703125" customWidth="1"/>
    <col min="20" max="20" width="12.7109375" customWidth="1"/>
  </cols>
  <sheetData>
    <row r="1" spans="2:22" x14ac:dyDescent="0.25">
      <c r="B1" s="505" t="s">
        <v>276</v>
      </c>
      <c r="C1" s="506"/>
      <c r="D1" s="506"/>
      <c r="E1" s="506"/>
      <c r="F1" s="506"/>
      <c r="G1" s="507"/>
      <c r="P1" s="190"/>
      <c r="Q1" s="190"/>
      <c r="R1" s="190"/>
      <c r="S1" s="190"/>
      <c r="T1" s="190"/>
      <c r="U1" s="190"/>
      <c r="V1" s="190"/>
    </row>
    <row r="2" spans="2:22" ht="15.75" thickBot="1" x14ac:dyDescent="0.3">
      <c r="B2" s="508"/>
      <c r="C2" s="509"/>
      <c r="D2" s="509"/>
      <c r="E2" s="509"/>
      <c r="F2" s="509"/>
      <c r="G2" s="510"/>
      <c r="P2" s="190"/>
      <c r="Q2" s="190"/>
      <c r="R2" s="190"/>
      <c r="S2" s="190"/>
      <c r="T2" s="190"/>
      <c r="U2" s="190"/>
      <c r="V2" s="190"/>
    </row>
    <row r="3" spans="2:22" ht="15.75" thickBot="1" x14ac:dyDescent="0.3">
      <c r="P3" s="190"/>
      <c r="Q3" s="190"/>
      <c r="R3" s="190"/>
      <c r="S3" s="190"/>
      <c r="T3" s="190"/>
      <c r="U3" s="190"/>
      <c r="V3" s="190"/>
    </row>
    <row r="4" spans="2:22" ht="19.5" thickBot="1" x14ac:dyDescent="0.35">
      <c r="B4" s="511" t="s">
        <v>128</v>
      </c>
      <c r="C4" s="512"/>
      <c r="E4" s="513" t="s">
        <v>205</v>
      </c>
      <c r="F4" s="514"/>
      <c r="G4" s="124">
        <f>(C5)/(C7)</f>
        <v>16.938371709323995</v>
      </c>
      <c r="P4" s="190"/>
      <c r="Q4" s="190" t="s">
        <v>130</v>
      </c>
      <c r="R4" s="190">
        <f>(PI()*(E102/10)^2)/4</f>
        <v>3.1415926535897931</v>
      </c>
      <c r="S4" s="190"/>
      <c r="T4" s="190"/>
      <c r="U4" s="190"/>
      <c r="V4" s="190"/>
    </row>
    <row r="5" spans="2:22" ht="18.75" thickBot="1" x14ac:dyDescent="0.3">
      <c r="B5" s="120" t="s">
        <v>167</v>
      </c>
      <c r="C5" s="197">
        <f>'5 Estacas2'!AD37</f>
        <v>736.45094388365192</v>
      </c>
      <c r="P5" s="190"/>
      <c r="Q5" s="190"/>
      <c r="R5" s="190"/>
      <c r="S5" s="190"/>
      <c r="T5" s="190"/>
      <c r="U5" s="190"/>
      <c r="V5" s="190"/>
    </row>
    <row r="6" spans="2:22" x14ac:dyDescent="0.25">
      <c r="B6" s="121" t="s">
        <v>129</v>
      </c>
      <c r="C6" s="6">
        <v>4</v>
      </c>
      <c r="E6" s="515" t="s">
        <v>131</v>
      </c>
      <c r="F6" s="516"/>
      <c r="G6" s="517"/>
      <c r="H6" s="34"/>
      <c r="P6" s="190"/>
      <c r="Q6" s="190" t="s">
        <v>135</v>
      </c>
      <c r="R6" s="190"/>
      <c r="S6" s="190"/>
      <c r="T6" s="190">
        <f>ABS(G10-1)</f>
        <v>5</v>
      </c>
      <c r="U6" s="190"/>
      <c r="V6" s="190"/>
    </row>
    <row r="7" spans="2:22" ht="18" x14ac:dyDescent="0.25">
      <c r="B7" s="121" t="s">
        <v>200</v>
      </c>
      <c r="C7" s="123">
        <f>50/Entradas2!C18</f>
        <v>43.478260869565219</v>
      </c>
      <c r="E7" s="518"/>
      <c r="F7" s="519"/>
      <c r="G7" s="520"/>
      <c r="H7" s="34"/>
      <c r="P7" s="190"/>
      <c r="Q7" s="190" t="s">
        <v>133</v>
      </c>
      <c r="R7" s="190">
        <f>G4/R4</f>
        <v>5.3916511709336605</v>
      </c>
      <c r="S7" s="190"/>
      <c r="T7" s="190"/>
      <c r="U7" s="190"/>
      <c r="V7" s="190"/>
    </row>
    <row r="8" spans="2:22" ht="15.75" thickBot="1" x14ac:dyDescent="0.3">
      <c r="B8" s="122" t="s">
        <v>136</v>
      </c>
      <c r="C8" s="8">
        <f>Entradas2!C22</f>
        <v>23</v>
      </c>
      <c r="E8" s="253"/>
      <c r="F8" s="254"/>
      <c r="G8" s="255"/>
      <c r="H8" s="34"/>
      <c r="P8" s="190"/>
      <c r="Q8" s="190" t="s">
        <v>137</v>
      </c>
      <c r="R8" s="190">
        <v>20</v>
      </c>
      <c r="S8" s="190"/>
      <c r="T8" s="190"/>
      <c r="U8" s="190"/>
      <c r="V8" s="190"/>
    </row>
    <row r="9" spans="2:22" ht="15.75" thickBot="1" x14ac:dyDescent="0.3">
      <c r="E9" s="34"/>
      <c r="F9" s="34"/>
      <c r="G9" s="34"/>
      <c r="H9" s="34"/>
      <c r="P9" s="190"/>
      <c r="Q9" s="190"/>
      <c r="R9" s="190">
        <f>1.2*19</f>
        <v>22.8</v>
      </c>
      <c r="S9" s="190"/>
      <c r="T9" s="190"/>
      <c r="U9" s="190"/>
      <c r="V9" s="190"/>
    </row>
    <row r="10" spans="2:22" ht="15.75" thickBot="1" x14ac:dyDescent="0.3">
      <c r="B10" s="521" t="s">
        <v>214</v>
      </c>
      <c r="C10" s="465"/>
      <c r="E10" s="489" t="s">
        <v>134</v>
      </c>
      <c r="F10" s="491"/>
      <c r="G10" s="125">
        <f>ROUNDUP(R7,0)</f>
        <v>6</v>
      </c>
      <c r="P10" s="190"/>
      <c r="Q10" s="190"/>
      <c r="R10" s="190">
        <f>E102</f>
        <v>20</v>
      </c>
      <c r="S10" s="190"/>
      <c r="T10" s="190"/>
      <c r="U10" s="190"/>
      <c r="V10" s="190"/>
    </row>
    <row r="11" spans="2:22" ht="15.75" thickBot="1" x14ac:dyDescent="0.3">
      <c r="B11" s="122" t="s">
        <v>204</v>
      </c>
      <c r="C11" s="8">
        <v>0.7</v>
      </c>
      <c r="E11" s="529" t="s">
        <v>139</v>
      </c>
      <c r="F11" s="530"/>
      <c r="G11" s="533">
        <f>IFERROR((LARGE(R11:R12,1)),"-")</f>
        <v>2.2800000000000002</v>
      </c>
      <c r="P11" s="190"/>
      <c r="Q11" s="190" t="s">
        <v>138</v>
      </c>
      <c r="R11" s="190">
        <f>(LARGE(R8:R10,1))/10</f>
        <v>2.2800000000000002</v>
      </c>
      <c r="S11" s="190"/>
      <c r="T11" s="190"/>
      <c r="U11" s="190"/>
      <c r="V11" s="190"/>
    </row>
    <row r="12" spans="2:22" ht="15.75" thickBot="1" x14ac:dyDescent="0.3">
      <c r="E12" s="531"/>
      <c r="F12" s="532"/>
      <c r="G12" s="534"/>
      <c r="P12" s="190"/>
      <c r="Q12" s="190" t="s">
        <v>140</v>
      </c>
      <c r="R12" s="190">
        <f>((C8)-G10*(E102/10))/T6</f>
        <v>2.2000000000000002</v>
      </c>
      <c r="S12" s="190"/>
      <c r="T12" s="190"/>
      <c r="U12" s="190"/>
      <c r="V12" s="190"/>
    </row>
    <row r="13" spans="2:22" ht="15.75" thickBot="1" x14ac:dyDescent="0.3">
      <c r="B13" s="521" t="s">
        <v>215</v>
      </c>
      <c r="C13" s="465"/>
      <c r="P13" s="190"/>
      <c r="Q13" s="190"/>
      <c r="R13" s="190"/>
      <c r="S13" s="190"/>
      <c r="T13" s="190"/>
      <c r="U13" s="190"/>
      <c r="V13" s="190"/>
    </row>
    <row r="14" spans="2:22" ht="18.75" thickBot="1" x14ac:dyDescent="0.3">
      <c r="B14" s="122" t="s">
        <v>201</v>
      </c>
      <c r="C14" s="8">
        <v>2.25</v>
      </c>
      <c r="E14" s="535" t="s">
        <v>141</v>
      </c>
      <c r="F14" s="536"/>
      <c r="G14" s="537"/>
      <c r="H14" s="489" t="s">
        <v>210</v>
      </c>
      <c r="I14" s="490"/>
      <c r="J14" s="491"/>
      <c r="P14" s="190"/>
      <c r="Q14" s="190" t="s">
        <v>149</v>
      </c>
      <c r="R14" s="190">
        <f>G10*R4</f>
        <v>18.849555921538759</v>
      </c>
      <c r="S14" s="190"/>
      <c r="T14" s="190"/>
      <c r="U14" s="190"/>
      <c r="V14" s="190"/>
    </row>
    <row r="15" spans="2:22" ht="15.75" thickBot="1" x14ac:dyDescent="0.3">
      <c r="E15" s="492" t="s">
        <v>143</v>
      </c>
      <c r="F15" s="493"/>
      <c r="G15" s="141">
        <f>'5 Estacas2'!I6-C6+C8/2</f>
        <v>34</v>
      </c>
      <c r="H15" s="494" t="str">
        <f>IF(G16&lt;=G15,"Verificação Atendida","Aumentar o Diâmetro da Barra ou fck do Concreto")</f>
        <v>Aumentar o Diâmetro da Barra ou fck do Concreto</v>
      </c>
      <c r="I15" s="495"/>
      <c r="J15" s="496"/>
      <c r="P15" s="190"/>
      <c r="Q15" s="190"/>
      <c r="R15" s="190"/>
      <c r="S15" s="190"/>
      <c r="T15" s="190"/>
      <c r="U15" s="190"/>
      <c r="V15" s="190"/>
    </row>
    <row r="16" spans="2:22" ht="15.75" thickBot="1" x14ac:dyDescent="0.3">
      <c r="B16" s="521" t="s">
        <v>216</v>
      </c>
      <c r="C16" s="465"/>
      <c r="E16" s="500" t="s">
        <v>142</v>
      </c>
      <c r="F16" s="501"/>
      <c r="G16" s="142">
        <f>C11*R21*G4/R14</f>
        <v>47.38893639697838</v>
      </c>
      <c r="H16" s="497"/>
      <c r="I16" s="498"/>
      <c r="J16" s="499"/>
      <c r="P16" s="190"/>
      <c r="Q16" s="190" t="s">
        <v>144</v>
      </c>
      <c r="R16" s="190">
        <f>0.3*0.7*Entradas2!C13^(2/3)</f>
        <v>1.795474744010531</v>
      </c>
      <c r="S16" s="190"/>
      <c r="T16" s="190"/>
      <c r="U16" s="190"/>
      <c r="V16" s="190"/>
    </row>
    <row r="17" spans="2:22" ht="18.75" thickBot="1" x14ac:dyDescent="0.3">
      <c r="B17" s="122" t="s">
        <v>202</v>
      </c>
      <c r="C17" s="8">
        <v>1</v>
      </c>
      <c r="E17" s="502" t="s">
        <v>180</v>
      </c>
      <c r="F17" s="503"/>
      <c r="G17" s="504"/>
      <c r="H17" s="2"/>
      <c r="I17" s="2"/>
      <c r="J17" s="2"/>
      <c r="P17" s="190"/>
      <c r="Q17" s="190" t="s">
        <v>145</v>
      </c>
      <c r="R17" s="190">
        <f>R16/Entradas2!C17</f>
        <v>1.2824819600075221</v>
      </c>
      <c r="S17" s="190"/>
      <c r="T17" s="190"/>
      <c r="U17" s="190"/>
      <c r="V17" s="190"/>
    </row>
    <row r="18" spans="2:22" ht="15.75" thickBot="1" x14ac:dyDescent="0.3">
      <c r="E18" s="143"/>
      <c r="F18" s="538" t="s">
        <v>181</v>
      </c>
      <c r="G18" s="539"/>
      <c r="H18" s="2"/>
      <c r="I18" s="2"/>
      <c r="J18" s="2"/>
      <c r="P18" s="190"/>
      <c r="Q18" s="190"/>
      <c r="R18" s="190"/>
      <c r="S18" s="190"/>
      <c r="T18" s="190"/>
      <c r="U18" s="190"/>
      <c r="V18" s="190"/>
    </row>
    <row r="19" spans="2:22" ht="15.75" thickBot="1" x14ac:dyDescent="0.3">
      <c r="B19" s="521" t="s">
        <v>217</v>
      </c>
      <c r="C19" s="465"/>
      <c r="E19" s="144"/>
      <c r="F19" s="540" t="s">
        <v>182</v>
      </c>
      <c r="G19" s="501"/>
      <c r="H19" s="2"/>
      <c r="I19" s="2"/>
      <c r="J19" s="2"/>
      <c r="P19" s="190"/>
      <c r="Q19" s="190" t="s">
        <v>146</v>
      </c>
      <c r="R19" s="190">
        <f>C14*C17*C20*R17</f>
        <v>2.885584410016925</v>
      </c>
      <c r="S19" s="190"/>
      <c r="T19" s="190" t="s">
        <v>147</v>
      </c>
      <c r="U19" s="190">
        <f>R19/10</f>
        <v>0.28855844100169248</v>
      </c>
      <c r="V19" s="190"/>
    </row>
    <row r="20" spans="2:22" ht="18.75" thickBot="1" x14ac:dyDescent="0.3">
      <c r="B20" s="122" t="s">
        <v>203</v>
      </c>
      <c r="C20" s="8">
        <v>1</v>
      </c>
      <c r="P20" s="190"/>
      <c r="Q20" s="190"/>
      <c r="R20" s="190"/>
      <c r="S20" s="190"/>
      <c r="T20" s="190"/>
      <c r="U20" s="190"/>
      <c r="V20" s="190"/>
    </row>
    <row r="21" spans="2:22" ht="15" customHeight="1" x14ac:dyDescent="0.25">
      <c r="E21" s="515" t="s">
        <v>150</v>
      </c>
      <c r="F21" s="517"/>
      <c r="G21" s="549">
        <f>IF(E102=20,8*E102,5*E102)</f>
        <v>160</v>
      </c>
      <c r="P21" s="190"/>
      <c r="Q21" s="190" t="s">
        <v>148</v>
      </c>
      <c r="R21" s="190">
        <f>(E102/10)*(C7/U19)/4</f>
        <v>75.337010968447473</v>
      </c>
      <c r="S21" s="190"/>
      <c r="T21" s="190"/>
      <c r="U21" s="190"/>
      <c r="V21" s="190"/>
    </row>
    <row r="22" spans="2:22" ht="15" customHeight="1" thickBot="1" x14ac:dyDescent="0.3">
      <c r="B22" s="103"/>
      <c r="E22" s="525"/>
      <c r="F22" s="526"/>
      <c r="G22" s="550"/>
      <c r="P22" s="190"/>
      <c r="Q22" s="190"/>
      <c r="R22" s="190"/>
      <c r="S22" s="190"/>
      <c r="T22" s="190"/>
      <c r="U22" s="190"/>
      <c r="V22" s="190"/>
    </row>
    <row r="23" spans="2:22" ht="15" customHeight="1" x14ac:dyDescent="0.25">
      <c r="E23" s="529" t="s">
        <v>253</v>
      </c>
      <c r="F23" s="530"/>
      <c r="G23" s="546">
        <f>IF(E102=20,CEILING(R24,1),CEILING(R23,1))</f>
        <v>151</v>
      </c>
      <c r="P23" s="190"/>
      <c r="Q23" s="190" t="s">
        <v>152</v>
      </c>
      <c r="R23" s="190">
        <f>('5 Estacas2'!I7*1.54)+2*('5 Estacas2'!I6-C6-(G21/10)/2+(PI())*(G21/10)/4+10*(E102/10))</f>
        <v>182.68274122871833</v>
      </c>
      <c r="S23" s="190"/>
      <c r="T23" s="190"/>
      <c r="U23" s="190"/>
      <c r="V23" s="190"/>
    </row>
    <row r="24" spans="2:22" ht="15.75" thickBot="1" x14ac:dyDescent="0.3">
      <c r="E24" s="531"/>
      <c r="F24" s="532"/>
      <c r="G24" s="547"/>
      <c r="H24" s="190">
        <f>ROUNDUP(G23,0)</f>
        <v>151</v>
      </c>
      <c r="I24" s="190"/>
      <c r="P24" s="190"/>
      <c r="Q24" s="190" t="s">
        <v>153</v>
      </c>
      <c r="R24" s="190">
        <f>'5 Estacas2'!I7*1.54+2*('5 Estacas2'!I6-C6-(G21/10)/2+(PI())*(G21/10)/4+2*(E102/10))</f>
        <v>150.68274122871833</v>
      </c>
      <c r="S24" s="190"/>
      <c r="T24" s="190"/>
      <c r="U24" s="190"/>
      <c r="V24" s="190"/>
    </row>
    <row r="25" spans="2:22" x14ac:dyDescent="0.25">
      <c r="E25" s="529" t="s">
        <v>252</v>
      </c>
      <c r="F25" s="530"/>
      <c r="G25" s="546">
        <f>IF(E102=20,CEILING(R26,1),CEILING(R25,1))</f>
        <v>156</v>
      </c>
      <c r="H25" s="190"/>
      <c r="I25" s="190"/>
      <c r="P25" s="190"/>
      <c r="Q25" s="190" t="s">
        <v>152</v>
      </c>
      <c r="R25" s="190">
        <f>('5 Estacas2'!I7*1.62)+2*('5 Estacas2'!I6-C6-(G21/10)/2+(PI())*(G21/10)/4+10*(E102/10))</f>
        <v>187.28274122871835</v>
      </c>
      <c r="S25" s="190"/>
      <c r="T25" s="190"/>
      <c r="U25" s="190"/>
      <c r="V25" s="190"/>
    </row>
    <row r="26" spans="2:22" ht="15.75" thickBot="1" x14ac:dyDescent="0.3">
      <c r="E26" s="531"/>
      <c r="F26" s="532"/>
      <c r="G26" s="547"/>
      <c r="H26" s="190"/>
      <c r="I26" s="190"/>
      <c r="P26" s="190"/>
      <c r="Q26" s="190" t="s">
        <v>153</v>
      </c>
      <c r="R26" s="190">
        <f>('5 Estacas2'!I7*1.62)+2*('5 Estacas2'!I6-C6-(G21/10)/2+(PI())*(G21/10)/4+2*(E102/10))</f>
        <v>155.28274122871835</v>
      </c>
      <c r="S26" s="190"/>
      <c r="T26" s="190"/>
      <c r="U26" s="190"/>
      <c r="V26" s="190"/>
    </row>
    <row r="27" spans="2:22" x14ac:dyDescent="0.25">
      <c r="H27" s="190"/>
      <c r="I27" s="190"/>
      <c r="P27" s="190"/>
      <c r="Q27" s="190" t="s">
        <v>168</v>
      </c>
      <c r="R27" s="190">
        <f>2*E102/10</f>
        <v>4</v>
      </c>
      <c r="S27" s="190"/>
      <c r="T27" s="190"/>
      <c r="U27" s="190"/>
      <c r="V27" s="190"/>
    </row>
    <row r="28" spans="2:22" x14ac:dyDescent="0.25">
      <c r="H28" s="190"/>
      <c r="I28" s="190"/>
      <c r="P28" s="190"/>
      <c r="Q28" s="354" t="s">
        <v>169</v>
      </c>
      <c r="R28" s="190">
        <f>E102</f>
        <v>20</v>
      </c>
      <c r="S28" s="190"/>
      <c r="T28" s="190"/>
      <c r="U28" s="190"/>
      <c r="V28" s="190"/>
    </row>
    <row r="29" spans="2:22" x14ac:dyDescent="0.25">
      <c r="H29" s="190"/>
      <c r="I29" s="190"/>
      <c r="P29" s="190"/>
      <c r="Q29" s="190"/>
      <c r="R29" s="190"/>
      <c r="S29" s="190"/>
      <c r="T29" s="190"/>
      <c r="U29" s="190"/>
      <c r="V29" s="190"/>
    </row>
    <row r="30" spans="2:22" x14ac:dyDescent="0.25">
      <c r="H30" s="190"/>
      <c r="I30" s="190"/>
    </row>
    <row r="31" spans="2:22" x14ac:dyDescent="0.25">
      <c r="H31" s="190"/>
      <c r="I31" s="190"/>
    </row>
    <row r="32" spans="2:22" x14ac:dyDescent="0.25">
      <c r="H32" s="190"/>
      <c r="I32" s="190"/>
    </row>
    <row r="33" spans="8:9" x14ac:dyDescent="0.25">
      <c r="H33" s="190"/>
      <c r="I33" s="190"/>
    </row>
    <row r="34" spans="8:9" x14ac:dyDescent="0.25">
      <c r="H34" s="190"/>
      <c r="I34" s="190"/>
    </row>
    <row r="35" spans="8:9" ht="18" x14ac:dyDescent="0.35">
      <c r="H35" s="190"/>
      <c r="I35" s="190" t="s">
        <v>213</v>
      </c>
    </row>
    <row r="99" spans="1:5" x14ac:dyDescent="0.25">
      <c r="A99" s="381"/>
      <c r="B99" s="381"/>
      <c r="C99" s="381"/>
      <c r="D99" s="381"/>
      <c r="E99" s="381"/>
    </row>
    <row r="100" spans="1:5" x14ac:dyDescent="0.25">
      <c r="A100" s="381"/>
      <c r="B100" s="381"/>
      <c r="C100" s="381"/>
      <c r="D100" s="381"/>
      <c r="E100" s="381"/>
    </row>
    <row r="101" spans="1:5" x14ac:dyDescent="0.25">
      <c r="A101" s="381"/>
      <c r="B101" s="388">
        <v>6</v>
      </c>
      <c r="C101" s="388"/>
      <c r="D101" s="388"/>
      <c r="E101" s="388"/>
    </row>
    <row r="102" spans="1:5" x14ac:dyDescent="0.25">
      <c r="A102" s="381"/>
      <c r="B102" s="389">
        <v>6.3</v>
      </c>
      <c r="C102" s="388"/>
      <c r="D102" s="385" t="s">
        <v>132</v>
      </c>
      <c r="E102" s="385">
        <f>IF(B101=1,B102,IF(B101=2,B103,IF(B101=3,B104,IF(B101=4,B105,IF(B101=5,B106,IF(B101=6,B107))))))</f>
        <v>20</v>
      </c>
    </row>
    <row r="103" spans="1:5" x14ac:dyDescent="0.25">
      <c r="A103" s="381"/>
      <c r="B103" s="389">
        <v>8</v>
      </c>
      <c r="C103" s="388"/>
      <c r="D103" s="388"/>
      <c r="E103" s="388"/>
    </row>
    <row r="104" spans="1:5" x14ac:dyDescent="0.25">
      <c r="A104" s="381"/>
      <c r="B104" s="389">
        <v>10</v>
      </c>
      <c r="C104" s="388"/>
      <c r="D104" s="388"/>
      <c r="E104" s="388"/>
    </row>
    <row r="105" spans="1:5" x14ac:dyDescent="0.25">
      <c r="A105" s="381"/>
      <c r="B105" s="389">
        <v>12.5</v>
      </c>
      <c r="C105" s="388"/>
      <c r="D105" s="388"/>
      <c r="E105" s="388"/>
    </row>
    <row r="106" spans="1:5" x14ac:dyDescent="0.25">
      <c r="A106" s="381"/>
      <c r="B106" s="389">
        <v>16</v>
      </c>
      <c r="C106" s="388"/>
      <c r="D106" s="388"/>
      <c r="E106" s="388"/>
    </row>
    <row r="107" spans="1:5" x14ac:dyDescent="0.25">
      <c r="A107" s="381"/>
      <c r="B107" s="389">
        <v>20</v>
      </c>
      <c r="C107" s="388"/>
      <c r="D107" s="388"/>
      <c r="E107" s="388"/>
    </row>
    <row r="108" spans="1:5" x14ac:dyDescent="0.25">
      <c r="A108" s="381"/>
      <c r="B108" s="381"/>
      <c r="C108" s="381"/>
      <c r="D108" s="381"/>
      <c r="E108" s="381"/>
    </row>
    <row r="109" spans="1:5" x14ac:dyDescent="0.25">
      <c r="A109" s="381"/>
      <c r="B109" s="381"/>
      <c r="C109" s="381"/>
      <c r="D109" s="381"/>
      <c r="E109" s="381"/>
    </row>
    <row r="110" spans="1:5" x14ac:dyDescent="0.25">
      <c r="A110" s="381"/>
      <c r="B110" s="381"/>
      <c r="C110" s="381"/>
      <c r="D110" s="381"/>
      <c r="E110" s="381"/>
    </row>
    <row r="111" spans="1:5" x14ac:dyDescent="0.25">
      <c r="A111" s="381"/>
      <c r="B111" s="381"/>
      <c r="C111" s="381"/>
      <c r="D111" s="381"/>
      <c r="E111" s="381"/>
    </row>
    <row r="112" spans="1:5" x14ac:dyDescent="0.25">
      <c r="A112" s="381"/>
      <c r="B112" s="381"/>
      <c r="C112" s="381"/>
      <c r="D112" s="381"/>
      <c r="E112" s="381"/>
    </row>
  </sheetData>
  <sheetProtection password="DED7" sheet="1" objects="1" scenarios="1"/>
  <mergeCells count="25">
    <mergeCell ref="B1:G2"/>
    <mergeCell ref="B4:C4"/>
    <mergeCell ref="E4:F4"/>
    <mergeCell ref="E6:G7"/>
    <mergeCell ref="B10:C10"/>
    <mergeCell ref="E10:F10"/>
    <mergeCell ref="H14:J14"/>
    <mergeCell ref="E15:F15"/>
    <mergeCell ref="H15:J16"/>
    <mergeCell ref="B16:C16"/>
    <mergeCell ref="E16:F16"/>
    <mergeCell ref="B19:C19"/>
    <mergeCell ref="F19:G19"/>
    <mergeCell ref="E21:F22"/>
    <mergeCell ref="G21:G22"/>
    <mergeCell ref="E11:F12"/>
    <mergeCell ref="G11:G12"/>
    <mergeCell ref="B13:C13"/>
    <mergeCell ref="E14:G14"/>
    <mergeCell ref="E23:F24"/>
    <mergeCell ref="G23:G24"/>
    <mergeCell ref="E25:F26"/>
    <mergeCell ref="G25:G26"/>
    <mergeCell ref="E17:G17"/>
    <mergeCell ref="F18:G18"/>
  </mergeCells>
  <conditionalFormatting sqref="E15:E16 G15:G16">
    <cfRule type="expression" dxfId="17" priority="1">
      <formula>$G$16&gt;$G$15</formula>
    </cfRule>
    <cfRule type="expression" dxfId="16" priority="2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3" name="Drop Down 1">
              <controlPr defaultSize="0" autoLine="0" autoPict="0">
                <anchor moveWithCells="1">
                  <from>
                    <xdr:col>4</xdr:col>
                    <xdr:colOff>19050</xdr:colOff>
                    <xdr:row>7</xdr:row>
                    <xdr:rowOff>0</xdr:rowOff>
                  </from>
                  <to>
                    <xdr:col>6</xdr:col>
                    <xdr:colOff>714375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4" name="Button 2">
              <controlPr defaultSize="0" print="0" autoFill="0" autoPict="0" macro="[0]!Macro125">
                <anchor moveWithCells="1" sizeWithCells="1">
                  <from>
                    <xdr:col>7</xdr:col>
                    <xdr:colOff>390525</xdr:colOff>
                    <xdr:row>23</xdr:row>
                    <xdr:rowOff>152400</xdr:rowOff>
                  </from>
                  <to>
                    <xdr:col>9</xdr:col>
                    <xdr:colOff>600075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1" r:id="rId5" name="Button 3">
              <controlPr defaultSize="0" print="0" autoFill="0" autoPict="0" macro="[0]!Macro126">
                <anchor moveWithCells="1" sizeWithCells="1">
                  <from>
                    <xdr:col>7</xdr:col>
                    <xdr:colOff>390525</xdr:colOff>
                    <xdr:row>20</xdr:row>
                    <xdr:rowOff>133350</xdr:rowOff>
                  </from>
                  <to>
                    <xdr:col>9</xdr:col>
                    <xdr:colOff>600075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150"/>
  <sheetViews>
    <sheetView showGridLines="0" showRowColHeaders="0" zoomScale="85" zoomScaleNormal="85" workbookViewId="0"/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6" width="9.140625" style="182"/>
    <col min="17" max="17" width="32.42578125" style="182" bestFit="1" customWidth="1"/>
    <col min="18" max="19" width="9.140625" style="182"/>
    <col min="20" max="20" width="12.5703125" style="182" bestFit="1" customWidth="1"/>
    <col min="21" max="16384" width="9.140625" style="182"/>
  </cols>
  <sheetData>
    <row r="1" spans="1:25" ht="15" customHeight="1" x14ac:dyDescent="0.25">
      <c r="A1"/>
      <c r="B1" s="505" t="s">
        <v>254</v>
      </c>
      <c r="C1" s="506"/>
      <c r="D1" s="506"/>
      <c r="E1" s="506"/>
      <c r="F1" s="506"/>
      <c r="G1" s="507"/>
      <c r="H1"/>
      <c r="I1"/>
      <c r="J1"/>
      <c r="K1"/>
      <c r="L1"/>
      <c r="M1" s="350"/>
      <c r="N1" s="350"/>
      <c r="O1" s="350"/>
      <c r="P1" s="350"/>
      <c r="Q1" s="350"/>
      <c r="R1" s="350"/>
      <c r="S1" s="350"/>
      <c r="T1" s="350"/>
      <c r="U1" s="350"/>
      <c r="V1" s="350"/>
      <c r="W1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/>
      <c r="M2" s="350"/>
      <c r="N2" s="350"/>
      <c r="O2" s="350"/>
      <c r="P2" s="350"/>
      <c r="Q2" s="350"/>
      <c r="R2" s="350"/>
      <c r="S2" s="350"/>
      <c r="T2" s="350"/>
      <c r="U2" s="350"/>
      <c r="V2" s="350"/>
      <c r="W2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/>
      <c r="M3" s="650" t="s">
        <v>228</v>
      </c>
      <c r="N3" s="650"/>
      <c r="O3" s="350">
        <f>((((SIN(RADIANS(54))*'5 Estacas2'!I7)+(('5 Estacas2'!I7*TAN(RADIANS(54)))/2))-'5 Estacas2'!I5)-(G10*D109/10))/R6</f>
        <v>8.2927796271579588</v>
      </c>
      <c r="P3" s="350"/>
      <c r="Q3" s="350"/>
      <c r="R3" s="350"/>
      <c r="S3" s="350"/>
      <c r="T3" s="350"/>
      <c r="U3" s="350"/>
      <c r="V3" s="350"/>
      <c r="W3"/>
      <c r="X3"/>
      <c r="Y3"/>
    </row>
    <row r="4" spans="1:25" ht="19.5" thickBot="1" x14ac:dyDescent="0.35">
      <c r="A4"/>
      <c r="B4" s="511" t="s">
        <v>128</v>
      </c>
      <c r="C4" s="512"/>
      <c r="D4" s="293"/>
      <c r="E4" s="513" t="s">
        <v>205</v>
      </c>
      <c r="F4" s="514"/>
      <c r="G4" s="281">
        <f>C5/C7</f>
        <v>2.489031272147173</v>
      </c>
      <c r="H4"/>
      <c r="I4"/>
      <c r="J4"/>
      <c r="K4"/>
      <c r="L4"/>
      <c r="M4" s="350" t="s">
        <v>137</v>
      </c>
      <c r="N4" s="350"/>
      <c r="O4" s="350">
        <f>R10/10</f>
        <v>0.63</v>
      </c>
      <c r="P4" s="350"/>
      <c r="Q4" s="350" t="s">
        <v>130</v>
      </c>
      <c r="R4" s="350">
        <f>(PI()*(D109/10)^2)/4</f>
        <v>0.31172453105244724</v>
      </c>
      <c r="S4" s="350"/>
      <c r="T4" s="350"/>
      <c r="U4" s="350"/>
      <c r="V4" s="350"/>
      <c r="W4"/>
      <c r="X4"/>
      <c r="Y4"/>
    </row>
    <row r="5" spans="1:25" ht="18.75" thickBot="1" x14ac:dyDescent="0.3">
      <c r="A5"/>
      <c r="B5" s="120" t="s">
        <v>167</v>
      </c>
      <c r="C5" s="277">
        <f>0.2*(IF('5 Estacas2'!H15="Estaca E1",'5 Estacas2'!AD37,IF('5 Estacas2'!H15="Estaca E3",'5 Estacas2'!AD37,IF('5 Estacas2'!H15="Estaca E2",TAN(RADIANS(54))*'5 Estacas2'!AD37,IF('5 Estacas2'!H15="Estaca E4",COS(RADIANS(54))*'5 Estacas2'!AD37,IF('5 Estacas2'!H15="Estaca E5",COS(RADIANS(54))*'5 Estacas2'!AD37))))))</f>
        <v>86.575000770336473</v>
      </c>
      <c r="D5" s="293"/>
      <c r="E5"/>
      <c r="F5"/>
      <c r="G5"/>
      <c r="H5"/>
      <c r="I5"/>
      <c r="J5"/>
      <c r="K5"/>
      <c r="L5"/>
      <c r="M5" s="350"/>
      <c r="N5" s="350"/>
      <c r="O5" s="350">
        <f>(1.2*19)/10</f>
        <v>2.2800000000000002</v>
      </c>
      <c r="P5" s="350"/>
      <c r="Q5" s="350"/>
      <c r="R5" s="350"/>
      <c r="S5" s="350"/>
      <c r="T5" s="350"/>
      <c r="U5" s="350"/>
      <c r="V5" s="350"/>
      <c r="W5"/>
      <c r="X5"/>
      <c r="Y5"/>
    </row>
    <row r="6" spans="1:25" x14ac:dyDescent="0.25">
      <c r="A6"/>
      <c r="B6" s="121" t="s">
        <v>129</v>
      </c>
      <c r="C6" s="278">
        <v>4</v>
      </c>
      <c r="D6" s="293"/>
      <c r="E6" s="515" t="s">
        <v>131</v>
      </c>
      <c r="F6" s="516"/>
      <c r="G6" s="517"/>
      <c r="H6" s="34"/>
      <c r="I6"/>
      <c r="J6"/>
      <c r="K6"/>
      <c r="L6"/>
      <c r="M6" s="350"/>
      <c r="N6" s="350"/>
      <c r="O6" s="350"/>
      <c r="P6" s="350"/>
      <c r="Q6" s="350" t="s">
        <v>135</v>
      </c>
      <c r="R6" s="350">
        <f>G10-1</f>
        <v>7</v>
      </c>
      <c r="S6" s="350"/>
      <c r="T6" s="350"/>
      <c r="U6" s="350"/>
      <c r="V6" s="350"/>
      <c r="W6"/>
      <c r="X6"/>
      <c r="Y6"/>
    </row>
    <row r="7" spans="1:25" ht="18" x14ac:dyDescent="0.25">
      <c r="A7"/>
      <c r="B7" s="121" t="s">
        <v>200</v>
      </c>
      <c r="C7" s="279">
        <f>(50/Entradas2!C18)*0.8</f>
        <v>34.782608695652179</v>
      </c>
      <c r="D7" s="293"/>
      <c r="E7" s="518"/>
      <c r="F7" s="519"/>
      <c r="G7" s="520"/>
      <c r="H7" s="237"/>
      <c r="I7"/>
      <c r="J7"/>
      <c r="K7"/>
      <c r="L7"/>
      <c r="M7" s="350"/>
      <c r="N7" s="350"/>
      <c r="O7" s="350"/>
      <c r="P7" s="350"/>
      <c r="Q7" s="350" t="s">
        <v>133</v>
      </c>
      <c r="R7" s="350">
        <f>G4/R4</f>
        <v>7.9847141440671434</v>
      </c>
      <c r="S7" s="350"/>
      <c r="T7" s="350"/>
      <c r="U7" s="350"/>
      <c r="V7" s="350"/>
      <c r="W7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 s="293"/>
      <c r="E8" s="284"/>
      <c r="F8" s="285"/>
      <c r="G8" s="286"/>
      <c r="H8" s="237"/>
      <c r="I8"/>
      <c r="J8"/>
      <c r="K8"/>
      <c r="L8"/>
      <c r="M8" s="350" t="s">
        <v>138</v>
      </c>
      <c r="N8" s="350"/>
      <c r="O8" s="350">
        <f>LARGE(O3:O5,1)</f>
        <v>8.2927796271579588</v>
      </c>
      <c r="P8" s="350"/>
      <c r="Q8" s="350" t="s">
        <v>137</v>
      </c>
      <c r="R8" s="350">
        <v>20</v>
      </c>
      <c r="S8" s="350"/>
      <c r="T8" s="350"/>
      <c r="U8" s="350"/>
      <c r="V8" s="350"/>
      <c r="W8"/>
      <c r="X8"/>
      <c r="Y8"/>
    </row>
    <row r="9" spans="1:25" ht="15.75" thickBot="1" x14ac:dyDescent="0.3">
      <c r="A9"/>
      <c r="B9"/>
      <c r="C9"/>
      <c r="D9" s="293"/>
      <c r="E9" s="34"/>
      <c r="F9" s="34"/>
      <c r="G9" s="34"/>
      <c r="H9" s="34"/>
      <c r="I9"/>
      <c r="J9"/>
      <c r="K9"/>
      <c r="L9"/>
      <c r="M9" s="350"/>
      <c r="N9" s="350"/>
      <c r="O9" s="350"/>
      <c r="P9" s="350"/>
      <c r="Q9" s="350"/>
      <c r="R9" s="350">
        <f>1.2*19</f>
        <v>22.8</v>
      </c>
      <c r="S9" s="350"/>
      <c r="T9" s="350"/>
      <c r="U9" s="350"/>
      <c r="V9" s="350"/>
      <c r="W9"/>
      <c r="X9"/>
      <c r="Y9"/>
    </row>
    <row r="10" spans="1:25" ht="15.75" thickBot="1" x14ac:dyDescent="0.3">
      <c r="A10"/>
      <c r="B10" s="521" t="s">
        <v>214</v>
      </c>
      <c r="C10" s="465"/>
      <c r="D10" s="293"/>
      <c r="E10" s="489" t="s">
        <v>134</v>
      </c>
      <c r="F10" s="491"/>
      <c r="G10" s="282">
        <f>ROUNDUP(R7,0)</f>
        <v>8</v>
      </c>
      <c r="H10"/>
      <c r="I10"/>
      <c r="J10"/>
      <c r="K10"/>
      <c r="L10"/>
      <c r="M10" s="350"/>
      <c r="N10" s="350"/>
      <c r="O10" s="350"/>
      <c r="P10" s="350"/>
      <c r="Q10" s="350"/>
      <c r="R10" s="350">
        <f>D109</f>
        <v>6.3</v>
      </c>
      <c r="S10" s="350"/>
      <c r="T10" s="350"/>
      <c r="U10" s="350"/>
      <c r="V10" s="350"/>
      <c r="W1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 s="293"/>
      <c r="E11" s="529" t="s">
        <v>139</v>
      </c>
      <c r="F11" s="530"/>
      <c r="G11" s="588">
        <f>O8</f>
        <v>8.2927796271579588</v>
      </c>
      <c r="H11"/>
      <c r="I11"/>
      <c r="J11"/>
      <c r="K11"/>
      <c r="L11"/>
      <c r="M11" s="350"/>
      <c r="N11" s="350"/>
      <c r="O11" s="350"/>
      <c r="P11" s="350"/>
      <c r="Q11" s="350" t="s">
        <v>138</v>
      </c>
      <c r="R11" s="350">
        <f>(LARGE(R8:R10,1))/10</f>
        <v>2.2800000000000002</v>
      </c>
      <c r="S11" s="350"/>
      <c r="T11" s="350"/>
      <c r="U11" s="350"/>
      <c r="V11" s="350"/>
      <c r="W11"/>
      <c r="X11"/>
      <c r="Y11"/>
    </row>
    <row r="12" spans="1:25" ht="15.75" thickBot="1" x14ac:dyDescent="0.3">
      <c r="A12"/>
      <c r="B12"/>
      <c r="C12"/>
      <c r="D12" s="293"/>
      <c r="E12" s="531"/>
      <c r="F12" s="532"/>
      <c r="G12" s="589"/>
      <c r="H12"/>
      <c r="I12"/>
      <c r="J12"/>
      <c r="K12"/>
      <c r="L12"/>
      <c r="M12" s="350"/>
      <c r="N12" s="350"/>
      <c r="O12" s="350"/>
      <c r="P12" s="350"/>
      <c r="Q12" s="350" t="s">
        <v>140</v>
      </c>
      <c r="R12" s="350">
        <f>((C8)-G10*(D109/10))/R6</f>
        <v>2.5657142857142858</v>
      </c>
      <c r="S12" s="350"/>
      <c r="T12" s="350"/>
      <c r="U12" s="350"/>
      <c r="V12" s="350"/>
      <c r="W12"/>
      <c r="X12"/>
      <c r="Y12"/>
    </row>
    <row r="13" spans="1:25" ht="15.75" thickBot="1" x14ac:dyDescent="0.3">
      <c r="A13"/>
      <c r="B13" s="521" t="s">
        <v>215</v>
      </c>
      <c r="C13" s="465"/>
      <c r="D13" s="293"/>
      <c r="E13"/>
      <c r="F13"/>
      <c r="G13"/>
      <c r="H13"/>
      <c r="I13"/>
      <c r="J13"/>
      <c r="K13"/>
      <c r="L13"/>
      <c r="M13" s="350"/>
      <c r="N13" s="350"/>
      <c r="O13" s="350"/>
      <c r="P13" s="350"/>
      <c r="Q13" s="350"/>
      <c r="R13" s="350"/>
      <c r="S13" s="350"/>
      <c r="T13" s="350"/>
      <c r="U13" s="350"/>
      <c r="V13" s="350"/>
      <c r="W13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 s="293"/>
      <c r="E14" s="535" t="s">
        <v>141</v>
      </c>
      <c r="F14" s="536"/>
      <c r="G14" s="537"/>
      <c r="H14" s="489" t="s">
        <v>210</v>
      </c>
      <c r="I14" s="490"/>
      <c r="J14" s="491"/>
      <c r="K14"/>
      <c r="L14"/>
      <c r="M14" s="350"/>
      <c r="N14" s="350"/>
      <c r="O14" s="350"/>
      <c r="P14" s="350"/>
      <c r="Q14" s="350" t="s">
        <v>149</v>
      </c>
      <c r="R14" s="350">
        <f>G10*R4</f>
        <v>2.4937962484195779</v>
      </c>
      <c r="S14" s="350"/>
      <c r="T14" s="350"/>
      <c r="U14" s="350"/>
      <c r="V14" s="350"/>
      <c r="W14"/>
      <c r="X14"/>
      <c r="Y14"/>
    </row>
    <row r="15" spans="1:25" ht="15.75" thickBot="1" x14ac:dyDescent="0.3">
      <c r="A15"/>
      <c r="B15"/>
      <c r="C15"/>
      <c r="D15" s="293"/>
      <c r="E15" s="492" t="s">
        <v>143</v>
      </c>
      <c r="F15" s="493"/>
      <c r="G15" s="141">
        <f>0.87*'5 Estacas1'!L6-C6+(C8/2)</f>
        <v>30.555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/>
      <c r="M15" s="350"/>
      <c r="N15" s="350"/>
      <c r="O15" s="350"/>
      <c r="P15" s="350"/>
      <c r="Q15" s="350"/>
      <c r="R15" s="350"/>
      <c r="S15" s="350"/>
      <c r="T15" s="350"/>
      <c r="U15" s="350"/>
      <c r="V15" s="350"/>
      <c r="W15"/>
      <c r="X15"/>
      <c r="Y15"/>
    </row>
    <row r="16" spans="1:25" ht="15.75" thickBot="1" x14ac:dyDescent="0.3">
      <c r="A16"/>
      <c r="B16" s="521" t="s">
        <v>216</v>
      </c>
      <c r="C16" s="465"/>
      <c r="D16" s="293"/>
      <c r="E16" s="500" t="s">
        <v>142</v>
      </c>
      <c r="F16" s="501"/>
      <c r="G16" s="142">
        <f>C11*R21*G4/R14</f>
        <v>13.264056159985666</v>
      </c>
      <c r="H16" s="497"/>
      <c r="I16" s="498"/>
      <c r="J16" s="499"/>
      <c r="K16" s="276"/>
      <c r="L16"/>
      <c r="M16" s="350"/>
      <c r="N16" s="350"/>
      <c r="O16" s="350"/>
      <c r="P16" s="350"/>
      <c r="Q16" s="350" t="s">
        <v>144</v>
      </c>
      <c r="R16" s="350">
        <f>0.3*0.7*Entradas2!C13^(2/3)</f>
        <v>1.795474744010531</v>
      </c>
      <c r="S16" s="350"/>
      <c r="T16" s="350"/>
      <c r="U16" s="350"/>
      <c r="V16" s="350"/>
      <c r="W16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 s="293"/>
      <c r="E17" s="502" t="s">
        <v>180</v>
      </c>
      <c r="F17" s="503"/>
      <c r="G17" s="504"/>
      <c r="H17" s="2"/>
      <c r="I17" s="2"/>
      <c r="J17" s="2"/>
      <c r="K17"/>
      <c r="L17"/>
      <c r="M17" s="350"/>
      <c r="N17" s="350"/>
      <c r="O17" s="350"/>
      <c r="P17" s="350"/>
      <c r="Q17" s="350" t="s">
        <v>145</v>
      </c>
      <c r="R17" s="350">
        <f>R16/Entradas2!C17</f>
        <v>1.2824819600075221</v>
      </c>
      <c r="S17" s="350"/>
      <c r="T17" s="350"/>
      <c r="U17" s="350"/>
      <c r="V17" s="350"/>
      <c r="W17"/>
      <c r="X17"/>
      <c r="Y17"/>
    </row>
    <row r="18" spans="1:25" ht="15.75" thickBot="1" x14ac:dyDescent="0.3">
      <c r="A18"/>
      <c r="B18"/>
      <c r="C18"/>
      <c r="D18" s="293"/>
      <c r="E18" s="143"/>
      <c r="F18" s="538" t="s">
        <v>181</v>
      </c>
      <c r="G18" s="539"/>
      <c r="H18" s="2"/>
      <c r="I18" s="2"/>
      <c r="J18" s="2"/>
      <c r="K18"/>
      <c r="L18"/>
      <c r="M18" s="350"/>
      <c r="N18" s="350"/>
      <c r="O18" s="350"/>
      <c r="P18" s="350"/>
      <c r="Q18" s="350"/>
      <c r="R18" s="350"/>
      <c r="S18" s="350"/>
      <c r="T18" s="350"/>
      <c r="U18" s="350"/>
      <c r="V18" s="350"/>
      <c r="W18"/>
      <c r="X18"/>
      <c r="Y18"/>
    </row>
    <row r="19" spans="1:25" ht="15.75" thickBot="1" x14ac:dyDescent="0.3">
      <c r="A19"/>
      <c r="B19" s="521" t="s">
        <v>217</v>
      </c>
      <c r="C19" s="465"/>
      <c r="D19" s="293"/>
      <c r="E19" s="144"/>
      <c r="F19" s="540" t="s">
        <v>182</v>
      </c>
      <c r="G19" s="501"/>
      <c r="H19" s="2"/>
      <c r="I19" s="2"/>
      <c r="J19" s="2"/>
      <c r="K19"/>
      <c r="L19"/>
      <c r="M19" s="350"/>
      <c r="N19" s="350"/>
      <c r="O19" s="350"/>
      <c r="P19" s="350"/>
      <c r="Q19" s="350" t="s">
        <v>146</v>
      </c>
      <c r="R19" s="350">
        <f>C14*C17*C20*R17</f>
        <v>2.885584410016925</v>
      </c>
      <c r="S19" s="350"/>
      <c r="T19" s="350" t="s">
        <v>147</v>
      </c>
      <c r="U19" s="350">
        <f>R19/10</f>
        <v>0.28855844100169248</v>
      </c>
      <c r="V19" s="350"/>
      <c r="W19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 s="293"/>
      <c r="E20"/>
      <c r="F20"/>
      <c r="G20"/>
      <c r="H20"/>
      <c r="I20"/>
      <c r="J20"/>
      <c r="K20"/>
      <c r="L2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IF(D109=20,8*D109,5*D109)</f>
        <v>31.5</v>
      </c>
      <c r="H21"/>
      <c r="I21"/>
      <c r="J21"/>
      <c r="K21"/>
      <c r="L21"/>
      <c r="M21" s="350"/>
      <c r="N21" s="350"/>
      <c r="O21" s="350"/>
      <c r="P21" s="350"/>
      <c r="Q21" s="350" t="s">
        <v>148</v>
      </c>
      <c r="R21" s="350">
        <f>(D109/10)*(C7/U19)/4</f>
        <v>18.984926764048765</v>
      </c>
      <c r="S21" s="350"/>
      <c r="T21" s="350"/>
      <c r="U21" s="350"/>
      <c r="V21" s="350"/>
      <c r="W21"/>
      <c r="X21"/>
      <c r="Y21"/>
    </row>
    <row r="22" spans="1:25" ht="15.75" thickBot="1" x14ac:dyDescent="0.3">
      <c r="A22"/>
      <c r="B22" s="190">
        <v>2</v>
      </c>
      <c r="C22"/>
      <c r="D22"/>
      <c r="E22" s="525"/>
      <c r="F22" s="526"/>
      <c r="G22" s="593"/>
      <c r="H22"/>
      <c r="I22"/>
      <c r="J22"/>
      <c r="K22"/>
      <c r="L22"/>
      <c r="M22" s="350"/>
      <c r="N22" s="350"/>
      <c r="O22" s="350"/>
      <c r="P22" s="350"/>
      <c r="Q22" s="350"/>
      <c r="R22" s="350"/>
      <c r="S22" s="350"/>
      <c r="T22" s="350"/>
      <c r="U22" s="350"/>
      <c r="V22" s="350"/>
      <c r="W22"/>
      <c r="X22"/>
      <c r="Y22"/>
    </row>
    <row r="23" spans="1:25" x14ac:dyDescent="0.25">
      <c r="A23"/>
      <c r="B23" s="191">
        <v>6.3</v>
      </c>
      <c r="E23" s="529" t="s">
        <v>151</v>
      </c>
      <c r="F23" s="530"/>
      <c r="G23" s="590" t="s">
        <v>235</v>
      </c>
      <c r="H23"/>
      <c r="I23"/>
      <c r="J23"/>
      <c r="K23"/>
      <c r="L23"/>
      <c r="M23" s="350"/>
      <c r="N23" s="350"/>
      <c r="O23" s="350"/>
      <c r="P23" s="350"/>
      <c r="Q23" s="350" t="s">
        <v>152</v>
      </c>
      <c r="R23" s="350">
        <f>2*'6 Estacas'!L7+2*('6 Estacas'!L6-C6-(G21/10)/2+PI()*(G21/10)/4+10*(D109/10))</f>
        <v>174.39800842940392</v>
      </c>
      <c r="S23" s="350"/>
      <c r="T23" s="350"/>
      <c r="U23" s="350"/>
      <c r="V23" s="350"/>
      <c r="W23"/>
      <c r="X23"/>
      <c r="Y23"/>
    </row>
    <row r="24" spans="1:25" ht="15.75" thickBot="1" x14ac:dyDescent="0.3">
      <c r="A24"/>
      <c r="B24" s="191">
        <v>5</v>
      </c>
      <c r="E24" s="531"/>
      <c r="F24" s="532"/>
      <c r="G24" s="591"/>
      <c r="H24" s="111"/>
      <c r="I24"/>
      <c r="J24"/>
      <c r="K24"/>
      <c r="L24"/>
      <c r="M24" s="350"/>
      <c r="N24" s="350"/>
      <c r="O24" s="350"/>
      <c r="P24" s="350"/>
      <c r="Q24" s="350" t="s">
        <v>153</v>
      </c>
      <c r="R24" s="350">
        <f>2*'6 Estacas'!L7+2*('3 Estacas1'!N6-C6-(G21/10)/2+PI()*(G21/10)/2+2*(D109/10))</f>
        <v>169.26601685880786</v>
      </c>
      <c r="S24" s="350"/>
      <c r="T24" s="350"/>
      <c r="U24" s="350"/>
      <c r="V24" s="350"/>
      <c r="W24"/>
      <c r="X24"/>
      <c r="Y24"/>
    </row>
    <row r="25" spans="1:25" x14ac:dyDescent="0.25">
      <c r="A25"/>
      <c r="B25" s="191">
        <v>6.3</v>
      </c>
      <c r="E25"/>
      <c r="F25"/>
      <c r="G25"/>
      <c r="H25"/>
      <c r="I25"/>
      <c r="J25"/>
      <c r="K25"/>
      <c r="L25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/>
      <c r="X25"/>
      <c r="Y25"/>
    </row>
    <row r="26" spans="1:25" x14ac:dyDescent="0.25">
      <c r="A26"/>
      <c r="B26" s="191">
        <v>12.5</v>
      </c>
      <c r="F26"/>
      <c r="G26"/>
      <c r="H26"/>
      <c r="I26"/>
      <c r="J26"/>
      <c r="K26"/>
      <c r="L26"/>
      <c r="M26" s="350"/>
      <c r="N26" s="350"/>
      <c r="O26" s="350"/>
      <c r="P26" s="350"/>
      <c r="Q26" s="350"/>
      <c r="R26" s="350"/>
      <c r="S26" s="350"/>
      <c r="T26" s="350"/>
      <c r="U26" s="350"/>
      <c r="V26" s="350"/>
      <c r="W26"/>
      <c r="X26"/>
      <c r="Y26"/>
    </row>
    <row r="27" spans="1:25" x14ac:dyDescent="0.25">
      <c r="A27"/>
      <c r="B27" s="191">
        <v>16</v>
      </c>
      <c r="C27"/>
      <c r="D27"/>
      <c r="E27"/>
      <c r="F27"/>
      <c r="G27"/>
      <c r="H27"/>
      <c r="I27"/>
      <c r="J27"/>
      <c r="K27"/>
      <c r="L27"/>
      <c r="M27" s="350"/>
      <c r="N27" s="350"/>
      <c r="O27" s="350"/>
      <c r="P27" s="350"/>
      <c r="Q27" s="350" t="s">
        <v>168</v>
      </c>
      <c r="R27" s="350">
        <f>2*D109/10</f>
        <v>1.26</v>
      </c>
      <c r="S27" s="350"/>
      <c r="T27" s="350"/>
      <c r="U27" s="350"/>
      <c r="V27" s="350"/>
      <c r="W27"/>
      <c r="X27"/>
      <c r="Y27"/>
    </row>
    <row r="28" spans="1:25" ht="15.75" thickBot="1" x14ac:dyDescent="0.3">
      <c r="A28"/>
      <c r="B28" s="191">
        <v>20</v>
      </c>
      <c r="C28"/>
      <c r="D28"/>
      <c r="E28"/>
      <c r="F28"/>
      <c r="G28"/>
      <c r="H28"/>
      <c r="I28"/>
      <c r="J28"/>
      <c r="K28"/>
      <c r="L28"/>
      <c r="M28" s="350"/>
      <c r="N28" s="350"/>
      <c r="O28" s="350"/>
      <c r="P28" s="350"/>
      <c r="Q28" s="373" t="s">
        <v>169</v>
      </c>
      <c r="R28" s="350">
        <f>D109</f>
        <v>6.3</v>
      </c>
      <c r="S28" s="350"/>
      <c r="T28" s="350"/>
      <c r="U28" s="350"/>
      <c r="V28" s="350"/>
      <c r="W28"/>
      <c r="X28"/>
      <c r="Y28"/>
    </row>
    <row r="29" spans="1:25" ht="15" customHeight="1" x14ac:dyDescent="0.25">
      <c r="A29"/>
      <c r="B29" s="505" t="s">
        <v>255</v>
      </c>
      <c r="C29" s="506"/>
      <c r="D29" s="506"/>
      <c r="E29" s="506"/>
      <c r="F29" s="506"/>
      <c r="G29" s="507"/>
      <c r="H29"/>
      <c r="I29"/>
      <c r="J29"/>
      <c r="K29"/>
      <c r="L29"/>
      <c r="M29" s="350"/>
      <c r="N29" s="350"/>
      <c r="O29" s="350"/>
      <c r="P29" s="350"/>
      <c r="Q29" s="350"/>
      <c r="R29" s="350"/>
      <c r="S29" s="350"/>
      <c r="T29" s="350"/>
      <c r="U29" s="350"/>
      <c r="V29" s="350"/>
      <c r="W29"/>
      <c r="X29"/>
      <c r="Y29"/>
    </row>
    <row r="30" spans="1:25" ht="15.75" customHeight="1" thickBot="1" x14ac:dyDescent="0.3">
      <c r="A30"/>
      <c r="B30" s="508"/>
      <c r="C30" s="509"/>
      <c r="D30" s="509"/>
      <c r="E30" s="509"/>
      <c r="F30" s="509"/>
      <c r="G30" s="510"/>
      <c r="H30"/>
      <c r="I30"/>
      <c r="J30"/>
      <c r="K30"/>
      <c r="L30"/>
      <c r="M30" s="350"/>
      <c r="N30" s="350"/>
      <c r="O30" s="350"/>
      <c r="P30" s="350"/>
      <c r="Q30" s="350"/>
      <c r="R30" s="350"/>
      <c r="S30" s="350"/>
      <c r="T30" s="350"/>
      <c r="U30" s="350"/>
      <c r="V30" s="350"/>
      <c r="W30"/>
      <c r="X30"/>
      <c r="Y30"/>
    </row>
    <row r="31" spans="1:25" ht="15.75" thickBot="1" x14ac:dyDescent="0.3">
      <c r="A31"/>
      <c r="B31"/>
      <c r="C31"/>
      <c r="D31"/>
      <c r="E31"/>
      <c r="F31"/>
      <c r="G31"/>
      <c r="H31"/>
      <c r="I31"/>
      <c r="J31"/>
      <c r="K31"/>
      <c r="L31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/>
      <c r="X31"/>
      <c r="Y31"/>
    </row>
    <row r="32" spans="1:25" ht="19.5" thickBot="1" x14ac:dyDescent="0.35">
      <c r="A32"/>
      <c r="B32" s="511" t="s">
        <v>128</v>
      </c>
      <c r="C32" s="512"/>
      <c r="D32"/>
      <c r="E32" s="513" t="s">
        <v>205</v>
      </c>
      <c r="F32" s="514"/>
      <c r="G32" s="281">
        <f>C33/C35</f>
        <v>3.4258576424707345</v>
      </c>
      <c r="H32"/>
      <c r="I32"/>
      <c r="J32"/>
      <c r="K32"/>
      <c r="L32"/>
      <c r="M32" s="350"/>
      <c r="N32" s="350"/>
      <c r="O32" s="350"/>
      <c r="P32" s="350"/>
      <c r="Q32" s="350" t="s">
        <v>130</v>
      </c>
      <c r="R32" s="350">
        <f>(PI()*(E114/10)^2)/4</f>
        <v>0.31172453105244724</v>
      </c>
      <c r="S32" s="350"/>
      <c r="T32" s="350"/>
      <c r="U32" s="350"/>
      <c r="V32" s="350"/>
      <c r="W32"/>
      <c r="X32"/>
      <c r="Y32"/>
    </row>
    <row r="33" spans="1:25" ht="18.75" thickBot="1" x14ac:dyDescent="0.3">
      <c r="A33"/>
      <c r="B33" s="120" t="s">
        <v>167</v>
      </c>
      <c r="C33" s="277">
        <f>0.2*(IF('5 Estacas2'!H15="Estaca E1",'5 Estacas2'!AD37/SIN(RADIANS(54)),IF('5 Estacas2'!H15="Estaca E3",'5 Estacas2'!AD37/SIN(RADIANS(54)),IF('5 Estacas2'!H15="Estaca E2",'5 Estacas2'!AD37,IF('5 Estacas2'!H15="Estaca E4",SIN(RADIANS(54))*'5 Estacas2'!AD37,IF('5 Estacas2'!H15="Estaca E5",SIN(RADIANS(54))*'5 Estacas2'!AD37))))))</f>
        <v>119.16026582506905</v>
      </c>
      <c r="D33"/>
      <c r="E33"/>
      <c r="F33"/>
      <c r="G33"/>
      <c r="H33"/>
      <c r="I33"/>
      <c r="J33"/>
      <c r="K33"/>
      <c r="L33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/>
      <c r="X33"/>
      <c r="Y33"/>
    </row>
    <row r="34" spans="1:25" ht="15" customHeight="1" x14ac:dyDescent="0.25">
      <c r="A34"/>
      <c r="B34" s="121" t="s">
        <v>129</v>
      </c>
      <c r="C34" s="278">
        <v>4</v>
      </c>
      <c r="D34"/>
      <c r="E34" s="515" t="s">
        <v>131</v>
      </c>
      <c r="F34" s="516"/>
      <c r="G34" s="517"/>
      <c r="H34" s="34"/>
      <c r="I34"/>
      <c r="J34"/>
      <c r="K34"/>
      <c r="L34"/>
      <c r="M34" s="350"/>
      <c r="N34" s="350"/>
      <c r="O34" s="350"/>
      <c r="P34" s="375" t="s">
        <v>256</v>
      </c>
      <c r="Q34" s="350" t="s">
        <v>135</v>
      </c>
      <c r="R34" s="350">
        <f>G38-1</f>
        <v>10</v>
      </c>
      <c r="S34" s="350"/>
      <c r="T34" s="350"/>
      <c r="U34" s="350"/>
      <c r="V34" s="350"/>
      <c r="W34"/>
      <c r="X34"/>
      <c r="Y34"/>
    </row>
    <row r="35" spans="1:25" ht="18" x14ac:dyDescent="0.25">
      <c r="A35"/>
      <c r="B35" s="121" t="s">
        <v>200</v>
      </c>
      <c r="C35" s="279">
        <f>(50/Entradas2!C18)*0.8</f>
        <v>34.782608695652179</v>
      </c>
      <c r="D35"/>
      <c r="E35" s="518"/>
      <c r="F35" s="519"/>
      <c r="G35" s="520"/>
      <c r="H35" s="237"/>
      <c r="I35"/>
      <c r="J35"/>
      <c r="K35"/>
      <c r="L35"/>
      <c r="M35" s="350" t="s">
        <v>229</v>
      </c>
      <c r="N35" s="350">
        <f>(('5 Estacas2'!I7+'5 Estacas2'!I5)-(G38*E114/10))/R34</f>
        <v>7.3569999999999993</v>
      </c>
      <c r="O35" s="350"/>
      <c r="P35" s="350"/>
      <c r="Q35" s="350" t="s">
        <v>133</v>
      </c>
      <c r="R35" s="350">
        <f>G32/R32</f>
        <v>10.990016188024478</v>
      </c>
      <c r="S35" s="350"/>
      <c r="T35" s="350"/>
      <c r="U35" s="350"/>
      <c r="V35" s="350"/>
      <c r="W35"/>
      <c r="X35"/>
      <c r="Y35"/>
    </row>
    <row r="36" spans="1:25" ht="15.75" thickBot="1" x14ac:dyDescent="0.3">
      <c r="A36"/>
      <c r="B36" s="122" t="s">
        <v>136</v>
      </c>
      <c r="C36" s="280">
        <f>Entradas2!C22</f>
        <v>23</v>
      </c>
      <c r="D36"/>
      <c r="E36" s="284"/>
      <c r="F36" s="285"/>
      <c r="G36" s="286"/>
      <c r="H36" s="237"/>
      <c r="I36"/>
      <c r="J36"/>
      <c r="K36"/>
      <c r="L36"/>
      <c r="M36" s="350"/>
      <c r="N36" s="350"/>
      <c r="O36" s="350"/>
      <c r="P36" s="350"/>
      <c r="Q36" s="350" t="s">
        <v>137</v>
      </c>
      <c r="R36" s="350">
        <v>20</v>
      </c>
      <c r="S36" s="350"/>
      <c r="T36" s="350"/>
      <c r="U36" s="350"/>
      <c r="V36" s="350"/>
      <c r="W36"/>
      <c r="X36"/>
      <c r="Y36"/>
    </row>
    <row r="37" spans="1:25" ht="15" customHeight="1" thickBot="1" x14ac:dyDescent="0.3">
      <c r="A37"/>
      <c r="B37"/>
      <c r="C37"/>
      <c r="D37"/>
      <c r="E37" s="34"/>
      <c r="F37" s="34"/>
      <c r="G37" s="34"/>
      <c r="H37" s="34"/>
      <c r="I37"/>
      <c r="J37"/>
      <c r="K37"/>
      <c r="L37"/>
      <c r="M37" s="350"/>
      <c r="N37" s="350">
        <f>1.2*19/10</f>
        <v>2.2800000000000002</v>
      </c>
      <c r="O37" s="350"/>
      <c r="P37" s="350"/>
      <c r="Q37" s="350"/>
      <c r="R37" s="350">
        <f>1.2*19</f>
        <v>22.8</v>
      </c>
      <c r="S37" s="350"/>
      <c r="T37" s="350"/>
      <c r="U37" s="350"/>
      <c r="V37" s="350"/>
      <c r="W37"/>
      <c r="X37"/>
      <c r="Y37"/>
    </row>
    <row r="38" spans="1:25" ht="15.75" customHeight="1" thickBot="1" x14ac:dyDescent="0.3">
      <c r="A38"/>
      <c r="B38" s="521" t="s">
        <v>214</v>
      </c>
      <c r="C38" s="465"/>
      <c r="D38"/>
      <c r="E38" s="489" t="s">
        <v>134</v>
      </c>
      <c r="F38" s="491"/>
      <c r="G38" s="282">
        <f>ROUNDUP(R35,0)</f>
        <v>11</v>
      </c>
      <c r="H38"/>
      <c r="I38"/>
      <c r="J38"/>
      <c r="K38"/>
      <c r="L38"/>
      <c r="M38" s="350"/>
      <c r="N38" s="350">
        <f>E114/10</f>
        <v>0.63</v>
      </c>
      <c r="O38" s="350"/>
      <c r="P38" s="350"/>
      <c r="Q38" s="350"/>
      <c r="R38" s="350">
        <f>E114</f>
        <v>6.3</v>
      </c>
      <c r="S38" s="350"/>
      <c r="T38" s="350"/>
      <c r="U38" s="350"/>
      <c r="V38" s="350"/>
      <c r="W38"/>
      <c r="X38"/>
      <c r="Y38"/>
    </row>
    <row r="39" spans="1:25" ht="15.75" customHeight="1" thickBot="1" x14ac:dyDescent="0.3">
      <c r="A39"/>
      <c r="B39" s="122" t="s">
        <v>204</v>
      </c>
      <c r="C39" s="280">
        <v>0.7</v>
      </c>
      <c r="D39"/>
      <c r="E39" s="541" t="s">
        <v>139</v>
      </c>
      <c r="F39" s="542"/>
      <c r="G39" s="636">
        <f>M39</f>
        <v>7.3569999999999993</v>
      </c>
      <c r="H39"/>
      <c r="I39"/>
      <c r="J39"/>
      <c r="K39"/>
      <c r="L39"/>
      <c r="M39" s="350">
        <f>LARGE(N35:N38,1)</f>
        <v>7.3569999999999993</v>
      </c>
      <c r="N39" s="350"/>
      <c r="O39" s="350"/>
      <c r="P39" s="350"/>
      <c r="Q39" s="350" t="s">
        <v>138</v>
      </c>
      <c r="R39" s="350">
        <f>(LARGE(R36:R38,1))/10</f>
        <v>2.2800000000000002</v>
      </c>
      <c r="S39" s="350"/>
      <c r="T39" s="350"/>
      <c r="U39" s="350"/>
      <c r="V39" s="350"/>
      <c r="W39"/>
      <c r="X39"/>
      <c r="Y39"/>
    </row>
    <row r="40" spans="1:25" ht="15.75" thickBot="1" x14ac:dyDescent="0.3">
      <c r="A40"/>
      <c r="B40"/>
      <c r="C40"/>
      <c r="D40"/>
      <c r="E40" s="531"/>
      <c r="F40" s="532"/>
      <c r="G40" s="637"/>
      <c r="H40"/>
      <c r="I40"/>
      <c r="J40"/>
      <c r="K40"/>
      <c r="L40"/>
      <c r="M40" s="350"/>
      <c r="N40" s="350"/>
      <c r="O40" s="350"/>
      <c r="P40" s="350"/>
      <c r="Q40" s="350" t="s">
        <v>140</v>
      </c>
      <c r="R40" s="350">
        <f>((C36)-G38*(E114/10))/R34</f>
        <v>1.607</v>
      </c>
      <c r="S40" s="350"/>
      <c r="T40" s="350"/>
      <c r="U40" s="350"/>
      <c r="V40" s="350"/>
      <c r="W40"/>
      <c r="X40"/>
      <c r="Y40"/>
    </row>
    <row r="41" spans="1:25" ht="15.75" thickBot="1" x14ac:dyDescent="0.3">
      <c r="A41"/>
      <c r="B41" s="521" t="s">
        <v>215</v>
      </c>
      <c r="C41" s="465"/>
      <c r="D41"/>
      <c r="E41"/>
      <c r="F41"/>
      <c r="G41"/>
      <c r="H41"/>
      <c r="I41"/>
      <c r="J41"/>
      <c r="K41"/>
      <c r="L41"/>
      <c r="M41" s="350"/>
      <c r="N41" s="350"/>
      <c r="O41" s="350"/>
      <c r="P41" s="350"/>
      <c r="Q41" s="350"/>
      <c r="R41" s="350"/>
      <c r="S41" s="350"/>
      <c r="T41" s="350"/>
      <c r="U41" s="350"/>
      <c r="V41" s="350"/>
      <c r="W41"/>
      <c r="X41"/>
      <c r="Y41"/>
    </row>
    <row r="42" spans="1:25" ht="15" customHeight="1" thickBot="1" x14ac:dyDescent="0.3">
      <c r="A42"/>
      <c r="B42" s="122" t="s">
        <v>201</v>
      </c>
      <c r="C42" s="280">
        <v>2.25</v>
      </c>
      <c r="D42"/>
      <c r="E42" s="535" t="s">
        <v>141</v>
      </c>
      <c r="F42" s="536"/>
      <c r="G42" s="537"/>
      <c r="H42" s="489" t="s">
        <v>210</v>
      </c>
      <c r="I42" s="490"/>
      <c r="J42" s="491"/>
      <c r="K42"/>
      <c r="L42"/>
      <c r="M42" s="350"/>
      <c r="N42" s="350"/>
      <c r="O42" s="350"/>
      <c r="P42" s="350"/>
      <c r="Q42" s="350" t="s">
        <v>149</v>
      </c>
      <c r="R42" s="350">
        <f>G38*R32</f>
        <v>3.4289698415769196</v>
      </c>
      <c r="S42" s="350"/>
      <c r="T42" s="350"/>
      <c r="U42" s="350"/>
      <c r="V42" s="350"/>
      <c r="W42"/>
      <c r="X42"/>
      <c r="Y42"/>
    </row>
    <row r="43" spans="1:25" ht="15.75" thickBot="1" x14ac:dyDescent="0.3">
      <c r="A43"/>
      <c r="B43"/>
      <c r="C43"/>
      <c r="D43"/>
      <c r="E43" s="626" t="s">
        <v>143</v>
      </c>
      <c r="F43" s="627"/>
      <c r="G43" s="141">
        <f>'5 Estacas1'!L6*0.87-C34+(C36/2)</f>
        <v>30.555</v>
      </c>
      <c r="H43" s="494" t="str">
        <f>IF(G44&lt;=G43,"Verificação Atendida","Aumentar o Diâmetro da Barra ou fck do Concreto")</f>
        <v>Verificação Atendida</v>
      </c>
      <c r="I43" s="495"/>
      <c r="J43" s="496"/>
      <c r="K43" s="276"/>
      <c r="L43"/>
      <c r="M43" s="350"/>
      <c r="N43" s="350"/>
      <c r="O43" s="350"/>
      <c r="P43" s="350"/>
      <c r="Q43" s="350"/>
      <c r="R43" s="350"/>
      <c r="S43" s="350"/>
      <c r="T43" s="350"/>
      <c r="U43" s="350"/>
      <c r="V43" s="350"/>
      <c r="W43"/>
      <c r="X43"/>
      <c r="Y43"/>
    </row>
    <row r="44" spans="1:25" ht="15.75" thickBot="1" x14ac:dyDescent="0.3">
      <c r="A44"/>
      <c r="B44" s="521" t="s">
        <v>216</v>
      </c>
      <c r="C44" s="465"/>
      <c r="D44"/>
      <c r="E44" s="630" t="s">
        <v>142</v>
      </c>
      <c r="F44" s="631"/>
      <c r="G44" s="142">
        <f>C39*R49*G32/R42</f>
        <v>13.277386975068053</v>
      </c>
      <c r="H44" s="497"/>
      <c r="I44" s="498"/>
      <c r="J44" s="499"/>
      <c r="K44" s="276"/>
      <c r="L44"/>
      <c r="M44" s="350"/>
      <c r="N44" s="350"/>
      <c r="O44" s="350"/>
      <c r="P44" s="350"/>
      <c r="Q44" s="350" t="s">
        <v>144</v>
      </c>
      <c r="R44" s="350">
        <f>0.3*0.7*Entradas2!C13^(2/3)</f>
        <v>1.795474744010531</v>
      </c>
      <c r="S44" s="350"/>
      <c r="T44" s="350"/>
      <c r="U44" s="350"/>
      <c r="V44" s="350"/>
      <c r="W44"/>
      <c r="X44"/>
      <c r="Y44"/>
    </row>
    <row r="45" spans="1:25" ht="18.75" thickBot="1" x14ac:dyDescent="0.3">
      <c r="A45"/>
      <c r="B45" s="122" t="s">
        <v>202</v>
      </c>
      <c r="C45" s="280">
        <v>1</v>
      </c>
      <c r="D45"/>
      <c r="E45" s="623" t="s">
        <v>180</v>
      </c>
      <c r="F45" s="624"/>
      <c r="G45" s="625"/>
      <c r="H45" s="2"/>
      <c r="I45" s="2"/>
      <c r="J45" s="2"/>
      <c r="K45"/>
      <c r="L45"/>
      <c r="M45" s="350"/>
      <c r="N45" s="350"/>
      <c r="O45" s="350"/>
      <c r="P45" s="350"/>
      <c r="Q45" s="350" t="s">
        <v>145</v>
      </c>
      <c r="R45" s="350">
        <f>R44/Entradas2!C17</f>
        <v>1.2824819600075221</v>
      </c>
      <c r="S45" s="350"/>
      <c r="T45" s="350"/>
      <c r="U45" s="350"/>
      <c r="V45" s="350"/>
      <c r="W45"/>
      <c r="X45"/>
      <c r="Y45"/>
    </row>
    <row r="46" spans="1:25" ht="15.75" thickBot="1" x14ac:dyDescent="0.3">
      <c r="A46"/>
      <c r="B46"/>
      <c r="C46"/>
      <c r="D46"/>
      <c r="E46" s="143"/>
      <c r="F46" s="626" t="s">
        <v>181</v>
      </c>
      <c r="G46" s="627"/>
      <c r="H46" s="2"/>
      <c r="I46" s="2"/>
      <c r="J46" s="2"/>
      <c r="K46"/>
      <c r="L46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/>
      <c r="X46"/>
      <c r="Y46"/>
    </row>
    <row r="47" spans="1:25" ht="15.75" customHeight="1" thickBot="1" x14ac:dyDescent="0.3">
      <c r="A47"/>
      <c r="B47" s="521" t="s">
        <v>217</v>
      </c>
      <c r="C47" s="465"/>
      <c r="D47"/>
      <c r="E47" s="144"/>
      <c r="F47" s="630" t="s">
        <v>182</v>
      </c>
      <c r="G47" s="631"/>
      <c r="H47" s="2"/>
      <c r="I47" s="2"/>
      <c r="J47" s="2"/>
      <c r="K47"/>
      <c r="L47"/>
      <c r="M47" s="350"/>
      <c r="N47" s="350"/>
      <c r="O47" s="350"/>
      <c r="P47" s="350"/>
      <c r="Q47" s="350" t="s">
        <v>146</v>
      </c>
      <c r="R47" s="350">
        <f>C42*C45*C48*R45</f>
        <v>2.885584410016925</v>
      </c>
      <c r="S47" s="350"/>
      <c r="T47" s="350" t="s">
        <v>147</v>
      </c>
      <c r="U47" s="350">
        <f>R47/10</f>
        <v>0.28855844100169248</v>
      </c>
      <c r="V47" s="350"/>
      <c r="W47"/>
      <c r="X47"/>
      <c r="Y47"/>
    </row>
    <row r="48" spans="1:25" ht="18.75" thickBot="1" x14ac:dyDescent="0.3">
      <c r="A48"/>
      <c r="B48" s="122" t="s">
        <v>203</v>
      </c>
      <c r="C48" s="280">
        <v>1</v>
      </c>
      <c r="D48"/>
      <c r="E48"/>
      <c r="F48"/>
      <c r="G48"/>
      <c r="H48"/>
      <c r="I48"/>
      <c r="J48"/>
      <c r="K48"/>
      <c r="L48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/>
      <c r="X48"/>
      <c r="Y48"/>
    </row>
    <row r="49" spans="1:25" ht="15" customHeight="1" x14ac:dyDescent="0.25">
      <c r="A49"/>
      <c r="B49"/>
      <c r="C49"/>
      <c r="D49"/>
      <c r="E49" s="515" t="s">
        <v>150</v>
      </c>
      <c r="F49" s="517"/>
      <c r="G49" s="632">
        <f>IF(E114=20,8*E114,5*E114)</f>
        <v>31.5</v>
      </c>
      <c r="H49"/>
      <c r="I49"/>
      <c r="J49"/>
      <c r="K49"/>
      <c r="L49"/>
      <c r="M49" s="350"/>
      <c r="N49" s="350"/>
      <c r="O49" s="350"/>
      <c r="P49" s="350"/>
      <c r="Q49" s="350" t="s">
        <v>148</v>
      </c>
      <c r="R49" s="350">
        <f>(E114/10)*(C35/U47)/4</f>
        <v>18.984926764048765</v>
      </c>
      <c r="S49" s="350"/>
      <c r="T49" s="350"/>
      <c r="U49" s="350"/>
      <c r="V49" s="350"/>
      <c r="W49"/>
      <c r="X49"/>
      <c r="Y49"/>
    </row>
    <row r="50" spans="1:25" ht="15.75" thickBot="1" x14ac:dyDescent="0.3">
      <c r="A50"/>
      <c r="B50" s="103"/>
      <c r="C50"/>
      <c r="D50"/>
      <c r="E50" s="525"/>
      <c r="F50" s="526"/>
      <c r="G50" s="633"/>
      <c r="H50"/>
      <c r="I50"/>
      <c r="J50"/>
      <c r="K50"/>
      <c r="L5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/>
      <c r="X50"/>
      <c r="Y50"/>
    </row>
    <row r="51" spans="1:25" ht="15" customHeight="1" x14ac:dyDescent="0.25">
      <c r="A51"/>
      <c r="B51"/>
      <c r="C51"/>
      <c r="D51"/>
      <c r="E51" s="541" t="s">
        <v>151</v>
      </c>
      <c r="F51" s="542"/>
      <c r="G51" s="634" t="s">
        <v>235</v>
      </c>
      <c r="H51"/>
      <c r="I51"/>
      <c r="J51"/>
      <c r="K51"/>
      <c r="L51"/>
      <c r="M51" s="350"/>
      <c r="N51" s="350"/>
      <c r="O51" s="350"/>
      <c r="P51" s="350"/>
      <c r="Q51" s="350" t="s">
        <v>152</v>
      </c>
      <c r="R51" s="350">
        <f>'6 Estacas'!L7+2*('6 Estacas'!L6-C34-(G49/10)/2+PI()*(G49/10)/4+10*(E114/10))</f>
        <v>116.89800842940392</v>
      </c>
      <c r="S51" s="350"/>
      <c r="T51" s="350"/>
      <c r="U51" s="350"/>
      <c r="V51" s="350"/>
      <c r="W51"/>
      <c r="X51"/>
      <c r="Y51"/>
    </row>
    <row r="52" spans="1:25" ht="15.75" thickBot="1" x14ac:dyDescent="0.3">
      <c r="A52"/>
      <c r="B52"/>
      <c r="C52"/>
      <c r="D52"/>
      <c r="E52" s="531"/>
      <c r="F52" s="532"/>
      <c r="G52" s="635"/>
      <c r="H52" s="111"/>
      <c r="I52"/>
      <c r="J52"/>
      <c r="K52"/>
      <c r="L52"/>
      <c r="M52" s="350"/>
      <c r="N52" s="350"/>
      <c r="O52" s="350"/>
      <c r="P52" s="350"/>
      <c r="Q52" s="350" t="s">
        <v>153</v>
      </c>
      <c r="R52" s="350">
        <f>'6 Estacas'!L7+2*('6 Estacas'!L6-C34-(G49/10)/2+PI()*(G49/10)/2+2*(E114/10))</f>
        <v>111.76601685880786</v>
      </c>
      <c r="S52" s="350"/>
      <c r="T52" s="350"/>
      <c r="U52" s="350"/>
      <c r="V52" s="350"/>
      <c r="W52"/>
      <c r="X52"/>
      <c r="Y52"/>
    </row>
    <row r="53" spans="1:25" x14ac:dyDescent="0.25">
      <c r="A53"/>
      <c r="B53"/>
      <c r="C53"/>
      <c r="D53"/>
      <c r="E53"/>
      <c r="F53"/>
      <c r="G53"/>
      <c r="H53"/>
      <c r="I53"/>
      <c r="J53"/>
      <c r="K53"/>
      <c r="L53"/>
      <c r="M53" s="350"/>
      <c r="N53" s="350"/>
      <c r="O53" s="350"/>
      <c r="P53" s="350"/>
      <c r="Q53" s="350"/>
      <c r="R53" s="350"/>
      <c r="S53" s="350"/>
      <c r="T53" s="350"/>
      <c r="U53" s="350"/>
      <c r="V53" s="350"/>
      <c r="W53"/>
      <c r="X53"/>
      <c r="Y53"/>
    </row>
    <row r="54" spans="1:25" x14ac:dyDescent="0.25">
      <c r="A54"/>
      <c r="B54"/>
      <c r="C54"/>
      <c r="D54"/>
      <c r="E54"/>
      <c r="F54"/>
      <c r="G54"/>
      <c r="H54"/>
      <c r="I54"/>
      <c r="J54"/>
      <c r="K54"/>
      <c r="L54"/>
      <c r="M54" s="350"/>
      <c r="N54" s="350"/>
      <c r="O54" s="350"/>
      <c r="P54" s="350"/>
      <c r="Q54" s="350"/>
      <c r="R54" s="350"/>
      <c r="S54" s="350"/>
      <c r="T54" s="350"/>
      <c r="U54" s="350"/>
      <c r="V54" s="350"/>
      <c r="W54"/>
      <c r="X54"/>
      <c r="Y54"/>
    </row>
    <row r="55" spans="1:25" x14ac:dyDescent="0.25">
      <c r="A55"/>
      <c r="B55"/>
      <c r="C55"/>
      <c r="D55"/>
      <c r="E55"/>
      <c r="F55"/>
      <c r="G55"/>
      <c r="H55"/>
      <c r="I55"/>
      <c r="J55"/>
      <c r="K55"/>
      <c r="L55"/>
      <c r="M55" s="350"/>
      <c r="N55" s="350"/>
      <c r="O55" s="350"/>
      <c r="P55" s="350"/>
      <c r="Q55" s="350" t="s">
        <v>168</v>
      </c>
      <c r="R55" s="350">
        <f>2*E114/10</f>
        <v>1.26</v>
      </c>
      <c r="S55" s="350"/>
      <c r="T55" s="350"/>
      <c r="U55" s="350"/>
      <c r="V55" s="350"/>
      <c r="W55"/>
      <c r="X55"/>
      <c r="Y55"/>
    </row>
    <row r="56" spans="1:25" x14ac:dyDescent="0.25">
      <c r="A56"/>
      <c r="B56"/>
      <c r="C56"/>
      <c r="D56"/>
      <c r="E56"/>
      <c r="F56"/>
      <c r="G56"/>
      <c r="H56"/>
      <c r="I56"/>
      <c r="J56"/>
      <c r="K56"/>
      <c r="L56"/>
      <c r="M56" s="350"/>
      <c r="N56" s="350"/>
      <c r="O56" s="350"/>
      <c r="P56" s="350"/>
      <c r="Q56" s="373" t="s">
        <v>169</v>
      </c>
      <c r="R56" s="350">
        <f>E114</f>
        <v>6.3</v>
      </c>
      <c r="S56" s="350"/>
      <c r="T56" s="350"/>
      <c r="U56" s="350"/>
      <c r="V56" s="350"/>
      <c r="W56"/>
      <c r="X56"/>
      <c r="Y56"/>
    </row>
    <row r="57" spans="1:25" ht="1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/>
      <c r="X57"/>
      <c r="Y57"/>
    </row>
    <row r="58" spans="1:25" x14ac:dyDescent="0.25">
      <c r="A58"/>
      <c r="F58"/>
      <c r="G58"/>
      <c r="H58"/>
      <c r="I58"/>
      <c r="J58"/>
      <c r="K58"/>
      <c r="L58"/>
      <c r="M58" s="350"/>
      <c r="N58" s="350"/>
      <c r="O58" s="350"/>
      <c r="P58" s="350"/>
      <c r="Q58" s="350" t="s">
        <v>227</v>
      </c>
      <c r="R58" s="350"/>
      <c r="S58" s="350"/>
      <c r="T58" s="350"/>
      <c r="U58" s="350"/>
      <c r="V58" s="350"/>
      <c r="W58"/>
      <c r="X58"/>
      <c r="Y58"/>
    </row>
    <row r="59" spans="1:25" ht="15" customHeight="1" x14ac:dyDescent="0.25">
      <c r="A59"/>
      <c r="F59"/>
      <c r="G59"/>
      <c r="H59"/>
      <c r="I59"/>
      <c r="J59"/>
      <c r="K59"/>
      <c r="L59"/>
      <c r="M59" s="350"/>
      <c r="N59" s="350"/>
      <c r="O59" s="350"/>
      <c r="P59" s="350"/>
      <c r="Q59" s="350"/>
      <c r="R59" s="350"/>
      <c r="S59" s="350"/>
      <c r="T59" s="350"/>
      <c r="U59" s="350"/>
      <c r="V59" s="350"/>
      <c r="W59"/>
      <c r="X59"/>
      <c r="Y59"/>
    </row>
    <row r="60" spans="1:25" x14ac:dyDescent="0.25">
      <c r="A60"/>
      <c r="F60"/>
      <c r="G60"/>
      <c r="H60"/>
      <c r="I60"/>
      <c r="J60"/>
      <c r="K60"/>
      <c r="L60"/>
      <c r="M60" s="350"/>
      <c r="N60" s="350"/>
      <c r="O60" s="350"/>
      <c r="P60" s="350"/>
      <c r="Q60" s="350"/>
      <c r="R60" s="350"/>
      <c r="S60" s="350"/>
      <c r="T60" s="350"/>
      <c r="U60" s="350"/>
      <c r="V60" s="350"/>
      <c r="W60"/>
      <c r="X60"/>
      <c r="Y60"/>
    </row>
    <row r="61" spans="1:25" x14ac:dyDescent="0.25">
      <c r="A61"/>
      <c r="B61" s="126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x14ac:dyDescent="0.25">
      <c r="A62"/>
      <c r="B62" s="126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ht="18" x14ac:dyDescent="0.35">
      <c r="A63"/>
      <c r="B63" s="126"/>
      <c r="C63"/>
      <c r="D63"/>
      <c r="E63"/>
      <c r="F63"/>
      <c r="G63"/>
      <c r="H63"/>
      <c r="I63" s="190" t="s">
        <v>213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x14ac:dyDescent="0.25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x14ac:dyDescent="0.25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x14ac:dyDescent="0.25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x14ac:dyDescent="0.25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x14ac:dyDescent="0.25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x14ac:dyDescent="0.25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x14ac:dyDescent="0.25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x14ac:dyDescent="0.25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25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25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25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25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25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 s="381"/>
      <c r="B104" s="390"/>
      <c r="C104" s="381"/>
      <c r="D104" s="381"/>
      <c r="E104" s="381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 s="381"/>
      <c r="B105" s="381"/>
      <c r="C105" s="381"/>
      <c r="D105" s="381"/>
      <c r="E105" s="381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 s="381"/>
      <c r="B106" s="388">
        <v>2</v>
      </c>
      <c r="C106" s="388"/>
      <c r="D106" s="388"/>
      <c r="E106" s="388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 s="381"/>
      <c r="B107" s="388">
        <v>5</v>
      </c>
      <c r="C107" s="388"/>
      <c r="D107" s="388"/>
      <c r="E107" s="388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 s="381"/>
      <c r="B108" s="388">
        <v>6.3</v>
      </c>
      <c r="C108" s="388"/>
      <c r="D108" s="388"/>
      <c r="E108" s="38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 s="381"/>
      <c r="B109" s="388"/>
      <c r="C109" s="385" t="s">
        <v>132</v>
      </c>
      <c r="D109" s="385">
        <f>IF(B106=1,B107,IF(B106=2,B108))</f>
        <v>6.3</v>
      </c>
      <c r="E109" s="385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 s="381"/>
      <c r="B110" s="388"/>
      <c r="C110" s="385"/>
      <c r="D110" s="385"/>
      <c r="E110" s="385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 s="381"/>
      <c r="B111" s="388"/>
      <c r="C111" s="385"/>
      <c r="D111" s="385"/>
      <c r="E111" s="385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 s="381"/>
      <c r="B112" s="388"/>
      <c r="C112" s="385"/>
      <c r="D112" s="385"/>
      <c r="E112" s="385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 s="381"/>
      <c r="B113" s="388">
        <v>2</v>
      </c>
      <c r="C113" s="385"/>
      <c r="D113" s="385"/>
      <c r="E113" s="385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 s="381"/>
      <c r="B114" s="389">
        <v>5</v>
      </c>
      <c r="C114" s="385"/>
      <c r="D114" s="385" t="s">
        <v>132</v>
      </c>
      <c r="E114" s="385">
        <f>IF(B113=1,B114,IF(2,B115))</f>
        <v>6.3</v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 s="381"/>
      <c r="B115" s="389">
        <v>6.3</v>
      </c>
      <c r="C115" s="385"/>
      <c r="D115" s="385"/>
      <c r="E115" s="38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 s="381"/>
      <c r="B116" s="381"/>
      <c r="C116" s="381"/>
      <c r="D116" s="381"/>
      <c r="E116" s="381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 s="381"/>
      <c r="B117" s="381"/>
      <c r="C117" s="381"/>
      <c r="D117" s="381"/>
      <c r="E117" s="381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</sheetData>
  <sheetProtection password="DED7" sheet="1" objects="1" scenarios="1"/>
  <mergeCells count="47">
    <mergeCell ref="B47:C47"/>
    <mergeCell ref="F47:G47"/>
    <mergeCell ref="E49:F50"/>
    <mergeCell ref="G49:G50"/>
    <mergeCell ref="E51:F52"/>
    <mergeCell ref="G51:G52"/>
    <mergeCell ref="H42:J42"/>
    <mergeCell ref="E43:F43"/>
    <mergeCell ref="H43:J44"/>
    <mergeCell ref="F46:G46"/>
    <mergeCell ref="B44:C44"/>
    <mergeCell ref="E44:F44"/>
    <mergeCell ref="E45:G45"/>
    <mergeCell ref="E42:G42"/>
    <mergeCell ref="B38:C38"/>
    <mergeCell ref="E38:F38"/>
    <mergeCell ref="E39:F40"/>
    <mergeCell ref="G39:G40"/>
    <mergeCell ref="B41:C41"/>
    <mergeCell ref="E34:G35"/>
    <mergeCell ref="E17:G17"/>
    <mergeCell ref="F18:G18"/>
    <mergeCell ref="B19:C19"/>
    <mergeCell ref="F19:G19"/>
    <mergeCell ref="E21:F22"/>
    <mergeCell ref="G21:G22"/>
    <mergeCell ref="E23:F24"/>
    <mergeCell ref="G23:G24"/>
    <mergeCell ref="B29:G30"/>
    <mergeCell ref="B32:C32"/>
    <mergeCell ref="E32:F32"/>
    <mergeCell ref="E15:F15"/>
    <mergeCell ref="H15:J16"/>
    <mergeCell ref="B16:C16"/>
    <mergeCell ref="E16:F16"/>
    <mergeCell ref="B1:G2"/>
    <mergeCell ref="E11:F12"/>
    <mergeCell ref="G11:G12"/>
    <mergeCell ref="B13:C13"/>
    <mergeCell ref="E14:G14"/>
    <mergeCell ref="H14:J14"/>
    <mergeCell ref="M3:N3"/>
    <mergeCell ref="B4:C4"/>
    <mergeCell ref="E4:F4"/>
    <mergeCell ref="E6:G7"/>
    <mergeCell ref="B10:C10"/>
    <mergeCell ref="E10:F10"/>
  </mergeCells>
  <conditionalFormatting sqref="E15:E16 G15:G16 E43:E44 G43:G44">
    <cfRule type="expression" dxfId="15" priority="3">
      <formula>$G$16&gt;$G$15</formula>
    </cfRule>
    <cfRule type="expression" dxfId="14" priority="4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7" r:id="rId3" name="Drop Down 1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8" r:id="rId4" name="Drop Down 2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99" r:id="rId5" name="Drop Down 3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1" r:id="rId6" name="Button 5">
              <controlPr defaultSize="0" print="0" autoFill="0" autoPict="0" macro="[0]!Macro127">
                <anchor moveWithCells="1" sizeWithCells="1">
                  <from>
                    <xdr:col>7</xdr:col>
                    <xdr:colOff>400050</xdr:colOff>
                    <xdr:row>47</xdr:row>
                    <xdr:rowOff>0</xdr:rowOff>
                  </from>
                  <to>
                    <xdr:col>9</xdr:col>
                    <xdr:colOff>590550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2" r:id="rId7" name="Drop Down 6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3" r:id="rId8" name="Drop Down 7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4" r:id="rId9" name="Drop Down 8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05" r:id="rId10" name="Button 9">
              <controlPr defaultSize="0" print="0" autoFill="0" autoPict="0" macro="[0]!relat5estacas">
                <anchor moveWithCells="1" sizeWithCells="1">
                  <from>
                    <xdr:col>7</xdr:col>
                    <xdr:colOff>400050</xdr:colOff>
                    <xdr:row>49</xdr:row>
                    <xdr:rowOff>142875</xdr:rowOff>
                  </from>
                  <to>
                    <xdr:col>9</xdr:col>
                    <xdr:colOff>590550</xdr:colOff>
                    <xdr:row>51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68"/>
  <sheetViews>
    <sheetView showGridLines="0" showRowColHeaders="0" zoomScale="85" zoomScaleNormal="85" workbookViewId="0"/>
  </sheetViews>
  <sheetFormatPr defaultRowHeight="15" x14ac:dyDescent="0.25"/>
  <cols>
    <col min="1" max="1" width="2.5703125" customWidth="1"/>
    <col min="2" max="2" width="5.85546875" customWidth="1"/>
    <col min="3" max="3" width="9.42578125" customWidth="1"/>
    <col min="4" max="4" width="10.140625" customWidth="1"/>
    <col min="6" max="6" width="13.28515625" customWidth="1"/>
    <col min="7" max="7" width="12.7109375" customWidth="1"/>
    <col min="8" max="8" width="10.28515625" customWidth="1"/>
    <col min="9" max="9" width="2.7109375" customWidth="1"/>
    <col min="10" max="10" width="9.5703125" customWidth="1"/>
    <col min="14" max="14" width="7.140625" customWidth="1"/>
    <col min="15" max="15" width="9.140625" customWidth="1"/>
    <col min="16" max="16" width="10.28515625" customWidth="1"/>
    <col min="17" max="17" width="4.85546875" customWidth="1"/>
    <col min="18" max="18" width="4.5703125" customWidth="1"/>
    <col min="19" max="19" width="32.5703125" bestFit="1" customWidth="1"/>
    <col min="20" max="20" width="10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113" t="s">
        <v>184</v>
      </c>
      <c r="T4" s="117" t="str">
        <f>'5 Estacas2'!H15</f>
        <v>Estaca E5</v>
      </c>
      <c r="U4" s="332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'5 Estacas2'!J15</f>
        <v>511.42426658586936</v>
      </c>
      <c r="U5" s="332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'5 Estacas2'!P9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'5 Estacas2'!P8</f>
        <v>35450.981644998181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'5 Estacas2'!P10</f>
        <v>11783.215102138431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'5 Estacas2'!P11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'5 Estacas2'!P12</f>
        <v>5306.238755889899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'5 Estacas2'!P12</f>
        <v>5306.238755889899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'5 Estacas2'!AD37</f>
        <v>736.45094388365192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'5 Estacas2'!P6</f>
        <v>0.5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'5 Estacas2'!P7</f>
        <v>0.6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'5 Estacas2'!I6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183"/>
      <c r="J16" s="183"/>
      <c r="K16" s="183"/>
      <c r="L16" s="183"/>
      <c r="M16" s="183"/>
      <c r="N16" s="183"/>
      <c r="O16" s="183"/>
      <c r="P16" s="183"/>
      <c r="Q16" s="183"/>
      <c r="R16" s="34"/>
      <c r="S16" s="114" t="s">
        <v>198</v>
      </c>
      <c r="T16" s="118">
        <f>'5 Estacas2'!I7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183"/>
      <c r="K17" s="183"/>
      <c r="L17" s="183"/>
      <c r="M17" s="183"/>
      <c r="N17" s="183"/>
      <c r="O17" s="183"/>
      <c r="P17" s="183"/>
      <c r="Q17" s="183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287"/>
      <c r="L18" s="34"/>
      <c r="M18" s="34"/>
      <c r="N18" s="34"/>
      <c r="O18" s="287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ht="22.5" customHeight="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((((1.453*(T15/100))+(T16/100)))^2)*1.25*(SQRT(3))*(T14)*1.05</f>
        <v>1.2571710456002152</v>
      </c>
      <c r="U19" s="276"/>
    </row>
    <row r="20" spans="1:21" ht="19.5" customHeight="1" x14ac:dyDescent="0.25">
      <c r="B20" s="41"/>
      <c r="C20" s="34"/>
      <c r="D20" s="34"/>
      <c r="E20" s="34"/>
      <c r="F20" s="34"/>
      <c r="G20" s="34"/>
      <c r="H20" s="34"/>
      <c r="I20" s="112"/>
      <c r="J20" s="560"/>
      <c r="K20" s="34"/>
      <c r="L20" s="34"/>
      <c r="M20" s="34"/>
      <c r="N20" s="34"/>
      <c r="O20" s="34"/>
      <c r="P20" s="560"/>
      <c r="Q20" s="287"/>
      <c r="R20" s="34"/>
      <c r="S20" s="114" t="s">
        <v>196</v>
      </c>
      <c r="T20" s="119" t="s">
        <v>197</v>
      </c>
      <c r="U20" s="276"/>
    </row>
    <row r="21" spans="1:21" ht="18" customHeight="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287"/>
      <c r="R21" s="34"/>
      <c r="S21" s="594" t="s">
        <v>279</v>
      </c>
      <c r="T21" s="595"/>
      <c r="U21" s="283"/>
    </row>
    <row r="22" spans="1:21" ht="17.25" customHeight="1" x14ac:dyDescent="0.25">
      <c r="B22" s="41"/>
      <c r="C22" s="34"/>
      <c r="D22" s="34"/>
      <c r="E22" s="34"/>
      <c r="F22" s="34"/>
      <c r="G22" s="34"/>
      <c r="H22" s="34"/>
      <c r="I22" s="112"/>
      <c r="J22" s="560"/>
      <c r="K22" s="34"/>
      <c r="L22" s="34"/>
      <c r="M22" s="34"/>
      <c r="N22" s="34"/>
      <c r="O22" s="34"/>
      <c r="P22" s="560"/>
      <c r="Q22" s="287"/>
      <c r="R22" s="34"/>
      <c r="S22" s="114" t="s">
        <v>190</v>
      </c>
      <c r="T22" s="119">
        <f>'5 Estacas2Arm.Medianas'!E102</f>
        <v>20</v>
      </c>
      <c r="U22" s="283"/>
    </row>
    <row r="23" spans="1:21" x14ac:dyDescent="0.25">
      <c r="B23" s="41"/>
      <c r="C23" s="34"/>
      <c r="D23" s="34"/>
      <c r="E23" s="34"/>
      <c r="F23" s="34"/>
      <c r="G23" s="34"/>
      <c r="H23" s="112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118">
        <f>'5 Estacas2Arm.Medianas'!G11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'5 Estacas2Arm.Medianas'!G21</f>
        <v>160</v>
      </c>
      <c r="U24" s="283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594" t="s">
        <v>265</v>
      </c>
      <c r="T25" s="595"/>
      <c r="U25" s="283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560"/>
      <c r="K26" s="287"/>
      <c r="L26" s="34"/>
      <c r="M26" s="34"/>
      <c r="N26" s="34"/>
      <c r="O26" s="287"/>
      <c r="P26" s="560"/>
      <c r="Q26" s="34"/>
      <c r="R26" s="34"/>
      <c r="S26" s="114" t="s">
        <v>190</v>
      </c>
      <c r="T26" s="119">
        <f>'5Est Med. Dist'!D109</f>
        <v>6.3</v>
      </c>
      <c r="U26" s="283"/>
    </row>
    <row r="27" spans="1:21" x14ac:dyDescent="0.25">
      <c r="B27" s="41"/>
      <c r="C27" s="34"/>
      <c r="D27" s="34"/>
      <c r="E27" s="34"/>
      <c r="F27" s="34"/>
      <c r="G27" s="34"/>
      <c r="H27" s="34"/>
      <c r="I27" s="34"/>
      <c r="J27" s="560"/>
      <c r="K27" s="34"/>
      <c r="L27" s="34"/>
      <c r="M27" s="34"/>
      <c r="N27" s="34"/>
      <c r="O27" s="34"/>
      <c r="P27" s="560"/>
      <c r="Q27" s="34"/>
      <c r="R27" s="34"/>
      <c r="S27" s="114" t="s">
        <v>206</v>
      </c>
      <c r="T27" s="118">
        <f>'5Est Med. Dist'!G11</f>
        <v>8.2927796271579588</v>
      </c>
      <c r="U27" s="283"/>
    </row>
    <row r="28" spans="1:21" ht="18.75" thickBot="1" x14ac:dyDescent="0.4">
      <c r="B28" s="41"/>
      <c r="C28" s="34"/>
      <c r="D28" s="34"/>
      <c r="E28" s="34"/>
      <c r="F28" s="34"/>
      <c r="G28" s="34"/>
      <c r="H28" s="34"/>
      <c r="J28" s="34"/>
      <c r="K28" s="34"/>
      <c r="L28" s="563"/>
      <c r="M28" s="563"/>
      <c r="N28" s="563"/>
      <c r="O28" s="34"/>
      <c r="P28" s="34"/>
      <c r="R28" s="34"/>
      <c r="S28" s="127" t="s">
        <v>207</v>
      </c>
      <c r="T28" s="128">
        <f>'5Est Med. Dist'!G21</f>
        <v>31.5</v>
      </c>
      <c r="U28" s="283"/>
    </row>
    <row r="29" spans="1:21" x14ac:dyDescent="0.25">
      <c r="A29" s="42"/>
      <c r="B29" s="183"/>
      <c r="C29" s="183"/>
      <c r="D29" s="183"/>
      <c r="E29" s="183"/>
      <c r="F29" s="183"/>
      <c r="G29" s="183"/>
      <c r="H29" s="34"/>
      <c r="J29" s="34"/>
      <c r="K29" s="34"/>
      <c r="L29" s="34"/>
      <c r="M29" s="34"/>
      <c r="N29" s="34"/>
      <c r="O29" s="34"/>
      <c r="P29" s="34"/>
      <c r="R29" s="34"/>
      <c r="S29" s="594" t="s">
        <v>266</v>
      </c>
      <c r="T29" s="595"/>
      <c r="U29" s="283"/>
    </row>
    <row r="30" spans="1:21" ht="15" customHeight="1" x14ac:dyDescent="0.25">
      <c r="A30" s="42"/>
      <c r="B30" s="34"/>
      <c r="C30" s="34"/>
      <c r="D30" s="34"/>
      <c r="E30" s="183"/>
      <c r="F30" s="183"/>
      <c r="G30" s="183"/>
      <c r="H30" s="183"/>
      <c r="I30" s="34"/>
      <c r="J30" s="183"/>
      <c r="K30" s="112"/>
      <c r="L30" s="112"/>
      <c r="M30" s="112"/>
      <c r="N30" s="112"/>
      <c r="O30" s="34"/>
      <c r="P30" s="34"/>
      <c r="Q30" s="34"/>
      <c r="R30" s="34"/>
      <c r="S30" s="114" t="s">
        <v>190</v>
      </c>
      <c r="T30" s="119">
        <f>'5Est Med. Dist'!E114</f>
        <v>6.3</v>
      </c>
      <c r="U30" s="283"/>
    </row>
    <row r="31" spans="1:21" x14ac:dyDescent="0.25">
      <c r="A31" s="42"/>
      <c r="H31" s="34"/>
      <c r="J31" s="30"/>
      <c r="R31" s="34"/>
      <c r="S31" s="114" t="s">
        <v>206</v>
      </c>
      <c r="T31" s="118">
        <f>'5Est Med. Dist'!G39</f>
        <v>7.3569999999999993</v>
      </c>
      <c r="U31" s="283"/>
    </row>
    <row r="32" spans="1:21" ht="17.25" customHeight="1" thickBot="1" x14ac:dyDescent="0.4">
      <c r="A32" s="42"/>
      <c r="B32" s="34"/>
      <c r="C32" s="34"/>
      <c r="D32" s="34"/>
      <c r="E32" s="34"/>
      <c r="F32" s="34"/>
      <c r="G32" s="34"/>
      <c r="H32" s="34"/>
      <c r="R32" s="34"/>
      <c r="S32" s="300" t="s">
        <v>207</v>
      </c>
      <c r="T32" s="301">
        <f>'5Est Med. Dist'!G49</f>
        <v>31.5</v>
      </c>
      <c r="U32" s="283"/>
    </row>
    <row r="33" spans="1:21" ht="19.5" customHeight="1" x14ac:dyDescent="0.25">
      <c r="A33" s="42"/>
      <c r="B33" s="34"/>
      <c r="C33" s="34"/>
      <c r="D33" s="295"/>
      <c r="E33" s="112"/>
      <c r="F33" s="112"/>
      <c r="G33" s="558" t="s">
        <v>165</v>
      </c>
      <c r="H33" s="558"/>
      <c r="I33" s="558"/>
      <c r="J33" s="558"/>
      <c r="K33" s="558"/>
      <c r="L33" s="558"/>
      <c r="M33" s="298"/>
      <c r="N33" s="298"/>
      <c r="O33" s="298"/>
      <c r="P33" s="298"/>
      <c r="R33" s="34"/>
      <c r="S33" s="651"/>
      <c r="T33" s="652"/>
      <c r="U33" s="283"/>
    </row>
    <row r="34" spans="1:21" ht="12" customHeight="1" x14ac:dyDescent="0.25">
      <c r="A34" s="42"/>
      <c r="B34" s="34"/>
      <c r="C34" s="34"/>
      <c r="D34" s="288"/>
      <c r="E34" s="34"/>
      <c r="F34" s="34"/>
      <c r="G34" s="34"/>
      <c r="H34" s="34"/>
      <c r="K34" s="288"/>
      <c r="L34" s="288"/>
      <c r="M34" s="288"/>
      <c r="N34" s="288"/>
      <c r="O34" s="288"/>
      <c r="P34" s="288"/>
      <c r="R34" s="34"/>
      <c r="S34" s="299"/>
      <c r="T34" s="304"/>
      <c r="U34" s="283"/>
    </row>
    <row r="35" spans="1:21" ht="15.75" thickBot="1" x14ac:dyDescent="0.3">
      <c r="A35" s="42"/>
      <c r="D35" s="559"/>
      <c r="E35" s="653"/>
      <c r="F35" s="653"/>
      <c r="G35" s="653"/>
      <c r="P35" s="295"/>
      <c r="S35" s="654"/>
      <c r="T35" s="655"/>
      <c r="U35" s="283"/>
    </row>
    <row r="36" spans="1:21" ht="20.25" customHeight="1" thickBot="1" x14ac:dyDescent="0.3">
      <c r="A36" s="42"/>
      <c r="D36" s="640" t="s">
        <v>283</v>
      </c>
      <c r="E36" s="641"/>
      <c r="F36" s="641"/>
      <c r="G36" s="642"/>
      <c r="K36" s="640" t="s">
        <v>277</v>
      </c>
      <c r="L36" s="641"/>
      <c r="M36" s="641"/>
      <c r="N36" s="641"/>
      <c r="O36" s="642"/>
      <c r="S36" s="299"/>
      <c r="T36" s="302"/>
      <c r="U36" s="283"/>
    </row>
    <row r="37" spans="1:21" ht="23.25" customHeight="1" x14ac:dyDescent="0.25">
      <c r="A37" s="42"/>
      <c r="S37" s="299"/>
      <c r="T37" s="303"/>
      <c r="U37" s="283"/>
    </row>
    <row r="38" spans="1:21" ht="18.75" customHeight="1" x14ac:dyDescent="0.25">
      <c r="A38" s="42"/>
      <c r="C38" s="639" t="str">
        <f>CONCATENATE(IF(T22&lt;20,T22, "Dobra de 8Ф")," cm")</f>
        <v>Dobra de 8Ф cm</v>
      </c>
      <c r="D38" s="292" t="str">
        <f>CONCATENATE(IF(T22=20,2*T22/10,0)," cm")</f>
        <v>4 cm</v>
      </c>
      <c r="G38" s="292" t="str">
        <f>CONCATENATE(IF(T22=20,2*T22/10,0)," cm")</f>
        <v>4 cm</v>
      </c>
      <c r="H38" s="639" t="str">
        <f>CONCATENATE(IF(T22&lt;20,T22, "Dobra de 8Ф")," cm")</f>
        <v>Dobra de 8Ф cm</v>
      </c>
      <c r="J38" s="639" t="str">
        <f>CONCATENATE(IF(T26&lt;20,T26, "Dobra de 8Ф")," cm")</f>
        <v>6,3 cm</v>
      </c>
      <c r="K38" s="292" t="str">
        <f>CONCATENATE(IF(T26=20,2*T26/10,0)," cm")</f>
        <v>0 cm</v>
      </c>
      <c r="O38" s="292" t="str">
        <f>CONCATENATE(IF(T26=20,2*T26/10,0)," cm")</f>
        <v>0 cm</v>
      </c>
      <c r="P38" s="639" t="str">
        <f>CONCATENATE(IF(T26&lt;20,T26, "Dobra de 8Ф")," cm")</f>
        <v>6,3 cm</v>
      </c>
      <c r="S38" s="299"/>
      <c r="T38" s="302"/>
      <c r="U38" s="283"/>
    </row>
    <row r="39" spans="1:21" ht="15" customHeight="1" x14ac:dyDescent="0.25">
      <c r="A39" s="42"/>
      <c r="C39" s="639"/>
      <c r="H39" s="639"/>
      <c r="J39" s="639"/>
      <c r="P39" s="639"/>
      <c r="T39" s="42"/>
    </row>
    <row r="40" spans="1:21" x14ac:dyDescent="0.25">
      <c r="A40" s="42"/>
      <c r="C40" s="639"/>
      <c r="D40" s="551" t="str">
        <f>CONCATENATE(1.54*T16+2*T15-2*'5 Estacas2Arm.Medianas'!C6-T24/10," cm")</f>
        <v>117,55 cm</v>
      </c>
      <c r="E40" s="551"/>
      <c r="F40" s="551"/>
      <c r="G40" s="551"/>
      <c r="H40" s="639"/>
      <c r="J40" s="639"/>
      <c r="K40" s="551" t="s">
        <v>235</v>
      </c>
      <c r="L40" s="551"/>
      <c r="M40" s="551"/>
      <c r="N40" s="551"/>
      <c r="O40" s="551"/>
      <c r="P40" s="639"/>
      <c r="T40" s="42"/>
    </row>
    <row r="41" spans="1:21" x14ac:dyDescent="0.25">
      <c r="A41" s="42"/>
      <c r="D41" s="551" t="str">
        <f>CONCATENATE('5 Estacas2Arm.Medianas'!G10," Ф ",T22," mm"," c/ ",'5 Estacas2Arm.Medianas'!G23," cm.")</f>
        <v>6 Ф 20 mm c/ 151 cm.</v>
      </c>
      <c r="E41" s="551"/>
      <c r="F41" s="551"/>
      <c r="G41" s="551"/>
      <c r="K41" s="551" t="str">
        <f>CONCATENATE('5Est Med. Dist'!G10," Ф ",T26," mm"," c/ ","Variável"," cm.")</f>
        <v>8 Ф 6,3 mm c/ Variável cm.</v>
      </c>
      <c r="L41" s="551"/>
      <c r="M41" s="551"/>
      <c r="N41" s="551"/>
      <c r="O41" s="551"/>
      <c r="T41" s="42"/>
    </row>
    <row r="42" spans="1:21" ht="15.75" thickBot="1" x14ac:dyDescent="0.3">
      <c r="A42" s="42"/>
      <c r="D42" s="295"/>
      <c r="E42" s="295"/>
      <c r="F42" s="295"/>
      <c r="G42" s="295"/>
      <c r="T42" s="42"/>
    </row>
    <row r="43" spans="1:21" ht="21" customHeight="1" thickBot="1" x14ac:dyDescent="0.3">
      <c r="A43" s="42"/>
      <c r="D43" s="640" t="s">
        <v>284</v>
      </c>
      <c r="E43" s="641"/>
      <c r="F43" s="641"/>
      <c r="G43" s="642"/>
      <c r="J43" s="265"/>
      <c r="K43" s="265"/>
      <c r="L43" s="265"/>
      <c r="M43" s="265"/>
      <c r="N43" s="265"/>
      <c r="O43" s="265"/>
      <c r="P43" s="265"/>
      <c r="T43" s="42"/>
    </row>
    <row r="44" spans="1:21" ht="15" customHeight="1" thickBot="1" x14ac:dyDescent="0.3">
      <c r="A44" s="42"/>
      <c r="J44" s="265"/>
      <c r="K44" s="640" t="s">
        <v>278</v>
      </c>
      <c r="L44" s="641"/>
      <c r="M44" s="641"/>
      <c r="N44" s="641"/>
      <c r="O44" s="642"/>
      <c r="P44" s="112"/>
      <c r="T44" s="42"/>
    </row>
    <row r="45" spans="1:21" ht="20.25" customHeight="1" x14ac:dyDescent="0.25">
      <c r="A45" s="42"/>
      <c r="C45" s="639" t="str">
        <f>CONCATENATE(IF(T22&lt;20,T22, "Dobra de 8Ф")," cm")</f>
        <v>Dobra de 8Ф cm</v>
      </c>
      <c r="D45" s="294" t="str">
        <f>CONCATENATE(IF(T22,2*T22/10,0)," cm")</f>
        <v>4 cm</v>
      </c>
      <c r="G45" s="294" t="str">
        <f>CONCATENATE(IF(T22=20,2*T22/10,0)," cm")</f>
        <v>4 cm</v>
      </c>
      <c r="H45" s="639" t="str">
        <f>CONCATENATE(IF(T22&lt;20,T22, "Dobra de 8Ф")," cm")</f>
        <v>Dobra de 8Ф cm</v>
      </c>
      <c r="J45" s="265"/>
      <c r="K45" s="265"/>
      <c r="L45" s="265"/>
      <c r="M45" s="265"/>
      <c r="N45" s="265"/>
      <c r="O45" s="265"/>
      <c r="P45" s="265"/>
      <c r="T45" s="42"/>
    </row>
    <row r="46" spans="1:21" x14ac:dyDescent="0.25">
      <c r="A46" s="42"/>
      <c r="C46" s="639"/>
      <c r="H46" s="639"/>
      <c r="J46" s="639" t="str">
        <f>CONCATENATE(IF(T30&lt;20,T30, "Dobra de 8Ф")," cm")</f>
        <v>6,3 cm</v>
      </c>
      <c r="K46" s="292" t="str">
        <f>CONCATENATE(IF(T34=20,2*T34/10,0)," cm")</f>
        <v>0 cm</v>
      </c>
      <c r="O46" s="292" t="str">
        <f>CONCATENATE(IF(T34=20,2*T34/10,0)," cm")</f>
        <v>0 cm</v>
      </c>
      <c r="P46" s="639" t="str">
        <f>CONCATENATE(IF(T30&lt;20,T30, "Dobra de 8Ф")," cm")</f>
        <v>6,3 cm</v>
      </c>
      <c r="T46" s="42"/>
    </row>
    <row r="47" spans="1:21" x14ac:dyDescent="0.25">
      <c r="A47" s="42"/>
      <c r="C47" s="639"/>
      <c r="D47" s="551" t="str">
        <f>CONCATENATE(1.62*T16+2*T15-2*'5 Estacas2Arm.Medianas'!C6-T24/10," cm")</f>
        <v>122,15 cm</v>
      </c>
      <c r="E47" s="551"/>
      <c r="F47" s="551"/>
      <c r="G47" s="551"/>
      <c r="H47" s="639"/>
      <c r="J47" s="639"/>
      <c r="P47" s="639"/>
      <c r="T47" s="42"/>
    </row>
    <row r="48" spans="1:21" x14ac:dyDescent="0.25">
      <c r="A48" s="42"/>
      <c r="D48" s="551" t="str">
        <f>CONCATENATE('5 Estacas2Arm.Medianas'!G10," Ф ",T22," mm"," c/ ",'5 Estacas2Arm.Medianas'!G25," cm.")</f>
        <v>6 Ф 20 mm c/ 156 cm.</v>
      </c>
      <c r="E48" s="551"/>
      <c r="F48" s="551"/>
      <c r="G48" s="551"/>
      <c r="J48" s="639"/>
      <c r="K48" s="551" t="s">
        <v>235</v>
      </c>
      <c r="L48" s="551"/>
      <c r="M48" s="551"/>
      <c r="N48" s="551"/>
      <c r="O48" s="551"/>
      <c r="P48" s="639"/>
      <c r="T48" s="42"/>
    </row>
    <row r="49" spans="1:20" x14ac:dyDescent="0.25">
      <c r="A49" s="42"/>
      <c r="D49" s="295"/>
      <c r="E49" s="295"/>
      <c r="F49" s="295"/>
      <c r="G49" s="295"/>
      <c r="K49" s="551" t="str">
        <f>CONCATENATE('5Est Med. Dist'!G38," Ф ",T30," mm"," c/ ","Variável;""cm.")</f>
        <v>11 Ф 6,3 mm c/ Variável;"cm.</v>
      </c>
      <c r="L49" s="551"/>
      <c r="M49" s="551"/>
      <c r="N49" s="551"/>
      <c r="O49" s="551"/>
      <c r="T49" s="42"/>
    </row>
    <row r="50" spans="1:20" x14ac:dyDescent="0.25">
      <c r="A50" s="42"/>
      <c r="D50" s="292"/>
      <c r="G50" s="292"/>
      <c r="T50" s="42"/>
    </row>
    <row r="51" spans="1:20" x14ac:dyDescent="0.25">
      <c r="A51" s="42"/>
      <c r="C51" s="297"/>
      <c r="H51" s="296"/>
      <c r="T51" s="42"/>
    </row>
    <row r="52" spans="1:20" x14ac:dyDescent="0.25">
      <c r="A52" s="42"/>
      <c r="C52" s="297"/>
      <c r="D52" s="297"/>
      <c r="E52" s="297"/>
      <c r="F52" s="297"/>
      <c r="G52" s="297"/>
      <c r="H52" s="296"/>
      <c r="T52" s="42"/>
    </row>
    <row r="53" spans="1:20" x14ac:dyDescent="0.25">
      <c r="A53" s="42"/>
      <c r="C53" s="297"/>
      <c r="D53" s="264"/>
      <c r="E53" s="264"/>
      <c r="F53" s="264"/>
      <c r="G53" s="264"/>
      <c r="H53" s="296"/>
      <c r="T53" s="42"/>
    </row>
    <row r="54" spans="1:20" x14ac:dyDescent="0.25">
      <c r="A54" s="42"/>
      <c r="T54" s="42"/>
    </row>
    <row r="55" spans="1:20" x14ac:dyDescent="0.25">
      <c r="A55" s="42"/>
      <c r="T55" s="42"/>
    </row>
    <row r="56" spans="1:20" ht="15.75" thickBot="1" x14ac:dyDescent="0.3">
      <c r="A56" s="42"/>
      <c r="T56" s="42"/>
    </row>
    <row r="57" spans="1:20" ht="15.75" thickBot="1" x14ac:dyDescent="0.3">
      <c r="A57" s="42"/>
      <c r="J57" s="566" t="s">
        <v>280</v>
      </c>
      <c r="K57" s="567"/>
      <c r="L57" s="567"/>
      <c r="M57" s="567"/>
      <c r="N57" s="567"/>
      <c r="O57" s="567"/>
      <c r="P57" s="567"/>
      <c r="Q57" s="567"/>
      <c r="R57" s="568"/>
      <c r="S57" s="276"/>
      <c r="T57" s="42"/>
    </row>
    <row r="58" spans="1:20" ht="18" x14ac:dyDescent="0.35">
      <c r="A58" s="42"/>
      <c r="J58" s="569" t="s">
        <v>194</v>
      </c>
      <c r="K58" s="570"/>
      <c r="L58" s="570" t="s">
        <v>193</v>
      </c>
      <c r="M58" s="570"/>
      <c r="N58" s="570" t="s">
        <v>192</v>
      </c>
      <c r="O58" s="570"/>
      <c r="P58" s="570" t="s">
        <v>191</v>
      </c>
      <c r="Q58" s="570"/>
      <c r="R58" s="571"/>
      <c r="S58" s="276"/>
      <c r="T58" s="42"/>
    </row>
    <row r="59" spans="1:20" ht="15.75" thickBot="1" x14ac:dyDescent="0.3">
      <c r="A59" s="42"/>
      <c r="J59" s="573">
        <f>T22</f>
        <v>20</v>
      </c>
      <c r="K59" s="486"/>
      <c r="L59" s="486">
        <f>(('5 Estacas2Arm.Medianas'!G23*3+'5 Estacas2Arm.Medianas'!G25)/100)*'5 Estacas2Arm.Medianas'!G10</f>
        <v>36.54</v>
      </c>
      <c r="M59" s="486"/>
      <c r="N59" s="486">
        <f>IF(T22=6.3,0.245,IF(T22=8,0.395,IF(T22=10,0.617,IF(T22=12.5,0.963,IF(T22=16,1.578,IF(T22=20,2.466))))))</f>
        <v>2.4660000000000002</v>
      </c>
      <c r="O59" s="486"/>
      <c r="P59" s="564">
        <f>(N59*L59)*1.1</f>
        <v>99.118404000000012</v>
      </c>
      <c r="Q59" s="564"/>
      <c r="R59" s="565"/>
      <c r="S59" s="276"/>
      <c r="T59" s="42"/>
    </row>
    <row r="60" spans="1:20" ht="15.75" thickBot="1" x14ac:dyDescent="0.3">
      <c r="A60" s="42"/>
      <c r="S60" s="276"/>
      <c r="T60" s="42"/>
    </row>
    <row r="61" spans="1:20" ht="15.75" thickBot="1" x14ac:dyDescent="0.3">
      <c r="A61" s="42"/>
      <c r="J61" s="566" t="s">
        <v>281</v>
      </c>
      <c r="K61" s="567"/>
      <c r="L61" s="567"/>
      <c r="M61" s="567"/>
      <c r="N61" s="567"/>
      <c r="O61" s="567"/>
      <c r="P61" s="567"/>
      <c r="Q61" s="567"/>
      <c r="R61" s="568"/>
      <c r="S61" s="276"/>
      <c r="T61" s="42"/>
    </row>
    <row r="62" spans="1:20" ht="18" x14ac:dyDescent="0.35">
      <c r="A62" s="42"/>
      <c r="J62" s="569" t="s">
        <v>194</v>
      </c>
      <c r="K62" s="570"/>
      <c r="L62" s="570" t="s">
        <v>193</v>
      </c>
      <c r="M62" s="570"/>
      <c r="N62" s="570" t="s">
        <v>192</v>
      </c>
      <c r="O62" s="570"/>
      <c r="P62" s="570" t="s">
        <v>191</v>
      </c>
      <c r="Q62" s="570"/>
      <c r="R62" s="571"/>
      <c r="S62" s="276"/>
      <c r="T62" s="42"/>
    </row>
    <row r="63" spans="1:20" ht="15.75" thickBot="1" x14ac:dyDescent="0.3">
      <c r="A63" s="42"/>
      <c r="J63" s="573">
        <f>T26</f>
        <v>6.3</v>
      </c>
      <c r="K63" s="486"/>
      <c r="L63" s="564" t="str">
        <f>'5 Estacas2Lados Arrm Dist'!G23</f>
        <v>Variável</v>
      </c>
      <c r="M63" s="486"/>
      <c r="N63" s="486">
        <f>IF(T26=6.3,0.245,IF(T26=8,0.395,IF(T26=10,0.617,IF(T26=12.5,0.963,IF(T26=16,1.578,IF(T26=20,2.466))))))</f>
        <v>0.245</v>
      </c>
      <c r="O63" s="486"/>
      <c r="P63" s="564" t="str">
        <f>"Variável"</f>
        <v>Variável</v>
      </c>
      <c r="Q63" s="564"/>
      <c r="R63" s="565"/>
      <c r="S63" s="276"/>
      <c r="T63" s="42"/>
    </row>
    <row r="64" spans="1:20" ht="15.75" thickBot="1" x14ac:dyDescent="0.3">
      <c r="A64" s="42"/>
      <c r="T64" s="42"/>
    </row>
    <row r="65" spans="1:21" ht="15.75" thickBot="1" x14ac:dyDescent="0.3">
      <c r="A65" s="42"/>
      <c r="J65" s="566" t="s">
        <v>282</v>
      </c>
      <c r="K65" s="567"/>
      <c r="L65" s="567"/>
      <c r="M65" s="567"/>
      <c r="N65" s="567"/>
      <c r="O65" s="567"/>
      <c r="P65" s="567"/>
      <c r="Q65" s="567"/>
      <c r="R65" s="568"/>
      <c r="T65" s="42"/>
    </row>
    <row r="66" spans="1:21" ht="18" x14ac:dyDescent="0.35">
      <c r="A66" s="42"/>
      <c r="J66" s="569" t="s">
        <v>194</v>
      </c>
      <c r="K66" s="570"/>
      <c r="L66" s="570" t="s">
        <v>193</v>
      </c>
      <c r="M66" s="570"/>
      <c r="N66" s="570" t="s">
        <v>192</v>
      </c>
      <c r="O66" s="570"/>
      <c r="P66" s="570" t="s">
        <v>191</v>
      </c>
      <c r="Q66" s="570"/>
      <c r="R66" s="571"/>
      <c r="T66" s="42"/>
    </row>
    <row r="67" spans="1:21" ht="15.75" thickBot="1" x14ac:dyDescent="0.3">
      <c r="A67" s="42"/>
      <c r="J67" s="573">
        <f>T30</f>
        <v>6.3</v>
      </c>
      <c r="K67" s="486"/>
      <c r="L67" s="564" t="str">
        <f>'5 Estacas2Lados Arrm Dist'!G51</f>
        <v>Variável</v>
      </c>
      <c r="M67" s="486"/>
      <c r="N67" s="486">
        <f>IF(T30=6.3,0.245,IF(T30=8,0.395,IF(T30=10,0.617,IF(T30=12.5,0.963,IF(T30=16,1.578,IF(T30=20,2.466))))))</f>
        <v>0.245</v>
      </c>
      <c r="O67" s="486"/>
      <c r="P67" s="564" t="str">
        <f>"Variável"</f>
        <v>Variável</v>
      </c>
      <c r="Q67" s="564"/>
      <c r="R67" s="565"/>
      <c r="T67" s="42"/>
    </row>
    <row r="68" spans="1:21" ht="15.75" thickBot="1" x14ac:dyDescent="0.3">
      <c r="A68" s="42"/>
      <c r="B68" s="290"/>
      <c r="C68" s="290"/>
      <c r="D68" s="290"/>
      <c r="E68" s="290"/>
      <c r="F68" s="290"/>
      <c r="G68" s="290"/>
      <c r="H68" s="290"/>
      <c r="I68" s="290"/>
      <c r="J68" s="290"/>
      <c r="K68" s="290"/>
      <c r="L68" s="290"/>
      <c r="M68" s="290"/>
      <c r="N68" s="290"/>
      <c r="O68" s="290"/>
      <c r="P68" s="290"/>
      <c r="Q68" s="290"/>
      <c r="R68" s="290"/>
      <c r="S68" s="290"/>
      <c r="T68" s="291"/>
      <c r="U68" s="41"/>
    </row>
  </sheetData>
  <sheetProtection password="DED7" sheet="1" objects="1" scenarios="1"/>
  <mergeCells count="61">
    <mergeCell ref="J67:K67"/>
    <mergeCell ref="L67:M67"/>
    <mergeCell ref="N67:O67"/>
    <mergeCell ref="P67:R67"/>
    <mergeCell ref="J65:R65"/>
    <mergeCell ref="J66:K66"/>
    <mergeCell ref="L66:M66"/>
    <mergeCell ref="N66:O66"/>
    <mergeCell ref="P66:R66"/>
    <mergeCell ref="J61:R61"/>
    <mergeCell ref="J63:K63"/>
    <mergeCell ref="L63:M63"/>
    <mergeCell ref="N63:O63"/>
    <mergeCell ref="P63:R63"/>
    <mergeCell ref="J62:K62"/>
    <mergeCell ref="L62:M62"/>
    <mergeCell ref="N62:O62"/>
    <mergeCell ref="P62:R62"/>
    <mergeCell ref="D41:G41"/>
    <mergeCell ref="J46:J48"/>
    <mergeCell ref="K49:O49"/>
    <mergeCell ref="K44:O44"/>
    <mergeCell ref="P59:R59"/>
    <mergeCell ref="J58:K58"/>
    <mergeCell ref="L58:M58"/>
    <mergeCell ref="N58:O58"/>
    <mergeCell ref="P58:R58"/>
    <mergeCell ref="K41:O41"/>
    <mergeCell ref="J59:K59"/>
    <mergeCell ref="L59:M59"/>
    <mergeCell ref="N59:O59"/>
    <mergeCell ref="J57:R57"/>
    <mergeCell ref="D35:G35"/>
    <mergeCell ref="S35:T35"/>
    <mergeCell ref="K36:O36"/>
    <mergeCell ref="H38:H40"/>
    <mergeCell ref="J38:J40"/>
    <mergeCell ref="P38:P40"/>
    <mergeCell ref="D40:G40"/>
    <mergeCell ref="K40:O40"/>
    <mergeCell ref="B1:T2"/>
    <mergeCell ref="J20:J22"/>
    <mergeCell ref="P20:P22"/>
    <mergeCell ref="S21:T21"/>
    <mergeCell ref="L23:N23"/>
    <mergeCell ref="C45:C47"/>
    <mergeCell ref="H45:H47"/>
    <mergeCell ref="D47:G47"/>
    <mergeCell ref="D48:G48"/>
    <mergeCell ref="S25:T25"/>
    <mergeCell ref="J26:J27"/>
    <mergeCell ref="P26:P27"/>
    <mergeCell ref="L28:N28"/>
    <mergeCell ref="D36:G36"/>
    <mergeCell ref="C38:C40"/>
    <mergeCell ref="P46:P48"/>
    <mergeCell ref="K48:O48"/>
    <mergeCell ref="S33:T33"/>
    <mergeCell ref="G33:L33"/>
    <mergeCell ref="S29:T29"/>
    <mergeCell ref="D43:G43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utoCAD.Drawing.18" shapeId="182280" r:id="rId4">
          <objectPr defaultSize="0" autoPict="0" r:id="rId5">
            <anchor moveWithCells="1">
              <from>
                <xdr:col>6</xdr:col>
                <xdr:colOff>9525</xdr:colOff>
                <xdr:row>3</xdr:row>
                <xdr:rowOff>85725</xdr:rowOff>
              </from>
              <to>
                <xdr:col>12</xdr:col>
                <xdr:colOff>95250</xdr:colOff>
                <xdr:row>15</xdr:row>
                <xdr:rowOff>209550</xdr:rowOff>
              </to>
            </anchor>
          </objectPr>
        </oleObject>
      </mc:Choice>
      <mc:Fallback>
        <oleObject progId="AutoCAD.Drawing.18" shapeId="182280" r:id="rId4"/>
      </mc:Fallback>
    </mc:AlternateContent>
    <mc:AlternateContent xmlns:mc="http://schemas.openxmlformats.org/markup-compatibility/2006">
      <mc:Choice Requires="x14">
        <oleObject progId="AutoCAD.Drawing.18" shapeId="182281" r:id="rId6">
          <objectPr defaultSize="0" autoPict="0" r:id="rId7">
            <anchor moveWithCells="1">
              <from>
                <xdr:col>6</xdr:col>
                <xdr:colOff>9525</xdr:colOff>
                <xdr:row>16</xdr:row>
                <xdr:rowOff>180975</xdr:rowOff>
              </from>
              <to>
                <xdr:col>12</xdr:col>
                <xdr:colOff>133350</xdr:colOff>
                <xdr:row>32</xdr:row>
                <xdr:rowOff>9525</xdr:rowOff>
              </to>
            </anchor>
          </objectPr>
        </oleObject>
      </mc:Choice>
      <mc:Fallback>
        <oleObject progId="AutoCAD.Drawing.18" shapeId="182281" r:id="rId6"/>
      </mc:Fallback>
    </mc:AlternateContent>
    <mc:AlternateContent xmlns:mc="http://schemas.openxmlformats.org/markup-compatibility/2006">
      <mc:Choice Requires="x14">
        <oleObject progId="AutoCAD.Drawing.18" shapeId="182284" r:id="rId8">
          <objectPr defaultSize="0" autoPict="0" r:id="rId9">
            <anchor>
              <from>
                <xdr:col>9</xdr:col>
                <xdr:colOff>190500</xdr:colOff>
                <xdr:row>42</xdr:row>
                <xdr:rowOff>257175</xdr:rowOff>
              </from>
              <to>
                <xdr:col>15</xdr:col>
                <xdr:colOff>352425</xdr:colOff>
                <xdr:row>49</xdr:row>
                <xdr:rowOff>133350</xdr:rowOff>
              </to>
            </anchor>
          </objectPr>
        </oleObject>
      </mc:Choice>
      <mc:Fallback>
        <oleObject progId="AutoCAD.Drawing.18" shapeId="182284" r:id="rId8"/>
      </mc:Fallback>
    </mc:AlternateContent>
    <mc:AlternateContent xmlns:mc="http://schemas.openxmlformats.org/markup-compatibility/2006">
      <mc:Choice Requires="x14">
        <oleObject progId="AutoCAD.Drawing.18" shapeId="182285" r:id="rId10">
          <objectPr defaultSize="0" autoPict="0" r:id="rId9">
            <anchor>
              <from>
                <xdr:col>9</xdr:col>
                <xdr:colOff>200025</xdr:colOff>
                <xdr:row>35</xdr:row>
                <xdr:rowOff>133350</xdr:rowOff>
              </from>
              <to>
                <xdr:col>15</xdr:col>
                <xdr:colOff>361950</xdr:colOff>
                <xdr:row>41</xdr:row>
                <xdr:rowOff>123825</xdr:rowOff>
              </to>
            </anchor>
          </objectPr>
        </oleObject>
      </mc:Choice>
      <mc:Fallback>
        <oleObject progId="AutoCAD.Drawing.18" shapeId="182285" r:id="rId10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77" r:id="rId11" name="Button 5">
              <controlPr defaultSize="0" print="0" autoFill="0" autoPict="0" macro="[0]!Macro205">
                <anchor moveWithCells="1" sizeWithCells="1">
                  <from>
                    <xdr:col>18</xdr:col>
                    <xdr:colOff>457200</xdr:colOff>
                    <xdr:row>63</xdr:row>
                    <xdr:rowOff>190500</xdr:rowOff>
                  </from>
                  <to>
                    <xdr:col>19</xdr:col>
                    <xdr:colOff>466725</xdr:colOff>
                    <xdr:row>67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AD39"/>
  <sheetViews>
    <sheetView showGridLines="0" showRowColHeaders="0" zoomScale="85" zoomScaleNormal="85" workbookViewId="0">
      <selection activeCell="Z4" sqref="Z4"/>
    </sheetView>
  </sheetViews>
  <sheetFormatPr defaultRowHeight="15" x14ac:dyDescent="0.25"/>
  <cols>
    <col min="9" max="9" width="7.7109375" customWidth="1"/>
    <col min="11" max="11" width="11.7109375" bestFit="1" customWidth="1"/>
    <col min="12" max="12" width="10.7109375" bestFit="1" customWidth="1"/>
    <col min="19" max="19" width="17.7109375" bestFit="1" customWidth="1"/>
    <col min="20" max="20" width="10.140625" customWidth="1"/>
    <col min="21" max="21" width="19.7109375" bestFit="1" customWidth="1"/>
    <col min="22" max="22" width="12.5703125" bestFit="1" customWidth="1"/>
    <col min="24" max="24" width="9.140625" style="190"/>
    <col min="25" max="25" width="21.42578125" style="190" bestFit="1" customWidth="1"/>
    <col min="26" max="30" width="9.140625" style="190"/>
  </cols>
  <sheetData>
    <row r="1" spans="2:29" ht="15.75" thickBot="1" x14ac:dyDescent="0.3"/>
    <row r="2" spans="2:29" ht="15.75" thickBot="1" x14ac:dyDescent="0.3">
      <c r="B2" s="20"/>
      <c r="C2" s="320"/>
      <c r="D2" s="320"/>
      <c r="E2" s="320"/>
      <c r="F2" s="320"/>
      <c r="G2" s="320"/>
      <c r="H2" s="320"/>
      <c r="I2" s="317"/>
      <c r="Y2" s="190" t="s">
        <v>299</v>
      </c>
      <c r="Z2" s="190">
        <f>Entradas2!F5</f>
        <v>2</v>
      </c>
    </row>
    <row r="3" spans="2:29" ht="15.75" thickBot="1" x14ac:dyDescent="0.3">
      <c r="B3" s="41"/>
      <c r="C3" s="322"/>
      <c r="D3" s="322"/>
      <c r="E3" s="322"/>
      <c r="F3" s="322"/>
      <c r="G3" s="322"/>
      <c r="H3" s="322"/>
      <c r="I3" s="42"/>
      <c r="S3" s="461" t="s">
        <v>170</v>
      </c>
      <c r="T3" s="462"/>
      <c r="U3" s="24"/>
    </row>
    <row r="4" spans="2:29" ht="15.75" thickBot="1" x14ac:dyDescent="0.3">
      <c r="B4" s="41"/>
      <c r="C4" s="322"/>
      <c r="D4" s="322"/>
      <c r="E4" s="322"/>
      <c r="F4" s="322"/>
      <c r="G4" s="322"/>
      <c r="H4" s="322"/>
      <c r="I4" s="42"/>
      <c r="L4" s="64" t="s">
        <v>77</v>
      </c>
      <c r="M4" s="83" t="s">
        <v>78</v>
      </c>
      <c r="N4" s="83" t="s">
        <v>80</v>
      </c>
      <c r="O4" s="83" t="s">
        <v>81</v>
      </c>
      <c r="P4" s="83" t="s">
        <v>82</v>
      </c>
      <c r="Q4" s="65" t="s">
        <v>83</v>
      </c>
      <c r="S4" s="463"/>
      <c r="T4" s="464"/>
      <c r="U4" s="24"/>
      <c r="Y4" s="376" t="s">
        <v>86</v>
      </c>
      <c r="Z4" s="190">
        <f>Entradas2!C12</f>
        <v>45</v>
      </c>
      <c r="AB4" s="376" t="s">
        <v>108</v>
      </c>
      <c r="AC4" s="190">
        <f>Entradas2!C9*AA6/100</f>
        <v>0</v>
      </c>
    </row>
    <row r="5" spans="2:29" ht="15.75" thickBot="1" x14ac:dyDescent="0.3">
      <c r="B5" s="41"/>
      <c r="C5" s="322"/>
      <c r="D5" s="322"/>
      <c r="E5" s="322"/>
      <c r="F5" s="322"/>
      <c r="G5" s="322"/>
      <c r="H5" s="322"/>
      <c r="I5" s="42"/>
      <c r="K5" s="72" t="s">
        <v>73</v>
      </c>
      <c r="L5" s="75">
        <f>Entradas2!C22</f>
        <v>23</v>
      </c>
      <c r="M5" s="52">
        <f>Entradas2!C22</f>
        <v>23</v>
      </c>
      <c r="N5" s="52">
        <f>Entradas2!C22</f>
        <v>23</v>
      </c>
      <c r="O5" s="52">
        <f>Entradas2!C22</f>
        <v>23</v>
      </c>
      <c r="P5" s="52">
        <f>Entradas2!C22</f>
        <v>23</v>
      </c>
      <c r="Q5" s="50">
        <f>Entradas2!C22</f>
        <v>23</v>
      </c>
      <c r="S5" s="24"/>
      <c r="T5" s="24"/>
      <c r="U5" s="24"/>
      <c r="Y5" s="376" t="s">
        <v>102</v>
      </c>
      <c r="Z5" s="350">
        <f>SQRT((L8^2)+(L9^2))*100</f>
        <v>64.286954353118958</v>
      </c>
      <c r="AB5" s="376" t="s">
        <v>109</v>
      </c>
      <c r="AC5" s="190">
        <f>Entradas2!C8*AA6/100</f>
        <v>0</v>
      </c>
    </row>
    <row r="6" spans="2:29" x14ac:dyDescent="0.25">
      <c r="B6" s="41"/>
      <c r="C6" s="322"/>
      <c r="D6" s="322"/>
      <c r="E6" s="322"/>
      <c r="F6" s="322"/>
      <c r="G6" s="322"/>
      <c r="H6" s="322"/>
      <c r="I6" s="42"/>
      <c r="K6" s="73" t="s">
        <v>69</v>
      </c>
      <c r="L6" s="76">
        <f t="shared" ref="L6:Q6" si="0">L5/2+15</f>
        <v>26.5</v>
      </c>
      <c r="M6" s="48">
        <f t="shared" si="0"/>
        <v>26.5</v>
      </c>
      <c r="N6" s="48">
        <f t="shared" si="0"/>
        <v>26.5</v>
      </c>
      <c r="O6" s="48">
        <f t="shared" si="0"/>
        <v>26.5</v>
      </c>
      <c r="P6" s="48">
        <f t="shared" si="0"/>
        <v>26.5</v>
      </c>
      <c r="Q6" s="57">
        <f t="shared" si="0"/>
        <v>26.5</v>
      </c>
      <c r="S6" s="146" t="s">
        <v>172</v>
      </c>
      <c r="T6" s="147">
        <f>AA6/100</f>
        <v>0.65</v>
      </c>
      <c r="U6" s="579" t="s">
        <v>210</v>
      </c>
      <c r="Y6" s="376" t="s">
        <v>103</v>
      </c>
      <c r="Z6" s="190">
        <f>Z5*(TAN(RADIANS(Z4)))</f>
        <v>64.286954353118944</v>
      </c>
      <c r="AA6" s="190">
        <f>CEILING(Z6,5)</f>
        <v>65</v>
      </c>
    </row>
    <row r="7" spans="2:29" ht="15.75" thickBot="1" x14ac:dyDescent="0.3">
      <c r="B7" s="41"/>
      <c r="C7" s="322"/>
      <c r="D7" s="322"/>
      <c r="E7" s="322"/>
      <c r="F7" s="322"/>
      <c r="G7" s="322"/>
      <c r="H7" s="322"/>
      <c r="I7" s="42"/>
      <c r="K7" s="73" t="s">
        <v>79</v>
      </c>
      <c r="L7" s="76">
        <f>Entradas2!C22*Entradas2!L21</f>
        <v>57.5</v>
      </c>
      <c r="M7" s="48">
        <f>Entradas2!C22*Entradas2!L21</f>
        <v>57.5</v>
      </c>
      <c r="N7" s="48">
        <f>Entradas2!C22*Entradas2!L21</f>
        <v>57.5</v>
      </c>
      <c r="O7" s="48">
        <f>Entradas2!C22*Entradas2!L21</f>
        <v>57.5</v>
      </c>
      <c r="P7" s="48">
        <f>Entradas2!C22*Entradas2!L21</f>
        <v>57.5</v>
      </c>
      <c r="Q7" s="57">
        <f>Entradas2!C22*Entradas2!L21</f>
        <v>57.5</v>
      </c>
      <c r="S7" s="148" t="s">
        <v>173</v>
      </c>
      <c r="T7" s="149">
        <f>Z7/100</f>
        <v>0.75</v>
      </c>
      <c r="U7" s="580"/>
      <c r="Y7" s="376" t="s">
        <v>104</v>
      </c>
      <c r="Z7" s="190">
        <f>AA6+10</f>
        <v>75</v>
      </c>
    </row>
    <row r="8" spans="2:29" ht="18" x14ac:dyDescent="0.25">
      <c r="B8" s="41"/>
      <c r="C8" s="322"/>
      <c r="D8" s="322"/>
      <c r="E8" s="322"/>
      <c r="F8" s="322"/>
      <c r="G8" s="322"/>
      <c r="H8" s="322"/>
      <c r="I8" s="42"/>
      <c r="K8" s="73" t="s">
        <v>98</v>
      </c>
      <c r="L8" s="76">
        <f>-L7/100</f>
        <v>-0.57499999999999996</v>
      </c>
      <c r="M8" s="48">
        <v>0</v>
      </c>
      <c r="N8" s="48">
        <f>N7/100</f>
        <v>0.57499999999999996</v>
      </c>
      <c r="O8" s="48">
        <f>-O7/100</f>
        <v>-0.57499999999999996</v>
      </c>
      <c r="P8" s="48">
        <v>0</v>
      </c>
      <c r="Q8" s="57">
        <f>Q7/100</f>
        <v>0.57499999999999996</v>
      </c>
      <c r="S8" s="146" t="s">
        <v>174</v>
      </c>
      <c r="T8" s="147">
        <f>Z17</f>
        <v>35362.300234807779</v>
      </c>
      <c r="U8" s="586" t="str">
        <f>IF(T8&gt;T9,"Opção: Aumentar o fck do Concreto","Verificação Atendida")</f>
        <v>Opção: Aumentar o fck do Concreto</v>
      </c>
      <c r="Y8" s="376" t="s">
        <v>87</v>
      </c>
      <c r="Z8" s="190">
        <f>(PI()*(L5^2)/4)/10000</f>
        <v>4.154756284372501E-2</v>
      </c>
    </row>
    <row r="9" spans="2:29" ht="18.75" thickBot="1" x14ac:dyDescent="0.3">
      <c r="B9" s="41"/>
      <c r="C9" s="322"/>
      <c r="D9" s="322"/>
      <c r="E9" s="322"/>
      <c r="F9" s="322"/>
      <c r="G9" s="322"/>
      <c r="H9" s="322"/>
      <c r="I9" s="42"/>
      <c r="K9" s="73" t="s">
        <v>101</v>
      </c>
      <c r="L9" s="76">
        <f>L7/200</f>
        <v>0.28749999999999998</v>
      </c>
      <c r="M9" s="48">
        <f>M7/200</f>
        <v>0.28749999999999998</v>
      </c>
      <c r="N9" s="48">
        <f>N7/200</f>
        <v>0.28749999999999998</v>
      </c>
      <c r="O9" s="48">
        <f>-O7/200</f>
        <v>-0.28749999999999998</v>
      </c>
      <c r="P9" s="48">
        <f>-P7/200</f>
        <v>-0.28749999999999998</v>
      </c>
      <c r="Q9" s="57">
        <f>-Q7/200</f>
        <v>-0.28749999999999998</v>
      </c>
      <c r="S9" s="150" t="s">
        <v>212</v>
      </c>
      <c r="T9" s="151">
        <f>Z14</f>
        <v>9642.8571428571449</v>
      </c>
      <c r="U9" s="587"/>
      <c r="Y9" s="376" t="s">
        <v>88</v>
      </c>
      <c r="Z9" s="190">
        <f>Z8*SIN(RADIANS(Z4))</f>
        <v>2.9378563428572192E-2</v>
      </c>
    </row>
    <row r="10" spans="2:29" ht="18" x14ac:dyDescent="0.25">
      <c r="B10" s="41"/>
      <c r="C10" s="322"/>
      <c r="D10" s="322"/>
      <c r="E10" s="322"/>
      <c r="F10" s="322"/>
      <c r="G10" s="322"/>
      <c r="H10" s="322"/>
      <c r="I10" s="42"/>
      <c r="K10" s="73" t="s">
        <v>72</v>
      </c>
      <c r="L10" s="76">
        <f>SUMSQ(L8:Q8)</f>
        <v>1.3224999999999998</v>
      </c>
      <c r="M10" s="48">
        <f>SUMSQ(L8:Q8)</f>
        <v>1.3224999999999998</v>
      </c>
      <c r="N10" s="48">
        <f>SUMSQ(L8:Q8)</f>
        <v>1.3224999999999998</v>
      </c>
      <c r="O10" s="48">
        <f>SUMSQ(L8:Q8)</f>
        <v>1.3224999999999998</v>
      </c>
      <c r="P10" s="48">
        <f>SUMSQ(L8:Q8)</f>
        <v>1.3224999999999998</v>
      </c>
      <c r="Q10" s="57">
        <f>SUMSQ(L8:Q8)</f>
        <v>1.3224999999999998</v>
      </c>
      <c r="S10" s="146" t="s">
        <v>175</v>
      </c>
      <c r="T10" s="147">
        <f>Z23</f>
        <v>11753.739130434782</v>
      </c>
      <c r="U10" s="586" t="str">
        <f>IF(T10&gt;T11,"Opção: Aumentar a Sessão do Pilar","Verificação Atendida")</f>
        <v>Verificação Atendida</v>
      </c>
    </row>
    <row r="11" spans="2:29" ht="18.75" thickBot="1" x14ac:dyDescent="0.3">
      <c r="B11" s="41"/>
      <c r="C11" s="322"/>
      <c r="D11" s="322"/>
      <c r="E11" s="322"/>
      <c r="F11" s="322"/>
      <c r="G11" s="322"/>
      <c r="H11" s="322"/>
      <c r="I11" s="42"/>
      <c r="K11" s="73" t="s">
        <v>74</v>
      </c>
      <c r="L11" s="76">
        <f>SUMSQ(L9:Q9)</f>
        <v>0.49593749999999992</v>
      </c>
      <c r="M11" s="48">
        <f>SUMSQ(L9:Q9)</f>
        <v>0.49593749999999992</v>
      </c>
      <c r="N11" s="48">
        <f>SUMSQ(L9:Q9)</f>
        <v>0.49593749999999992</v>
      </c>
      <c r="O11" s="48">
        <f>SUMSQ(L9:Q9)</f>
        <v>0.49593749999999992</v>
      </c>
      <c r="P11" s="48">
        <f>SUMSQ(L9:Q9)</f>
        <v>0.49593749999999992</v>
      </c>
      <c r="Q11" s="57">
        <f>SUMSQ(L9:Q9)</f>
        <v>0.49593749999999992</v>
      </c>
      <c r="S11" s="150" t="s">
        <v>176</v>
      </c>
      <c r="T11" s="151">
        <f>Z28</f>
        <v>15178.571428571429</v>
      </c>
      <c r="U11" s="587"/>
      <c r="Y11" s="377" t="s">
        <v>90</v>
      </c>
      <c r="Z11" s="190">
        <f>(M15)/(Z9*SIN(RADIANS(Z4)))</f>
        <v>24557.15294083874</v>
      </c>
      <c r="AB11" s="376" t="s">
        <v>113</v>
      </c>
      <c r="AC11" s="190">
        <f>M15/(SIN(RADIANS(Z4)))</f>
        <v>721.45387529757897</v>
      </c>
    </row>
    <row r="12" spans="2:29" ht="18.75" thickBot="1" x14ac:dyDescent="0.3">
      <c r="B12" s="41"/>
      <c r="C12" s="322"/>
      <c r="D12" s="322"/>
      <c r="E12" s="322"/>
      <c r="F12" s="322"/>
      <c r="G12" s="322"/>
      <c r="H12" s="322"/>
      <c r="I12" s="42"/>
      <c r="K12" s="158" t="s">
        <v>76</v>
      </c>
      <c r="L12" s="176">
        <f>(Entradas2!$C$5/Entradas2!$F$5)-($AC$4+Entradas2!$C$6)*ABS('6 Estacas'!L9)/'6 Estacas'!L11-('6 Estacas'!$AC$5+Entradas2!$C$7)*ABS('6 Estacas'!L8)/'6 Estacas'!L10</f>
        <v>489.85507246376812</v>
      </c>
      <c r="M12" s="177">
        <f>(Entradas2!$C$5/Entradas2!$F$5)-($AC$4+Entradas2!$C$6)*ABS('6 Estacas'!M9)/'6 Estacas'!M11</f>
        <v>494.20289855072463</v>
      </c>
      <c r="N12" s="177">
        <f>(Entradas2!$C$5/Entradas2!$F$5)-($AC$4+Entradas2!$C$6)*ABS('6 Estacas'!N9)/'6 Estacas'!N11+('6 Estacas'!$AC$5+Entradas2!$C$7)*ABS('6 Estacas'!N8)/'6 Estacas'!N10</f>
        <v>498.55072463768113</v>
      </c>
      <c r="O12" s="59">
        <f>(Entradas2!$C$5/Entradas2!$F$5)+($AC$4+Entradas2!$C$6)*ABS('6 Estacas'!O9)/'6 Estacas'!O11-('6 Estacas'!$AC$5+Entradas2!$C$7)*ABS('6 Estacas'!O8)/'6 Estacas'!O10</f>
        <v>501.44927536231887</v>
      </c>
      <c r="P12" s="59">
        <f>(Entradas2!$C$5/Entradas2!$F$5)+($AC$4+Entradas2!$C$6)*ABS('6 Estacas'!P9)/'6 Estacas'!P11</f>
        <v>505.79710144927537</v>
      </c>
      <c r="Q12" s="58">
        <f>(Entradas2!$C$5/Entradas2!$F$5)+($AC$4+Entradas2!$C$6)*ABS('6 Estacas'!Q9)/'6 Estacas'!Q11+('6 Estacas'!$AC$5+Entradas2!$C$7)*ABS('6 Estacas'!Q8)/'6 Estacas'!Q10</f>
        <v>510.14492753623188</v>
      </c>
      <c r="S12" s="152" t="s">
        <v>177</v>
      </c>
      <c r="T12" s="147">
        <f>Z32</f>
        <v>5292.9650829521097</v>
      </c>
      <c r="U12" s="586" t="str">
        <f>IF(T12&gt;T13,"Opção: Aumentar o Diâmetro da Estaca","Verificação Atendida")</f>
        <v>Opção: Aumentar o Diâmetro da Estaca</v>
      </c>
      <c r="AB12" s="376" t="s">
        <v>114</v>
      </c>
      <c r="AC12" s="190">
        <f>AC11*Entradas2!C16*Entradas2!C19</f>
        <v>1038.8935804285136</v>
      </c>
    </row>
    <row r="13" spans="2:29" ht="18.75" thickBot="1" x14ac:dyDescent="0.3">
      <c r="B13" s="41"/>
      <c r="C13" s="322"/>
      <c r="D13" s="322"/>
      <c r="E13" s="322"/>
      <c r="F13" s="322"/>
      <c r="G13" s="322"/>
      <c r="H13" s="322"/>
      <c r="I13" s="42"/>
      <c r="S13" s="153" t="s">
        <v>178</v>
      </c>
      <c r="T13" s="151">
        <f>Z35</f>
        <v>2564.9639200150441</v>
      </c>
      <c r="U13" s="587"/>
      <c r="Y13" s="377" t="s">
        <v>107</v>
      </c>
      <c r="Z13" s="190">
        <f>0.6*(1-Entradas2!C13/250)*Z26</f>
        <v>9.6428571428571441</v>
      </c>
    </row>
    <row r="14" spans="2:29" ht="18.75" thickBot="1" x14ac:dyDescent="0.3">
      <c r="B14" s="41"/>
      <c r="C14" s="322"/>
      <c r="D14" s="322"/>
      <c r="E14" s="322"/>
      <c r="F14" s="322"/>
      <c r="G14" s="322"/>
      <c r="H14" s="322"/>
      <c r="I14" s="42"/>
      <c r="K14" s="647" t="s">
        <v>183</v>
      </c>
      <c r="L14" s="648"/>
      <c r="M14" s="649"/>
      <c r="S14" s="154" t="s">
        <v>179</v>
      </c>
      <c r="T14" s="155">
        <f>Z37</f>
        <v>734.60869565217388</v>
      </c>
      <c r="U14" s="24"/>
      <c r="Y14" s="377" t="s">
        <v>89</v>
      </c>
      <c r="Z14" s="190">
        <f>Z13*1000</f>
        <v>9642.8571428571449</v>
      </c>
    </row>
    <row r="15" spans="2:29" ht="15.75" thickBot="1" x14ac:dyDescent="0.3">
      <c r="B15" s="41"/>
      <c r="C15" s="322"/>
      <c r="D15" s="322"/>
      <c r="E15" s="322"/>
      <c r="F15" s="322"/>
      <c r="G15" s="322"/>
      <c r="H15" s="322"/>
      <c r="I15" s="42"/>
      <c r="K15" s="329" t="str">
        <f>IF(M15=L12,"Estaca E1",IF(M15=M12,"Estaca E2",IF(M15=N12,"Estaca E3",IF(M15=O12,"Estaca E4",IF(M15=P12,"Estaca E5",IF(M15=Q12,"Estaca E6"))))))</f>
        <v>Estaca E6</v>
      </c>
      <c r="L15" s="330" t="s">
        <v>75</v>
      </c>
      <c r="M15" s="328">
        <f>LARGE(L12:Q12,1)</f>
        <v>510.14492753623188</v>
      </c>
      <c r="S15" s="24"/>
      <c r="T15" s="24"/>
      <c r="U15" s="24"/>
      <c r="Y15" s="376" t="s">
        <v>91</v>
      </c>
      <c r="Z15" s="190">
        <f>M15*Entradas2!C16*Entradas2!C19</f>
        <v>734.60869565217388</v>
      </c>
    </row>
    <row r="16" spans="2:29" ht="15.75" thickBot="1" x14ac:dyDescent="0.3">
      <c r="B16" s="41"/>
      <c r="C16" s="322"/>
      <c r="D16" s="322"/>
      <c r="E16" s="322"/>
      <c r="F16" s="322"/>
      <c r="G16" s="322"/>
      <c r="H16" s="322"/>
      <c r="I16" s="42"/>
      <c r="K16" s="107" t="s">
        <v>99</v>
      </c>
      <c r="L16" s="108">
        <f>IF($K$15=$L$4,L8,IF($K$15=$M$4,M8,IF($K$15=$N$4,N8,IF($K$15=$O$4,O8,IF($K$15=$P$4,P8,IF($K$15=$Q$4,Q8))))))</f>
        <v>0.57499999999999996</v>
      </c>
      <c r="S16" s="502" t="s">
        <v>180</v>
      </c>
      <c r="T16" s="503"/>
      <c r="U16" s="504"/>
    </row>
    <row r="17" spans="2:29" ht="15.75" thickBot="1" x14ac:dyDescent="0.3">
      <c r="B17" s="318"/>
      <c r="C17" s="321"/>
      <c r="D17" s="321"/>
      <c r="E17" s="321"/>
      <c r="F17" s="321"/>
      <c r="G17" s="321"/>
      <c r="H17" s="321"/>
      <c r="I17" s="319"/>
      <c r="K17" s="109" t="s">
        <v>100</v>
      </c>
      <c r="L17" s="110">
        <f>IF($K$15=$L$4,L9,IF($K$15=$M$4,M9,IF($K$15=$N$4,N9,IF($K$15=$O$4,O9,IF($K$15=$P$4,P9,IF($K$15=$Q$4,Q9))))))</f>
        <v>-0.28749999999999998</v>
      </c>
      <c r="S17" s="156"/>
      <c r="T17" s="584" t="s">
        <v>181</v>
      </c>
      <c r="U17" s="539"/>
      <c r="Y17" s="377" t="s">
        <v>92</v>
      </c>
      <c r="Z17" s="190">
        <f>(Z15)/(Z9*SIN(RADIANS(Z4)))</f>
        <v>35362.300234807779</v>
      </c>
    </row>
    <row r="18" spans="2:29" ht="15.75" thickBot="1" x14ac:dyDescent="0.3">
      <c r="B18" s="322"/>
      <c r="C18" s="322"/>
      <c r="D18" s="322"/>
      <c r="E18" s="322"/>
      <c r="F18" s="322"/>
      <c r="G18" s="322"/>
      <c r="H18" s="322"/>
      <c r="I18" s="322"/>
      <c r="S18" s="157"/>
      <c r="T18" s="585" t="s">
        <v>182</v>
      </c>
      <c r="U18" s="501"/>
    </row>
    <row r="19" spans="2:29" ht="15.75" thickBot="1" x14ac:dyDescent="0.3">
      <c r="B19" s="322"/>
      <c r="C19" s="322"/>
      <c r="D19" s="322"/>
      <c r="E19" s="322"/>
      <c r="F19" s="322"/>
      <c r="G19" s="322"/>
      <c r="H19" s="322"/>
      <c r="I19" s="322"/>
      <c r="Y19" s="376" t="s">
        <v>93</v>
      </c>
      <c r="Z19" s="190">
        <f>Entradas2!C11*Entradas2!C10</f>
        <v>2500</v>
      </c>
    </row>
    <row r="20" spans="2:29" x14ac:dyDescent="0.25">
      <c r="B20" s="472" t="str">
        <f>IF(Z2=6,"Bloco Selecionado está Correto","Bloco Selecionado Incorreto")</f>
        <v>Bloco Selecionado Incorreto</v>
      </c>
      <c r="C20" s="473"/>
      <c r="D20" s="473"/>
      <c r="E20" s="473"/>
      <c r="F20" s="473"/>
      <c r="G20" s="473"/>
      <c r="H20" s="473"/>
      <c r="I20" s="474"/>
      <c r="K20" s="478" t="str">
        <f>IF(M15&gt;Entradas2!$C$24,"ATENÇÃO: Reação Máxima maior que a Carga Admissível Geotécnica","Verificação da Reação Máxima com a Carga Admissível do solo Atendida")</f>
        <v>Verificação da Reação Máxima com a Carga Admissível do solo Atendida</v>
      </c>
      <c r="L20" s="479"/>
      <c r="M20" s="479"/>
      <c r="N20" s="480"/>
      <c r="Y20" s="376" t="s">
        <v>94</v>
      </c>
      <c r="Z20" s="190">
        <f>Z19/10000</f>
        <v>0.25</v>
      </c>
    </row>
    <row r="21" spans="2:29" ht="15.75" thickBot="1" x14ac:dyDescent="0.3">
      <c r="B21" s="475"/>
      <c r="C21" s="476"/>
      <c r="D21" s="476"/>
      <c r="E21" s="476"/>
      <c r="F21" s="476"/>
      <c r="G21" s="476"/>
      <c r="H21" s="476"/>
      <c r="I21" s="477"/>
      <c r="K21" s="481"/>
      <c r="L21" s="482"/>
      <c r="M21" s="482"/>
      <c r="N21" s="483"/>
      <c r="Y21" s="376" t="s">
        <v>95</v>
      </c>
      <c r="Z21" s="190">
        <f>(Z20*SIN(RADIANS(Z4)))/Entradas2!F5</f>
        <v>8.8388347648318433E-2</v>
      </c>
    </row>
    <row r="22" spans="2:29" ht="15" customHeight="1" x14ac:dyDescent="0.25"/>
    <row r="23" spans="2:29" ht="15.75" customHeight="1" x14ac:dyDescent="0.25">
      <c r="Y23" s="376" t="s">
        <v>110</v>
      </c>
      <c r="Z23" s="190">
        <f>AC12/Z21</f>
        <v>11753.739130434782</v>
      </c>
    </row>
    <row r="26" spans="2:29" x14ac:dyDescent="0.25">
      <c r="Y26" s="376" t="s">
        <v>105</v>
      </c>
      <c r="Z26" s="190">
        <f>Entradas2!C13/Entradas2!C17</f>
        <v>17.857142857142858</v>
      </c>
      <c r="AB26" s="376" t="s">
        <v>120</v>
      </c>
      <c r="AC26" s="190">
        <f>Z26*1000</f>
        <v>17857.142857142859</v>
      </c>
    </row>
    <row r="27" spans="2:29" x14ac:dyDescent="0.25">
      <c r="Y27" s="378"/>
    </row>
    <row r="28" spans="2:29" x14ac:dyDescent="0.25">
      <c r="Y28" s="377" t="s">
        <v>96</v>
      </c>
      <c r="Z28" s="190">
        <f>0.85*AC26</f>
        <v>15178.571428571429</v>
      </c>
    </row>
    <row r="29" spans="2:29" x14ac:dyDescent="0.25">
      <c r="Y29" s="378"/>
    </row>
    <row r="30" spans="2:29" x14ac:dyDescent="0.25">
      <c r="Y30" s="376" t="s">
        <v>111</v>
      </c>
      <c r="Z30" s="190">
        <f>(Z21+Z9)/2</f>
        <v>5.888345553844531E-2</v>
      </c>
    </row>
    <row r="32" spans="2:29" x14ac:dyDescent="0.25">
      <c r="Y32" s="377" t="s">
        <v>112</v>
      </c>
      <c r="Z32" s="190">
        <f>(0.3*AC12)/Z30</f>
        <v>5292.9650829521097</v>
      </c>
    </row>
    <row r="34" spans="25:27" x14ac:dyDescent="0.25">
      <c r="Y34" s="377" t="s">
        <v>116</v>
      </c>
      <c r="Z34" s="190" t="s">
        <v>119</v>
      </c>
      <c r="AA34" s="190">
        <f>0.3*((Entradas2!C13)^(2/3))</f>
        <v>2.5649639200150443</v>
      </c>
    </row>
    <row r="35" spans="25:27" x14ac:dyDescent="0.25">
      <c r="Y35" s="377" t="s">
        <v>115</v>
      </c>
      <c r="Z35" s="190">
        <f>AA34*1000</f>
        <v>2564.9639200150441</v>
      </c>
    </row>
    <row r="37" spans="25:27" x14ac:dyDescent="0.25">
      <c r="Y37" s="377" t="s">
        <v>118</v>
      </c>
      <c r="Z37" s="190">
        <f>AC12*COS(RADIANS(Z4))</f>
        <v>734.60869565217388</v>
      </c>
    </row>
    <row r="39" spans="25:27" x14ac:dyDescent="0.25">
      <c r="Y39" s="377" t="s">
        <v>300</v>
      </c>
      <c r="Z39" s="190">
        <f>Entradas2!C24</f>
        <v>670</v>
      </c>
    </row>
  </sheetData>
  <mergeCells count="11">
    <mergeCell ref="S16:U16"/>
    <mergeCell ref="T17:U17"/>
    <mergeCell ref="T18:U18"/>
    <mergeCell ref="B20:I21"/>
    <mergeCell ref="K20:N21"/>
    <mergeCell ref="K14:M14"/>
    <mergeCell ref="S3:T4"/>
    <mergeCell ref="U6:U7"/>
    <mergeCell ref="U8:U9"/>
    <mergeCell ref="U10:U11"/>
    <mergeCell ref="U12:U13"/>
  </mergeCells>
  <conditionalFormatting sqref="S8:T9">
    <cfRule type="expression" dxfId="13" priority="13">
      <formula>$T$8&gt;$T$9</formula>
    </cfRule>
    <cfRule type="expression" dxfId="12" priority="14">
      <formula>$T$9&gt;=$T$8</formula>
    </cfRule>
  </conditionalFormatting>
  <conditionalFormatting sqref="S10:T11">
    <cfRule type="expression" dxfId="11" priority="11">
      <formula>$T$10&gt;$T$11</formula>
    </cfRule>
    <cfRule type="expression" dxfId="10" priority="12">
      <formula>$T$11&gt;=$T$10</formula>
    </cfRule>
  </conditionalFormatting>
  <conditionalFormatting sqref="S12:T13">
    <cfRule type="expression" dxfId="9" priority="9">
      <formula>$T$12&gt;$T$13</formula>
    </cfRule>
    <cfRule type="expression" dxfId="8" priority="10">
      <formula>$T$13&gt;=$T$12</formula>
    </cfRule>
  </conditionalFormatting>
  <conditionalFormatting sqref="B20:I21">
    <cfRule type="expression" dxfId="7" priority="5">
      <formula>$Z$2=6</formula>
    </cfRule>
    <cfRule type="expression" dxfId="6" priority="6">
      <formula>$Z$2&lt;&gt;6</formula>
    </cfRule>
  </conditionalFormatting>
  <conditionalFormatting sqref="K20:N21">
    <cfRule type="expression" dxfId="5" priority="1">
      <formula>$Z$39&gt;=$M$15</formula>
    </cfRule>
    <cfRule type="expression" dxfId="4" priority="2">
      <formula>$M$15&gt;$Z$39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12290" r:id="rId3">
          <objectPr defaultSize="0" autoPict="0" r:id="rId4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8</xdr:col>
                <xdr:colOff>504825</xdr:colOff>
                <xdr:row>16</xdr:row>
                <xdr:rowOff>190500</xdr:rowOff>
              </to>
            </anchor>
          </objectPr>
        </oleObject>
      </mc:Choice>
      <mc:Fallback>
        <oleObject progId="AutoCAD.Drawing.18" shapeId="12290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ntes2">
                <anchor moveWithCells="1" sizeWithCells="1">
                  <from>
                    <xdr:col>17</xdr:col>
                    <xdr:colOff>47625</xdr:colOff>
                    <xdr:row>19</xdr:row>
                    <xdr:rowOff>9525</xdr:rowOff>
                  </from>
                  <to>
                    <xdr:col>18</xdr:col>
                    <xdr:colOff>1152525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SEISESTACAS">
                <anchor moveWithCells="1" sizeWithCells="1">
                  <from>
                    <xdr:col>19</xdr:col>
                    <xdr:colOff>266700</xdr:colOff>
                    <xdr:row>19</xdr:row>
                    <xdr:rowOff>0</xdr:rowOff>
                  </from>
                  <to>
                    <xdr:col>20</xdr:col>
                    <xdr:colOff>1304925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A1:Y153"/>
  <sheetViews>
    <sheetView showGridLines="0" showRowColHeaders="0" topLeftCell="A31" zoomScale="85" zoomScaleNormal="85" workbookViewId="0">
      <selection activeCell="R147" sqref="R147:R153"/>
    </sheetView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6" width="9.140625" style="182"/>
    <col min="17" max="17" width="32.42578125" style="182" bestFit="1" customWidth="1"/>
    <col min="18" max="19" width="9.140625" style="182"/>
    <col min="20" max="20" width="12.5703125" style="182" bestFit="1" customWidth="1"/>
    <col min="21" max="16384" width="9.140625" style="182"/>
  </cols>
  <sheetData>
    <row r="1" spans="1:25" ht="15" customHeight="1" x14ac:dyDescent="0.25">
      <c r="A1"/>
      <c r="B1" s="505" t="s">
        <v>223</v>
      </c>
      <c r="C1" s="506"/>
      <c r="D1" s="506"/>
      <c r="E1" s="506"/>
      <c r="F1" s="506"/>
      <c r="G1" s="50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/>
      <c r="M2"/>
      <c r="N2"/>
      <c r="O2"/>
      <c r="P2" s="350"/>
      <c r="Q2" s="350"/>
      <c r="R2" s="350"/>
      <c r="S2" s="350"/>
      <c r="T2" s="350"/>
      <c r="U2" s="350"/>
      <c r="V2" s="350"/>
      <c r="W2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 s="350"/>
      <c r="Q3" s="350"/>
      <c r="R3" s="350"/>
      <c r="S3" s="350"/>
      <c r="T3" s="350"/>
      <c r="U3" s="350"/>
      <c r="V3" s="350"/>
      <c r="W3"/>
      <c r="X3"/>
      <c r="Y3"/>
    </row>
    <row r="4" spans="1:25" ht="19.5" thickBot="1" x14ac:dyDescent="0.35">
      <c r="A4"/>
      <c r="B4" s="511" t="s">
        <v>128</v>
      </c>
      <c r="C4" s="512"/>
      <c r="D4"/>
      <c r="E4" s="513" t="s">
        <v>205</v>
      </c>
      <c r="F4" s="514"/>
      <c r="G4" s="281">
        <f>(C5)/(C7)</f>
        <v>15.112907905540851</v>
      </c>
      <c r="H4"/>
      <c r="I4"/>
      <c r="J4"/>
      <c r="K4"/>
      <c r="L4"/>
      <c r="M4"/>
      <c r="N4"/>
      <c r="O4"/>
      <c r="P4" s="350"/>
      <c r="Q4" s="350" t="s">
        <v>130</v>
      </c>
      <c r="R4" s="350">
        <f>(PI()*(E26/10)^2)/4</f>
        <v>0.78539816339744828</v>
      </c>
      <c r="S4" s="350"/>
      <c r="T4" s="350"/>
      <c r="U4" s="350"/>
      <c r="V4" s="350"/>
      <c r="W4"/>
      <c r="X4"/>
      <c r="Y4"/>
    </row>
    <row r="5" spans="1:25" ht="18.75" thickBot="1" x14ac:dyDescent="0.3">
      <c r="A5"/>
      <c r="B5" s="120" t="s">
        <v>167</v>
      </c>
      <c r="C5" s="277">
        <f>'6 Estacas'!T14*(COS(RADIANS(26.56)))</f>
        <v>657.0829524148196</v>
      </c>
      <c r="D5"/>
      <c r="E5"/>
      <c r="F5"/>
      <c r="G5"/>
      <c r="H5"/>
      <c r="I5"/>
      <c r="J5"/>
      <c r="K5"/>
      <c r="L5"/>
      <c r="M5"/>
      <c r="N5"/>
      <c r="O5"/>
      <c r="P5" s="350"/>
      <c r="Q5" s="350"/>
      <c r="R5" s="350"/>
      <c r="S5" s="350"/>
      <c r="T5" s="350"/>
      <c r="U5" s="350"/>
      <c r="V5" s="350"/>
      <c r="W5"/>
      <c r="X5"/>
      <c r="Y5"/>
    </row>
    <row r="6" spans="1:25" x14ac:dyDescent="0.25">
      <c r="A6"/>
      <c r="B6" s="121" t="s">
        <v>129</v>
      </c>
      <c r="C6" s="278">
        <v>4</v>
      </c>
      <c r="D6"/>
      <c r="E6" s="515" t="s">
        <v>131</v>
      </c>
      <c r="F6" s="516"/>
      <c r="G6" s="517"/>
      <c r="H6" s="34"/>
      <c r="I6"/>
      <c r="J6"/>
      <c r="K6"/>
      <c r="L6"/>
      <c r="M6"/>
      <c r="N6"/>
      <c r="O6"/>
      <c r="P6" s="350"/>
      <c r="Q6" s="350" t="s">
        <v>135</v>
      </c>
      <c r="R6" s="350">
        <f>G10-1</f>
        <v>19</v>
      </c>
      <c r="S6" s="350"/>
      <c r="T6" s="350"/>
      <c r="U6" s="350"/>
      <c r="V6" s="350"/>
      <c r="W6"/>
      <c r="X6"/>
      <c r="Y6"/>
    </row>
    <row r="7" spans="1:25" ht="18" x14ac:dyDescent="0.25">
      <c r="A7"/>
      <c r="B7" s="121" t="s">
        <v>200</v>
      </c>
      <c r="C7" s="279">
        <f>50/Entradas2!C18</f>
        <v>43.478260869565219</v>
      </c>
      <c r="D7"/>
      <c r="E7" s="518"/>
      <c r="F7" s="519"/>
      <c r="G7" s="520"/>
      <c r="H7" s="237"/>
      <c r="I7"/>
      <c r="J7"/>
      <c r="K7"/>
      <c r="L7"/>
      <c r="M7"/>
      <c r="N7"/>
      <c r="O7"/>
      <c r="P7" s="350"/>
      <c r="Q7" s="350" t="s">
        <v>133</v>
      </c>
      <c r="R7" s="350">
        <f>G4/R4</f>
        <v>19.242351981275274</v>
      </c>
      <c r="S7" s="350"/>
      <c r="T7" s="350"/>
      <c r="U7" s="350"/>
      <c r="V7" s="350"/>
      <c r="W7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/>
      <c r="E8" s="179"/>
      <c r="F8" s="180"/>
      <c r="G8" s="181"/>
      <c r="H8" s="237"/>
      <c r="I8"/>
      <c r="J8"/>
      <c r="K8"/>
      <c r="L8"/>
      <c r="M8"/>
      <c r="N8"/>
      <c r="O8"/>
      <c r="P8" s="350"/>
      <c r="Q8" s="350" t="s">
        <v>137</v>
      </c>
      <c r="R8" s="350">
        <v>20</v>
      </c>
      <c r="S8" s="350"/>
      <c r="T8" s="350"/>
      <c r="U8" s="350"/>
      <c r="V8" s="350"/>
      <c r="W8"/>
      <c r="X8"/>
      <c r="Y8"/>
    </row>
    <row r="9" spans="1:25" ht="15.75" thickBot="1" x14ac:dyDescent="0.3">
      <c r="A9"/>
      <c r="B9"/>
      <c r="C9"/>
      <c r="D9"/>
      <c r="E9" s="34"/>
      <c r="F9" s="34"/>
      <c r="G9" s="34"/>
      <c r="H9" s="34"/>
      <c r="I9"/>
      <c r="J9"/>
      <c r="K9"/>
      <c r="L9"/>
      <c r="M9"/>
      <c r="N9"/>
      <c r="O9"/>
      <c r="P9" s="350"/>
      <c r="Q9" s="350"/>
      <c r="R9" s="350">
        <f>1.2*19</f>
        <v>22.8</v>
      </c>
      <c r="S9" s="350"/>
      <c r="T9" s="350"/>
      <c r="U9" s="350"/>
      <c r="V9" s="350"/>
      <c r="W9"/>
      <c r="X9"/>
      <c r="Y9"/>
    </row>
    <row r="10" spans="1:25" ht="15.75" thickBot="1" x14ac:dyDescent="0.3">
      <c r="A10"/>
      <c r="B10" s="521" t="s">
        <v>214</v>
      </c>
      <c r="C10" s="465"/>
      <c r="D10"/>
      <c r="E10" s="489" t="s">
        <v>134</v>
      </c>
      <c r="F10" s="491"/>
      <c r="G10" s="282">
        <f>ROUNDUP(R7,0)</f>
        <v>20</v>
      </c>
      <c r="H10"/>
      <c r="I10"/>
      <c r="J10"/>
      <c r="K10"/>
      <c r="L10"/>
      <c r="M10"/>
      <c r="N10"/>
      <c r="O10"/>
      <c r="P10" s="350"/>
      <c r="Q10" s="350"/>
      <c r="R10" s="350">
        <f>E26</f>
        <v>10</v>
      </c>
      <c r="S10" s="350"/>
      <c r="T10" s="350"/>
      <c r="U10" s="350"/>
      <c r="V10" s="350"/>
      <c r="W1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/>
      <c r="E11" s="529" t="s">
        <v>139</v>
      </c>
      <c r="F11" s="530"/>
      <c r="G11" s="588">
        <f>LARGE(R11:R12,1)</f>
        <v>2.2800000000000002</v>
      </c>
      <c r="H11"/>
      <c r="I11"/>
      <c r="J11"/>
      <c r="K11"/>
      <c r="L11"/>
      <c r="M11"/>
      <c r="N11"/>
      <c r="O11"/>
      <c r="P11" s="350"/>
      <c r="Q11" s="350" t="s">
        <v>138</v>
      </c>
      <c r="R11" s="350">
        <f>(LARGE(R8:R10,1))/10</f>
        <v>2.2800000000000002</v>
      </c>
      <c r="S11" s="350"/>
      <c r="T11" s="350"/>
      <c r="U11" s="350"/>
      <c r="V11" s="350"/>
      <c r="W11"/>
      <c r="X11"/>
      <c r="Y11"/>
    </row>
    <row r="12" spans="1:25" ht="15.75" thickBot="1" x14ac:dyDescent="0.3">
      <c r="A12"/>
      <c r="B12"/>
      <c r="C12"/>
      <c r="D12"/>
      <c r="E12" s="531"/>
      <c r="F12" s="532"/>
      <c r="G12" s="589"/>
      <c r="H12"/>
      <c r="I12"/>
      <c r="J12"/>
      <c r="K12"/>
      <c r="L12"/>
      <c r="M12"/>
      <c r="N12"/>
      <c r="O12"/>
      <c r="P12" s="350"/>
      <c r="Q12" s="350" t="s">
        <v>140</v>
      </c>
      <c r="R12" s="350">
        <f>((C8)-G10*(E26/10))/R6</f>
        <v>0.15789473684210525</v>
      </c>
      <c r="S12" s="350"/>
      <c r="T12" s="350"/>
      <c r="U12" s="350"/>
      <c r="V12" s="350"/>
      <c r="W12"/>
      <c r="X12"/>
      <c r="Y12"/>
    </row>
    <row r="13" spans="1:25" ht="15.75" thickBot="1" x14ac:dyDescent="0.3">
      <c r="A13"/>
      <c r="B13" s="521" t="s">
        <v>215</v>
      </c>
      <c r="C13" s="465"/>
      <c r="D13"/>
      <c r="E13"/>
      <c r="F13"/>
      <c r="G13"/>
      <c r="H13"/>
      <c r="I13"/>
      <c r="J13"/>
      <c r="K13"/>
      <c r="L13"/>
      <c r="M13"/>
      <c r="N13"/>
      <c r="O13"/>
      <c r="P13" s="350"/>
      <c r="Q13" s="350"/>
      <c r="R13" s="350"/>
      <c r="S13" s="350"/>
      <c r="T13" s="350"/>
      <c r="U13" s="350"/>
      <c r="V13" s="350"/>
      <c r="W13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/>
      <c r="E14" s="535" t="s">
        <v>141</v>
      </c>
      <c r="F14" s="536"/>
      <c r="G14" s="537"/>
      <c r="H14" s="489" t="s">
        <v>210</v>
      </c>
      <c r="I14" s="490"/>
      <c r="J14" s="491"/>
      <c r="K14"/>
      <c r="L14"/>
      <c r="M14"/>
      <c r="N14"/>
      <c r="O14"/>
      <c r="P14" s="350"/>
      <c r="Q14" s="350" t="s">
        <v>149</v>
      </c>
      <c r="R14" s="350">
        <f>G10*R4</f>
        <v>15.707963267948966</v>
      </c>
      <c r="S14" s="350"/>
      <c r="T14" s="350"/>
      <c r="U14" s="350"/>
      <c r="V14" s="350"/>
      <c r="W14"/>
      <c r="X14"/>
      <c r="Y14"/>
    </row>
    <row r="15" spans="1:25" ht="15.75" thickBot="1" x14ac:dyDescent="0.3">
      <c r="A15"/>
      <c r="B15"/>
      <c r="C15"/>
      <c r="D15"/>
      <c r="E15" s="492" t="s">
        <v>143</v>
      </c>
      <c r="F15" s="493"/>
      <c r="G15" s="141">
        <f>'6 Estacas'!L6-C6+(C8/2)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/>
      <c r="M15"/>
      <c r="N15"/>
      <c r="O15"/>
      <c r="P15" s="350"/>
      <c r="Q15" s="350"/>
      <c r="R15" s="350"/>
      <c r="S15" s="350"/>
      <c r="T15" s="350"/>
      <c r="U15" s="350"/>
      <c r="V15" s="350"/>
      <c r="W15"/>
      <c r="X15"/>
      <c r="Y15"/>
    </row>
    <row r="16" spans="1:25" ht="15.75" thickBot="1" x14ac:dyDescent="0.3">
      <c r="A16"/>
      <c r="B16" s="521" t="s">
        <v>216</v>
      </c>
      <c r="C16" s="465"/>
      <c r="D16"/>
      <c r="E16" s="500" t="s">
        <v>142</v>
      </c>
      <c r="F16" s="501"/>
      <c r="G16" s="142">
        <f>C11*R21*G4/R14</f>
        <v>25.369072439761091</v>
      </c>
      <c r="H16" s="497"/>
      <c r="I16" s="498"/>
      <c r="J16" s="499"/>
      <c r="K16" s="276"/>
      <c r="L16"/>
      <c r="M16"/>
      <c r="N16"/>
      <c r="O16"/>
      <c r="P16" s="350"/>
      <c r="Q16" s="350" t="s">
        <v>144</v>
      </c>
      <c r="R16" s="350">
        <f>0.3*0.7*Entradas2!C13^(2/3)</f>
        <v>1.795474744010531</v>
      </c>
      <c r="S16" s="350"/>
      <c r="T16" s="350"/>
      <c r="U16" s="350"/>
      <c r="V16" s="350"/>
      <c r="W16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/>
      <c r="E17" s="502" t="s">
        <v>180</v>
      </c>
      <c r="F17" s="503"/>
      <c r="G17" s="504"/>
      <c r="H17" s="2"/>
      <c r="I17" s="2"/>
      <c r="J17" s="2"/>
      <c r="K17"/>
      <c r="L17"/>
      <c r="M17"/>
      <c r="N17"/>
      <c r="O17"/>
      <c r="P17" s="350"/>
      <c r="Q17" s="350" t="s">
        <v>145</v>
      </c>
      <c r="R17" s="350">
        <f>R16/Entradas2!C17</f>
        <v>1.2824819600075221</v>
      </c>
      <c r="S17" s="350"/>
      <c r="T17" s="350"/>
      <c r="U17" s="350"/>
      <c r="V17" s="350"/>
      <c r="W17"/>
      <c r="X17"/>
      <c r="Y17"/>
    </row>
    <row r="18" spans="1:25" ht="15.75" thickBot="1" x14ac:dyDescent="0.3">
      <c r="A18"/>
      <c r="B18"/>
      <c r="C18"/>
      <c r="D18"/>
      <c r="E18" s="143"/>
      <c r="F18" s="538" t="s">
        <v>181</v>
      </c>
      <c r="G18" s="539"/>
      <c r="H18" s="2"/>
      <c r="I18" s="2"/>
      <c r="J18" s="2"/>
      <c r="K18"/>
      <c r="L18"/>
      <c r="M18"/>
      <c r="N18"/>
      <c r="O18"/>
      <c r="P18" s="350"/>
      <c r="Q18" s="350"/>
      <c r="R18" s="350"/>
      <c r="S18" s="350"/>
      <c r="T18" s="350"/>
      <c r="U18" s="350"/>
      <c r="V18" s="350"/>
      <c r="W18"/>
      <c r="X18"/>
      <c r="Y18"/>
    </row>
    <row r="19" spans="1:25" ht="15.75" thickBot="1" x14ac:dyDescent="0.3">
      <c r="A19"/>
      <c r="B19" s="521" t="s">
        <v>217</v>
      </c>
      <c r="C19" s="465"/>
      <c r="D19"/>
      <c r="E19" s="144"/>
      <c r="F19" s="540" t="s">
        <v>182</v>
      </c>
      <c r="G19" s="501"/>
      <c r="H19" s="2"/>
      <c r="I19" s="2"/>
      <c r="J19" s="2"/>
      <c r="K19"/>
      <c r="L19"/>
      <c r="M19"/>
      <c r="N19"/>
      <c r="O19"/>
      <c r="P19" s="350"/>
      <c r="Q19" s="350" t="s">
        <v>146</v>
      </c>
      <c r="R19" s="350">
        <f>C14*C17*C20*R17</f>
        <v>2.885584410016925</v>
      </c>
      <c r="S19" s="350"/>
      <c r="T19" s="350" t="s">
        <v>147</v>
      </c>
      <c r="U19" s="350">
        <f>R19/10</f>
        <v>0.28855844100169248</v>
      </c>
      <c r="V19" s="350"/>
      <c r="W19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/>
      <c r="E20"/>
      <c r="F20"/>
      <c r="G20"/>
      <c r="H20"/>
      <c r="I20"/>
      <c r="J20"/>
      <c r="K20"/>
      <c r="L20"/>
      <c r="M20"/>
      <c r="N20"/>
      <c r="O20"/>
      <c r="P20" s="350"/>
      <c r="Q20" s="350"/>
      <c r="R20" s="350"/>
      <c r="S20" s="350"/>
      <c r="T20" s="350"/>
      <c r="U20" s="350"/>
      <c r="V20" s="350"/>
      <c r="W2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IF(E26=20,8*E26,5*E26)</f>
        <v>50</v>
      </c>
      <c r="H21"/>
      <c r="I21"/>
      <c r="J21"/>
      <c r="K21"/>
      <c r="L21"/>
      <c r="M21"/>
      <c r="N21"/>
      <c r="O21"/>
      <c r="P21" s="350"/>
      <c r="Q21" s="350" t="s">
        <v>148</v>
      </c>
      <c r="R21" s="350">
        <f>(E26/10)*(C7/U19)/4</f>
        <v>37.668505484223736</v>
      </c>
      <c r="S21" s="350"/>
      <c r="T21" s="350"/>
      <c r="U21" s="350"/>
      <c r="V21" s="350"/>
      <c r="W21"/>
      <c r="X21"/>
      <c r="Y21"/>
    </row>
    <row r="22" spans="1:25" ht="15.75" thickBot="1" x14ac:dyDescent="0.3">
      <c r="A22"/>
      <c r="C22"/>
      <c r="D22"/>
      <c r="E22" s="525"/>
      <c r="F22" s="526"/>
      <c r="G22" s="593"/>
      <c r="H22"/>
      <c r="I22"/>
      <c r="J22"/>
      <c r="K22"/>
      <c r="L22"/>
      <c r="M22"/>
      <c r="N22"/>
      <c r="O22"/>
      <c r="P22" s="350"/>
      <c r="Q22" s="350"/>
      <c r="R22" s="350"/>
      <c r="S22" s="350"/>
      <c r="T22" s="350"/>
      <c r="U22" s="350"/>
      <c r="V22" s="350"/>
      <c r="W22"/>
      <c r="X22"/>
      <c r="Y22"/>
    </row>
    <row r="23" spans="1:25" x14ac:dyDescent="0.25">
      <c r="A23"/>
      <c r="C23"/>
      <c r="D23"/>
      <c r="E23" s="529" t="s">
        <v>151</v>
      </c>
      <c r="F23" s="530"/>
      <c r="G23" s="590">
        <f>IF(E26=20,CEILING(R24,1),CEILING(R23,1))</f>
        <v>183</v>
      </c>
      <c r="H23"/>
      <c r="I23"/>
      <c r="J23"/>
      <c r="K23"/>
      <c r="L23"/>
      <c r="M23"/>
      <c r="N23"/>
      <c r="O23"/>
      <c r="P23" s="350"/>
      <c r="Q23" s="350" t="s">
        <v>152</v>
      </c>
      <c r="R23" s="350">
        <f>2*'6 Estacas'!L7+2*('6 Estacas'!L6-C6-(G21/10)/2+PI()*(G21/10)/4+10*(E26/10))</f>
        <v>182.85398163397448</v>
      </c>
      <c r="S23" s="350"/>
      <c r="T23" s="350"/>
      <c r="U23" s="350"/>
      <c r="V23" s="350"/>
      <c r="W23"/>
      <c r="X23"/>
      <c r="Y23"/>
    </row>
    <row r="24" spans="1:25" ht="15.75" thickBot="1" x14ac:dyDescent="0.3">
      <c r="A24"/>
      <c r="C24"/>
      <c r="D24"/>
      <c r="E24" s="531"/>
      <c r="F24" s="532"/>
      <c r="G24" s="591"/>
      <c r="H24" s="190">
        <f>ROUNDUP(G23,0)</f>
        <v>183</v>
      </c>
      <c r="I24" s="190"/>
      <c r="J24"/>
      <c r="K24"/>
      <c r="L24"/>
      <c r="M24"/>
      <c r="N24"/>
      <c r="O24"/>
      <c r="P24" s="350"/>
      <c r="Q24" s="350" t="s">
        <v>153</v>
      </c>
      <c r="R24" s="350">
        <f>2*'6 Estacas'!L7+2*('3 Estacas1'!N6-C6-(G21/10)/2+PI()*(G21/10)/2+2*(E26/10))</f>
        <v>174.70796326794897</v>
      </c>
      <c r="S24" s="350"/>
      <c r="T24" s="350"/>
      <c r="U24" s="350"/>
      <c r="V24" s="350"/>
      <c r="W24"/>
      <c r="X24"/>
      <c r="Y24"/>
    </row>
    <row r="25" spans="1:25" ht="18" x14ac:dyDescent="0.35">
      <c r="A25"/>
      <c r="C25"/>
      <c r="D25"/>
      <c r="E25"/>
      <c r="F25"/>
      <c r="G25"/>
      <c r="H25" s="190"/>
      <c r="I25" s="190" t="s">
        <v>213</v>
      </c>
      <c r="J25"/>
      <c r="K25"/>
      <c r="L25"/>
      <c r="M25"/>
      <c r="N25"/>
      <c r="O25"/>
      <c r="P25" s="350"/>
      <c r="Q25" s="350"/>
      <c r="R25" s="350"/>
      <c r="S25" s="350"/>
      <c r="T25" s="350"/>
      <c r="U25" s="350"/>
      <c r="V25" s="350"/>
      <c r="W25"/>
      <c r="X25"/>
      <c r="Y25"/>
    </row>
    <row r="26" spans="1:25" x14ac:dyDescent="0.25">
      <c r="A26"/>
      <c r="C26" s="190"/>
      <c r="D26" s="356" t="s">
        <v>132</v>
      </c>
      <c r="E26" s="356">
        <f>IF(R147=1,R148,IF(R147=2,R149,IF(R147=3,R150,IF(R147=4,R151,IF(R147=5,R152,IF(R147=6,R153))))))</f>
        <v>10</v>
      </c>
      <c r="F26" s="190"/>
      <c r="G26"/>
      <c r="H26"/>
      <c r="I26"/>
      <c r="J26"/>
      <c r="K26"/>
      <c r="L26"/>
      <c r="M26"/>
      <c r="N26"/>
      <c r="O26"/>
      <c r="P26" s="350"/>
      <c r="Q26" s="350"/>
      <c r="R26" s="350"/>
      <c r="S26" s="350"/>
      <c r="T26" s="350"/>
      <c r="U26" s="350"/>
      <c r="V26" s="350"/>
      <c r="W26"/>
      <c r="X26"/>
      <c r="Y26"/>
    </row>
    <row r="27" spans="1:25" x14ac:dyDescent="0.25">
      <c r="A27"/>
      <c r="C27" s="190"/>
      <c r="D27" s="190"/>
      <c r="E27" s="190"/>
      <c r="F27" s="190"/>
      <c r="G27"/>
      <c r="H27"/>
      <c r="I27"/>
      <c r="J27"/>
      <c r="K27"/>
      <c r="L27"/>
      <c r="M27"/>
      <c r="N27"/>
      <c r="O27"/>
      <c r="P27" s="350"/>
      <c r="Q27" s="350" t="s">
        <v>168</v>
      </c>
      <c r="R27" s="350">
        <f>2*E26/10</f>
        <v>2</v>
      </c>
      <c r="S27" s="350"/>
      <c r="T27" s="350"/>
      <c r="U27" s="350"/>
      <c r="V27" s="350"/>
      <c r="W27"/>
      <c r="X27"/>
      <c r="Y27"/>
    </row>
    <row r="28" spans="1:25" ht="15.75" thickBot="1" x14ac:dyDescent="0.3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 s="350"/>
      <c r="Q28" s="373" t="s">
        <v>169</v>
      </c>
      <c r="R28" s="350">
        <f>E26</f>
        <v>10</v>
      </c>
      <c r="S28" s="350"/>
      <c r="T28" s="350"/>
      <c r="U28" s="350"/>
      <c r="V28" s="350"/>
      <c r="W28"/>
      <c r="X28"/>
      <c r="Y28"/>
    </row>
    <row r="29" spans="1:25" ht="15" customHeight="1" x14ac:dyDescent="0.25">
      <c r="A29"/>
      <c r="B29" s="505" t="s">
        <v>224</v>
      </c>
      <c r="C29" s="506"/>
      <c r="D29" s="506"/>
      <c r="E29" s="506"/>
      <c r="F29" s="506"/>
      <c r="G29" s="507"/>
      <c r="H29"/>
      <c r="I29"/>
      <c r="J29"/>
      <c r="K29"/>
      <c r="L29"/>
      <c r="M29"/>
      <c r="N29"/>
      <c r="O29"/>
      <c r="P29" s="350"/>
      <c r="Q29" s="350"/>
      <c r="R29" s="350"/>
      <c r="S29" s="350"/>
      <c r="T29" s="350"/>
      <c r="U29" s="350"/>
      <c r="V29" s="350"/>
      <c r="W29"/>
      <c r="X29"/>
      <c r="Y29"/>
    </row>
    <row r="30" spans="1:25" ht="15.75" customHeight="1" thickBot="1" x14ac:dyDescent="0.3">
      <c r="A30"/>
      <c r="B30" s="508"/>
      <c r="C30" s="509"/>
      <c r="D30" s="509"/>
      <c r="E30" s="509"/>
      <c r="F30" s="509"/>
      <c r="G30" s="510"/>
      <c r="H30"/>
      <c r="I30"/>
      <c r="J30"/>
      <c r="K30"/>
      <c r="L30"/>
      <c r="M30"/>
      <c r="N30"/>
      <c r="O30"/>
      <c r="P30" s="350"/>
      <c r="Q30" s="350"/>
      <c r="R30" s="350"/>
      <c r="S30" s="350"/>
      <c r="T30" s="350"/>
      <c r="U30" s="350"/>
      <c r="V30" s="350"/>
      <c r="W30"/>
      <c r="X30"/>
      <c r="Y30"/>
    </row>
    <row r="31" spans="1:25" ht="15.75" thickBo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350"/>
      <c r="Q31" s="350"/>
      <c r="R31" s="350"/>
      <c r="S31" s="350"/>
      <c r="T31" s="350"/>
      <c r="U31" s="350"/>
      <c r="V31" s="350"/>
      <c r="W31"/>
      <c r="X31"/>
      <c r="Y31"/>
    </row>
    <row r="32" spans="1:25" ht="19.5" thickBot="1" x14ac:dyDescent="0.35">
      <c r="A32"/>
      <c r="B32" s="511" t="s">
        <v>128</v>
      </c>
      <c r="C32" s="512"/>
      <c r="D32"/>
      <c r="E32" s="513" t="s">
        <v>205</v>
      </c>
      <c r="F32" s="514"/>
      <c r="G32" s="281">
        <f>(C33)/(C35)</f>
        <v>7.5547885899369032</v>
      </c>
      <c r="H32"/>
      <c r="I32"/>
      <c r="J32"/>
      <c r="K32"/>
      <c r="L32"/>
      <c r="M32"/>
      <c r="N32"/>
      <c r="O32"/>
      <c r="P32" s="350"/>
      <c r="Q32" s="350" t="s">
        <v>130</v>
      </c>
      <c r="R32" s="350">
        <f>(PI()*(E107/10)^2)/4</f>
        <v>1.227184630308513</v>
      </c>
      <c r="S32" s="350"/>
      <c r="T32" s="350"/>
      <c r="U32" s="350"/>
      <c r="V32" s="350"/>
      <c r="W32"/>
      <c r="X32"/>
      <c r="Y32"/>
    </row>
    <row r="33" spans="1:25" ht="18.75" thickBot="1" x14ac:dyDescent="0.3">
      <c r="A33"/>
      <c r="B33" s="120" t="s">
        <v>167</v>
      </c>
      <c r="C33" s="277">
        <f>'6 Estacas'!T14*(SIN(RADIANS(26.56)))</f>
        <v>328.46906912769145</v>
      </c>
      <c r="D33"/>
      <c r="E33"/>
      <c r="F33"/>
      <c r="G33"/>
      <c r="H33"/>
      <c r="I33"/>
      <c r="J33"/>
      <c r="K33"/>
      <c r="L33"/>
      <c r="M33"/>
      <c r="N33"/>
      <c r="O33"/>
      <c r="P33" s="350"/>
      <c r="Q33" s="350"/>
      <c r="R33" s="350"/>
      <c r="S33" s="350"/>
      <c r="T33" s="350"/>
      <c r="U33" s="350"/>
      <c r="V33" s="350"/>
      <c r="W33"/>
      <c r="X33"/>
      <c r="Y33"/>
    </row>
    <row r="34" spans="1:25" ht="15" customHeight="1" x14ac:dyDescent="0.25">
      <c r="A34"/>
      <c r="B34" s="121" t="s">
        <v>129</v>
      </c>
      <c r="C34" s="278">
        <v>4</v>
      </c>
      <c r="D34"/>
      <c r="E34" s="515" t="s">
        <v>131</v>
      </c>
      <c r="F34" s="516"/>
      <c r="G34" s="517"/>
      <c r="H34" s="34"/>
      <c r="I34"/>
      <c r="J34"/>
      <c r="K34"/>
      <c r="L34"/>
      <c r="M34"/>
      <c r="N34"/>
      <c r="O34"/>
      <c r="P34" s="350"/>
      <c r="Q34" s="350" t="s">
        <v>135</v>
      </c>
      <c r="R34" s="350">
        <f>G38-1</f>
        <v>6</v>
      </c>
      <c r="S34" s="350"/>
      <c r="T34" s="350"/>
      <c r="U34" s="350"/>
      <c r="V34" s="350"/>
      <c r="W34"/>
      <c r="X34"/>
      <c r="Y34"/>
    </row>
    <row r="35" spans="1:25" ht="18" x14ac:dyDescent="0.25">
      <c r="A35"/>
      <c r="B35" s="121" t="s">
        <v>200</v>
      </c>
      <c r="C35" s="279">
        <f>50/Entradas2!C18</f>
        <v>43.478260869565219</v>
      </c>
      <c r="D35"/>
      <c r="E35" s="518"/>
      <c r="F35" s="519"/>
      <c r="G35" s="520"/>
      <c r="H35" s="237"/>
      <c r="I35"/>
      <c r="J35"/>
      <c r="K35"/>
      <c r="L35"/>
      <c r="M35"/>
      <c r="N35"/>
      <c r="O35"/>
      <c r="P35" s="350"/>
      <c r="Q35" s="350" t="s">
        <v>133</v>
      </c>
      <c r="R35" s="350">
        <f>G32/R32</f>
        <v>6.1561955742858654</v>
      </c>
      <c r="S35" s="350"/>
      <c r="T35" s="350"/>
      <c r="U35" s="350"/>
      <c r="V35" s="350"/>
      <c r="W35"/>
      <c r="X35"/>
      <c r="Y35"/>
    </row>
    <row r="36" spans="1:25" ht="15.75" thickBot="1" x14ac:dyDescent="0.3">
      <c r="A36"/>
      <c r="B36" s="122" t="s">
        <v>136</v>
      </c>
      <c r="C36" s="280">
        <f>Entradas2!C22</f>
        <v>23</v>
      </c>
      <c r="D36"/>
      <c r="E36" s="179"/>
      <c r="F36" s="180"/>
      <c r="G36" s="181"/>
      <c r="H36" s="237"/>
      <c r="I36"/>
      <c r="J36"/>
      <c r="K36"/>
      <c r="L36"/>
      <c r="M36"/>
      <c r="N36"/>
      <c r="O36"/>
      <c r="P36" s="350"/>
      <c r="Q36" s="350" t="s">
        <v>137</v>
      </c>
      <c r="R36" s="350">
        <v>20</v>
      </c>
      <c r="S36" s="350"/>
      <c r="T36" s="350"/>
      <c r="U36" s="350"/>
      <c r="V36" s="350"/>
      <c r="W36"/>
      <c r="X36"/>
      <c r="Y36"/>
    </row>
    <row r="37" spans="1:25" ht="15" customHeight="1" thickBot="1" x14ac:dyDescent="0.3">
      <c r="A37"/>
      <c r="B37"/>
      <c r="C37"/>
      <c r="D37"/>
      <c r="E37" s="34"/>
      <c r="F37" s="34"/>
      <c r="G37" s="34"/>
      <c r="H37" s="34"/>
      <c r="I37"/>
      <c r="J37"/>
      <c r="K37"/>
      <c r="L37"/>
      <c r="M37"/>
      <c r="N37"/>
      <c r="O37"/>
      <c r="P37" s="350"/>
      <c r="Q37" s="350"/>
      <c r="R37" s="350">
        <f>1.2*19</f>
        <v>22.8</v>
      </c>
      <c r="S37" s="350"/>
      <c r="T37" s="350"/>
      <c r="U37" s="350"/>
      <c r="V37" s="350"/>
      <c r="W37"/>
      <c r="X37"/>
      <c r="Y37"/>
    </row>
    <row r="38" spans="1:25" ht="15.75" customHeight="1" thickBot="1" x14ac:dyDescent="0.3">
      <c r="A38"/>
      <c r="B38" s="521" t="s">
        <v>214</v>
      </c>
      <c r="C38" s="465"/>
      <c r="D38"/>
      <c r="E38" s="489" t="s">
        <v>134</v>
      </c>
      <c r="F38" s="491"/>
      <c r="G38" s="282">
        <f>ROUNDUP(R35,0)</f>
        <v>7</v>
      </c>
      <c r="H38"/>
      <c r="I38"/>
      <c r="J38"/>
      <c r="K38"/>
      <c r="L38"/>
      <c r="M38"/>
      <c r="N38"/>
      <c r="O38"/>
      <c r="P38" s="350"/>
      <c r="Q38" s="350"/>
      <c r="R38" s="350">
        <f>E107</f>
        <v>12.5</v>
      </c>
      <c r="S38" s="350"/>
      <c r="T38" s="350"/>
      <c r="U38" s="350"/>
      <c r="V38" s="350"/>
      <c r="W38"/>
      <c r="X38"/>
      <c r="Y38"/>
    </row>
    <row r="39" spans="1:25" ht="15.75" customHeight="1" thickBot="1" x14ac:dyDescent="0.3">
      <c r="A39"/>
      <c r="B39" s="122" t="s">
        <v>204</v>
      </c>
      <c r="C39" s="280">
        <v>0.7</v>
      </c>
      <c r="D39"/>
      <c r="E39" s="541" t="s">
        <v>139</v>
      </c>
      <c r="F39" s="542"/>
      <c r="G39" s="636">
        <f>LARGE(R39:R40,1)</f>
        <v>2.375</v>
      </c>
      <c r="H39"/>
      <c r="I39"/>
      <c r="J39"/>
      <c r="K39"/>
      <c r="L39"/>
      <c r="M39"/>
      <c r="N39"/>
      <c r="O39"/>
      <c r="P39" s="350"/>
      <c r="Q39" s="350" t="s">
        <v>138</v>
      </c>
      <c r="R39" s="350">
        <f>(LARGE(R36:R38,1))/10</f>
        <v>2.2800000000000002</v>
      </c>
      <c r="S39" s="350"/>
      <c r="T39" s="350"/>
      <c r="U39" s="350"/>
      <c r="V39" s="350"/>
      <c r="W39"/>
      <c r="X39"/>
      <c r="Y39"/>
    </row>
    <row r="40" spans="1:25" ht="15.75" thickBot="1" x14ac:dyDescent="0.3">
      <c r="A40"/>
      <c r="B40"/>
      <c r="C40"/>
      <c r="D40"/>
      <c r="E40" s="531"/>
      <c r="F40" s="532"/>
      <c r="G40" s="637"/>
      <c r="H40"/>
      <c r="I40"/>
      <c r="J40"/>
      <c r="K40"/>
      <c r="L40"/>
      <c r="M40"/>
      <c r="N40"/>
      <c r="O40"/>
      <c r="P40" s="350"/>
      <c r="Q40" s="350" t="s">
        <v>140</v>
      </c>
      <c r="R40" s="350">
        <f>((C36)-G38*(E107/10))/R34</f>
        <v>2.375</v>
      </c>
      <c r="S40" s="350"/>
      <c r="T40" s="350"/>
      <c r="U40" s="350"/>
      <c r="V40" s="350"/>
      <c r="W40"/>
      <c r="X40"/>
      <c r="Y40"/>
    </row>
    <row r="41" spans="1:25" ht="15.75" thickBot="1" x14ac:dyDescent="0.3">
      <c r="A41"/>
      <c r="B41" s="521" t="s">
        <v>215</v>
      </c>
      <c r="C41" s="465"/>
      <c r="D41"/>
      <c r="E41"/>
      <c r="F41"/>
      <c r="G41"/>
      <c r="H41"/>
      <c r="I41"/>
      <c r="J41"/>
      <c r="K41"/>
      <c r="L41"/>
      <c r="M41"/>
      <c r="N41"/>
      <c r="O41"/>
      <c r="P41" s="350"/>
      <c r="Q41" s="350"/>
      <c r="R41" s="350"/>
      <c r="S41" s="350"/>
      <c r="T41" s="350"/>
      <c r="U41" s="350"/>
      <c r="V41" s="350"/>
      <c r="W41"/>
      <c r="X41"/>
      <c r="Y41"/>
    </row>
    <row r="42" spans="1:25" ht="15" customHeight="1" thickBot="1" x14ac:dyDescent="0.3">
      <c r="A42"/>
      <c r="B42" s="122" t="s">
        <v>201</v>
      </c>
      <c r="C42" s="280">
        <v>2.25</v>
      </c>
      <c r="D42"/>
      <c r="E42" s="535" t="s">
        <v>141</v>
      </c>
      <c r="F42" s="536"/>
      <c r="G42" s="537"/>
      <c r="H42" s="489" t="s">
        <v>210</v>
      </c>
      <c r="I42" s="490"/>
      <c r="J42" s="491"/>
      <c r="K42"/>
      <c r="L42"/>
      <c r="M42"/>
      <c r="N42"/>
      <c r="O42"/>
      <c r="P42" s="350"/>
      <c r="Q42" s="350" t="s">
        <v>149</v>
      </c>
      <c r="R42" s="350">
        <f>G38*R32</f>
        <v>8.5902924121595916</v>
      </c>
      <c r="S42" s="350"/>
      <c r="T42" s="350"/>
      <c r="U42" s="350"/>
      <c r="V42" s="350"/>
      <c r="W42"/>
      <c r="X42"/>
      <c r="Y42"/>
    </row>
    <row r="43" spans="1:25" ht="15.75" thickBot="1" x14ac:dyDescent="0.3">
      <c r="A43"/>
      <c r="B43"/>
      <c r="C43"/>
      <c r="D43"/>
      <c r="E43" s="626" t="s">
        <v>143</v>
      </c>
      <c r="F43" s="627"/>
      <c r="G43" s="141">
        <f>'6 Estacas'!L6-C34+(C36/2)</f>
        <v>34</v>
      </c>
      <c r="H43" s="494" t="str">
        <f>IF(G44&lt;=G43,"Verificação Atendida","Aumentar o Diâmetro da Barra ou fck do Concreto")</f>
        <v>Verificação Atendida</v>
      </c>
      <c r="I43" s="495"/>
      <c r="J43" s="496"/>
      <c r="K43" s="276"/>
      <c r="L43"/>
      <c r="M43"/>
      <c r="N43"/>
      <c r="O43"/>
      <c r="P43" s="350"/>
      <c r="Q43" s="350"/>
      <c r="R43" s="350"/>
      <c r="S43" s="350"/>
      <c r="T43" s="350"/>
      <c r="U43" s="350"/>
      <c r="V43" s="350"/>
      <c r="W43"/>
      <c r="X43"/>
      <c r="Y43"/>
    </row>
    <row r="44" spans="1:25" ht="15.75" thickBot="1" x14ac:dyDescent="0.3">
      <c r="A44"/>
      <c r="B44" s="521" t="s">
        <v>216</v>
      </c>
      <c r="C44" s="465"/>
      <c r="D44"/>
      <c r="E44" s="630" t="s">
        <v>142</v>
      </c>
      <c r="F44" s="631"/>
      <c r="G44" s="142">
        <f>C39*R49*G32/R42</f>
        <v>28.986835843992626</v>
      </c>
      <c r="H44" s="497"/>
      <c r="I44" s="498"/>
      <c r="J44" s="499"/>
      <c r="K44" s="276"/>
      <c r="L44"/>
      <c r="M44"/>
      <c r="N44"/>
      <c r="O44"/>
      <c r="P44" s="350"/>
      <c r="Q44" s="350" t="s">
        <v>144</v>
      </c>
      <c r="R44" s="350">
        <f>0.3*0.7*Entradas2!C13^(2/3)</f>
        <v>1.795474744010531</v>
      </c>
      <c r="S44" s="350"/>
      <c r="T44" s="350"/>
      <c r="U44" s="350"/>
      <c r="V44" s="350"/>
      <c r="W44"/>
      <c r="X44"/>
      <c r="Y44"/>
    </row>
    <row r="45" spans="1:25" ht="18.75" thickBot="1" x14ac:dyDescent="0.3">
      <c r="A45"/>
      <c r="B45" s="122" t="s">
        <v>202</v>
      </c>
      <c r="C45" s="280">
        <v>1</v>
      </c>
      <c r="D45"/>
      <c r="E45" s="623" t="s">
        <v>180</v>
      </c>
      <c r="F45" s="624"/>
      <c r="G45" s="625"/>
      <c r="H45" s="2"/>
      <c r="I45" s="2"/>
      <c r="J45" s="2"/>
      <c r="K45"/>
      <c r="L45"/>
      <c r="M45"/>
      <c r="N45"/>
      <c r="O45"/>
      <c r="P45" s="350"/>
      <c r="Q45" s="350" t="s">
        <v>145</v>
      </c>
      <c r="R45" s="350">
        <f>R44/Entradas2!C17</f>
        <v>1.2824819600075221</v>
      </c>
      <c r="S45" s="350"/>
      <c r="T45" s="350"/>
      <c r="U45" s="350"/>
      <c r="V45" s="350"/>
      <c r="W45"/>
      <c r="X45"/>
      <c r="Y45"/>
    </row>
    <row r="46" spans="1:25" ht="15.75" thickBot="1" x14ac:dyDescent="0.3">
      <c r="A46"/>
      <c r="B46"/>
      <c r="C46"/>
      <c r="D46"/>
      <c r="E46" s="143"/>
      <c r="F46" s="626" t="s">
        <v>181</v>
      </c>
      <c r="G46" s="627"/>
      <c r="H46" s="2"/>
      <c r="I46" s="2"/>
      <c r="J46" s="2"/>
      <c r="K46"/>
      <c r="L46"/>
      <c r="M46"/>
      <c r="N46"/>
      <c r="O46"/>
      <c r="P46" s="350"/>
      <c r="Q46" s="350"/>
      <c r="R46" s="350"/>
      <c r="S46" s="350"/>
      <c r="T46" s="350"/>
      <c r="U46" s="350"/>
      <c r="V46" s="350"/>
      <c r="W46"/>
      <c r="X46"/>
      <c r="Y46"/>
    </row>
    <row r="47" spans="1:25" ht="15.75" customHeight="1" thickBot="1" x14ac:dyDescent="0.3">
      <c r="A47"/>
      <c r="B47" s="521" t="s">
        <v>217</v>
      </c>
      <c r="C47" s="465"/>
      <c r="D47"/>
      <c r="E47" s="144"/>
      <c r="F47" s="630" t="s">
        <v>182</v>
      </c>
      <c r="G47" s="631"/>
      <c r="H47" s="2"/>
      <c r="I47" s="2"/>
      <c r="J47" s="2"/>
      <c r="K47"/>
      <c r="L47"/>
      <c r="M47"/>
      <c r="N47"/>
      <c r="O47"/>
      <c r="P47" s="350"/>
      <c r="Q47" s="350" t="s">
        <v>146</v>
      </c>
      <c r="R47" s="350">
        <f>C42*C45*C48*R45</f>
        <v>2.885584410016925</v>
      </c>
      <c r="S47" s="350"/>
      <c r="T47" s="350" t="s">
        <v>147</v>
      </c>
      <c r="U47" s="350">
        <f>R47/10</f>
        <v>0.28855844100169248</v>
      </c>
      <c r="V47" s="350"/>
      <c r="W47"/>
      <c r="X47"/>
      <c r="Y47"/>
    </row>
    <row r="48" spans="1:25" ht="18.75" thickBot="1" x14ac:dyDescent="0.3">
      <c r="A48"/>
      <c r="B48" s="122" t="s">
        <v>203</v>
      </c>
      <c r="C48" s="280">
        <v>1</v>
      </c>
      <c r="D48"/>
      <c r="E48"/>
      <c r="F48"/>
      <c r="G48"/>
      <c r="H48"/>
      <c r="I48"/>
      <c r="J48"/>
      <c r="K48"/>
      <c r="L48"/>
      <c r="M48"/>
      <c r="N48"/>
      <c r="O48"/>
      <c r="P48" s="350"/>
      <c r="Q48" s="350"/>
      <c r="R48" s="350"/>
      <c r="S48" s="350"/>
      <c r="T48" s="350"/>
      <c r="U48" s="350"/>
      <c r="V48" s="350"/>
      <c r="W48"/>
      <c r="X48"/>
      <c r="Y48"/>
    </row>
    <row r="49" spans="1:25" ht="15" customHeight="1" x14ac:dyDescent="0.25">
      <c r="A49"/>
      <c r="B49"/>
      <c r="C49"/>
      <c r="D49"/>
      <c r="E49" s="515" t="s">
        <v>150</v>
      </c>
      <c r="F49" s="517"/>
      <c r="G49" s="632">
        <f>IF(E107=20,8*E107,5*E107)</f>
        <v>62.5</v>
      </c>
      <c r="H49"/>
      <c r="I49"/>
      <c r="J49"/>
      <c r="K49"/>
      <c r="L49"/>
      <c r="M49"/>
      <c r="N49"/>
      <c r="O49"/>
      <c r="P49" s="350"/>
      <c r="Q49" s="350" t="s">
        <v>148</v>
      </c>
      <c r="R49" s="350">
        <f>(E107/10)*(C35/U47)/4</f>
        <v>47.085631855279672</v>
      </c>
      <c r="S49" s="350"/>
      <c r="T49" s="350"/>
      <c r="U49" s="350"/>
      <c r="V49" s="350"/>
      <c r="W49"/>
      <c r="X49"/>
      <c r="Y49"/>
    </row>
    <row r="50" spans="1:25" ht="15.75" thickBot="1" x14ac:dyDescent="0.3">
      <c r="A50"/>
      <c r="B50" s="103"/>
      <c r="C50"/>
      <c r="D50"/>
      <c r="E50" s="525"/>
      <c r="F50" s="526"/>
      <c r="G50" s="633"/>
      <c r="H50"/>
      <c r="I50"/>
      <c r="J50"/>
      <c r="K50"/>
      <c r="L50"/>
      <c r="M50"/>
      <c r="N50"/>
      <c r="O50"/>
      <c r="P50" s="350"/>
      <c r="Q50" s="350"/>
      <c r="R50" s="350"/>
      <c r="S50" s="350"/>
      <c r="T50" s="350"/>
      <c r="U50" s="350"/>
      <c r="V50" s="350"/>
      <c r="W50"/>
      <c r="X50"/>
      <c r="Y50"/>
    </row>
    <row r="51" spans="1:25" ht="15" customHeight="1" x14ac:dyDescent="0.25">
      <c r="A51"/>
      <c r="B51"/>
      <c r="C51"/>
      <c r="D51"/>
      <c r="E51" s="541" t="s">
        <v>151</v>
      </c>
      <c r="F51" s="542"/>
      <c r="G51" s="634">
        <f>IF(E107=20,CEILING(R52,1),CEILING(R51,1))</f>
        <v>132</v>
      </c>
      <c r="H51"/>
      <c r="I51"/>
      <c r="J51"/>
      <c r="K51"/>
      <c r="L51"/>
      <c r="M51"/>
      <c r="N51"/>
      <c r="O51"/>
      <c r="P51" s="350"/>
      <c r="Q51" s="350" t="s">
        <v>152</v>
      </c>
      <c r="R51" s="350">
        <f>'6 Estacas'!L7+2*('6 Estacas'!L6-C34-(G49/10)/2+PI()*(G49/10)/4+10*(E107/10))</f>
        <v>131.06747704246811</v>
      </c>
      <c r="S51" s="350"/>
      <c r="T51" s="350"/>
      <c r="U51" s="350"/>
      <c r="V51" s="350"/>
      <c r="W51"/>
      <c r="X51"/>
      <c r="Y51"/>
    </row>
    <row r="52" spans="1:25" ht="15.75" thickBot="1" x14ac:dyDescent="0.3">
      <c r="A52"/>
      <c r="B52"/>
      <c r="C52"/>
      <c r="D52"/>
      <c r="E52" s="531"/>
      <c r="F52" s="532"/>
      <c r="G52" s="635"/>
      <c r="H52" s="190">
        <f>ROUNDUP(G51,0)</f>
        <v>132</v>
      </c>
      <c r="I52" s="190"/>
      <c r="J52"/>
      <c r="K52"/>
      <c r="L52"/>
      <c r="M52"/>
      <c r="N52"/>
      <c r="O52"/>
      <c r="P52" s="350"/>
      <c r="Q52" s="350" t="s">
        <v>153</v>
      </c>
      <c r="R52" s="350">
        <f>'6 Estacas'!L7+2*('6 Estacas'!L6-C34-(G49/10)/2+PI()*(G49/10)/2+2*(E107/10))</f>
        <v>120.88495408493621</v>
      </c>
      <c r="S52" s="350"/>
      <c r="T52" s="350"/>
      <c r="U52" s="350"/>
      <c r="V52" s="350"/>
      <c r="W52"/>
      <c r="X52"/>
      <c r="Y52"/>
    </row>
    <row r="53" spans="1:25" x14ac:dyDescent="0.25">
      <c r="A53"/>
      <c r="B53"/>
      <c r="C53"/>
      <c r="D53"/>
      <c r="E53"/>
      <c r="F53"/>
      <c r="G53"/>
      <c r="H53" s="190"/>
      <c r="I53" s="190"/>
      <c r="J53"/>
      <c r="K53"/>
      <c r="L53"/>
      <c r="M53"/>
      <c r="N53"/>
      <c r="O53"/>
      <c r="P53" s="350"/>
      <c r="Q53" s="350"/>
      <c r="R53" s="350"/>
      <c r="S53" s="350"/>
      <c r="T53" s="350"/>
      <c r="U53" s="350"/>
      <c r="V53" s="350"/>
      <c r="W53"/>
      <c r="X53"/>
      <c r="Y53"/>
    </row>
    <row r="54" spans="1:25" x14ac:dyDescent="0.25">
      <c r="A54"/>
      <c r="B54"/>
      <c r="C54"/>
      <c r="D54"/>
      <c r="E54"/>
      <c r="F54"/>
      <c r="G54"/>
      <c r="H54" s="190"/>
      <c r="I54" s="190"/>
      <c r="J54"/>
      <c r="K54"/>
      <c r="L54"/>
      <c r="M54"/>
      <c r="N54"/>
      <c r="O54"/>
      <c r="P54" s="350"/>
      <c r="Q54" s="350"/>
      <c r="R54" s="350"/>
      <c r="S54" s="350"/>
      <c r="T54" s="350"/>
      <c r="U54" s="350"/>
      <c r="V54" s="350"/>
      <c r="W54"/>
      <c r="X54"/>
      <c r="Y54"/>
    </row>
    <row r="55" spans="1:25" x14ac:dyDescent="0.25">
      <c r="A55"/>
      <c r="B55"/>
      <c r="C55"/>
      <c r="D55"/>
      <c r="E55"/>
      <c r="F55"/>
      <c r="G55"/>
      <c r="H55" s="190"/>
      <c r="I55" s="190"/>
      <c r="J55"/>
      <c r="K55"/>
      <c r="L55"/>
      <c r="M55"/>
      <c r="N55"/>
      <c r="O55"/>
      <c r="P55" s="350"/>
      <c r="Q55" s="350" t="s">
        <v>168</v>
      </c>
      <c r="R55" s="350">
        <f>2*E107/10</f>
        <v>2.5</v>
      </c>
      <c r="S55" s="350"/>
      <c r="T55" s="350"/>
      <c r="U55" s="350"/>
      <c r="V55" s="350"/>
      <c r="W55"/>
      <c r="X55"/>
      <c r="Y55"/>
    </row>
    <row r="56" spans="1:25" x14ac:dyDescent="0.25">
      <c r="A56"/>
      <c r="B56"/>
      <c r="C56"/>
      <c r="D56"/>
      <c r="E56"/>
      <c r="F56"/>
      <c r="G56"/>
      <c r="H56" s="190"/>
      <c r="I56" s="190"/>
      <c r="J56"/>
      <c r="K56"/>
      <c r="L56"/>
      <c r="M56"/>
      <c r="N56"/>
      <c r="O56"/>
      <c r="P56" s="350"/>
      <c r="Q56" s="373" t="s">
        <v>169</v>
      </c>
      <c r="R56" s="350">
        <f>E107</f>
        <v>12.5</v>
      </c>
      <c r="S56" s="350"/>
      <c r="T56" s="350"/>
      <c r="U56" s="350"/>
      <c r="V56" s="350"/>
      <c r="W56"/>
      <c r="X56"/>
      <c r="Y56"/>
    </row>
    <row r="57" spans="1:25" ht="15" customHeight="1" x14ac:dyDescent="0.25">
      <c r="F57"/>
      <c r="G57"/>
      <c r="H57" s="190"/>
      <c r="I57" s="190"/>
      <c r="J57"/>
      <c r="K57"/>
      <c r="L57"/>
      <c r="M57"/>
      <c r="N57"/>
      <c r="O57"/>
      <c r="P57" s="350"/>
      <c r="Q57" s="350"/>
      <c r="R57" s="350"/>
      <c r="S57" s="350"/>
      <c r="T57" s="350"/>
      <c r="U57" s="350"/>
      <c r="V57" s="350"/>
      <c r="W57"/>
      <c r="X57"/>
      <c r="Y57"/>
    </row>
    <row r="58" spans="1:25" x14ac:dyDescent="0.25">
      <c r="F58"/>
      <c r="G58"/>
      <c r="H58" s="190"/>
      <c r="I58" s="190"/>
      <c r="J58"/>
      <c r="K58"/>
      <c r="L58"/>
      <c r="M58"/>
      <c r="N58"/>
      <c r="O58"/>
      <c r="P58" s="350"/>
      <c r="Q58" s="350"/>
      <c r="R58" s="350"/>
      <c r="S58" s="350"/>
      <c r="T58" s="350"/>
      <c r="U58" s="350"/>
      <c r="V58" s="350"/>
      <c r="W58"/>
      <c r="X58"/>
      <c r="Y58"/>
    </row>
    <row r="59" spans="1:25" ht="15" customHeight="1" x14ac:dyDescent="0.25">
      <c r="F59"/>
      <c r="G59"/>
      <c r="H59" s="190"/>
      <c r="I59" s="190"/>
      <c r="J59"/>
      <c r="K59"/>
      <c r="L59"/>
      <c r="M59"/>
      <c r="N59"/>
      <c r="O59"/>
      <c r="P59" s="350"/>
      <c r="Q59" s="350"/>
      <c r="R59" s="350"/>
      <c r="S59" s="350"/>
      <c r="T59" s="350"/>
      <c r="U59" s="350"/>
      <c r="V59" s="350"/>
      <c r="W59"/>
      <c r="X59"/>
      <c r="Y59"/>
    </row>
    <row r="60" spans="1:25" x14ac:dyDescent="0.25">
      <c r="F60"/>
      <c r="G60"/>
      <c r="H60" s="190"/>
      <c r="I60" s="19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x14ac:dyDescent="0.25">
      <c r="F61"/>
      <c r="G61"/>
      <c r="H61" s="190"/>
      <c r="I61" s="190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x14ac:dyDescent="0.25">
      <c r="F62"/>
      <c r="G62"/>
      <c r="H62" s="190"/>
      <c r="I62" s="190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ht="18" x14ac:dyDescent="0.35">
      <c r="F63"/>
      <c r="G63"/>
      <c r="H63" s="190"/>
      <c r="I63" s="190" t="s">
        <v>213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x14ac:dyDescent="0.25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x14ac:dyDescent="0.25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 s="381"/>
      <c r="B103" s="381"/>
      <c r="C103" s="381"/>
      <c r="D103" s="381"/>
      <c r="E103" s="381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 s="381"/>
      <c r="B104" s="381"/>
      <c r="C104" s="381"/>
      <c r="D104" s="381"/>
      <c r="E104" s="381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 s="381"/>
      <c r="B105" s="381"/>
      <c r="C105" s="381"/>
      <c r="D105" s="381"/>
      <c r="E105" s="381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 s="381"/>
      <c r="B106" s="388">
        <v>4</v>
      </c>
      <c r="C106" s="388"/>
      <c r="D106" s="388"/>
      <c r="E106" s="388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 s="381"/>
      <c r="B107" s="389">
        <v>6.3</v>
      </c>
      <c r="C107" s="385"/>
      <c r="D107" s="385" t="s">
        <v>132</v>
      </c>
      <c r="E107" s="385">
        <f>IF(B106=1,B107,IF(B106=2,B108,IF(B106=3,B109,IF(B106=4,B110,IF(B106=5,B111,IF(B106=6,B112))))))</f>
        <v>12.5</v>
      </c>
      <c r="F107" s="190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 s="381"/>
      <c r="B108" s="389">
        <v>8</v>
      </c>
      <c r="C108" s="388"/>
      <c r="D108" s="388"/>
      <c r="E108" s="38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 s="381"/>
      <c r="B109" s="389">
        <v>10</v>
      </c>
      <c r="C109" s="388"/>
      <c r="D109" s="388"/>
      <c r="E109" s="388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 s="381"/>
      <c r="B110" s="389">
        <v>12.5</v>
      </c>
      <c r="C110" s="388"/>
      <c r="D110" s="388"/>
      <c r="E110" s="388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 s="381"/>
      <c r="B111" s="389">
        <v>16</v>
      </c>
      <c r="C111" s="388"/>
      <c r="D111" s="388"/>
      <c r="E111" s="388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 s="381"/>
      <c r="B112" s="389">
        <v>20</v>
      </c>
      <c r="C112" s="388"/>
      <c r="D112" s="388"/>
      <c r="E112" s="388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 s="381"/>
      <c r="B113" s="381"/>
      <c r="C113" s="381"/>
      <c r="D113" s="381"/>
      <c r="E113" s="381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 s="381"/>
      <c r="B114" s="381"/>
      <c r="C114" s="381"/>
      <c r="D114" s="381"/>
      <c r="E114" s="381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 s="363">
        <v>3</v>
      </c>
      <c r="S147"/>
      <c r="T147"/>
      <c r="U147"/>
      <c r="V147"/>
      <c r="W147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 s="368">
        <v>6.3</v>
      </c>
      <c r="S148"/>
      <c r="T148"/>
      <c r="U148"/>
      <c r="V148"/>
      <c r="W148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 s="368">
        <v>8</v>
      </c>
      <c r="S149"/>
      <c r="T149"/>
      <c r="U149"/>
      <c r="V149"/>
      <c r="W149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 s="368">
        <v>10</v>
      </c>
      <c r="S150"/>
      <c r="T150"/>
      <c r="U150"/>
      <c r="V150"/>
      <c r="W150"/>
      <c r="X150"/>
      <c r="Y150"/>
    </row>
    <row r="151" spans="1:25" x14ac:dyDescent="0.25">
      <c r="R151" s="368">
        <v>12.5</v>
      </c>
    </row>
    <row r="152" spans="1:25" x14ac:dyDescent="0.25">
      <c r="R152" s="368">
        <v>16</v>
      </c>
    </row>
    <row r="153" spans="1:25" x14ac:dyDescent="0.25">
      <c r="R153" s="368">
        <v>20</v>
      </c>
    </row>
  </sheetData>
  <mergeCells count="46">
    <mergeCell ref="E15:F15"/>
    <mergeCell ref="H15:J16"/>
    <mergeCell ref="B16:C16"/>
    <mergeCell ref="E16:F16"/>
    <mergeCell ref="B1:G2"/>
    <mergeCell ref="B4:C4"/>
    <mergeCell ref="E4:F4"/>
    <mergeCell ref="E6:G7"/>
    <mergeCell ref="B10:C10"/>
    <mergeCell ref="E10:F10"/>
    <mergeCell ref="E11:F12"/>
    <mergeCell ref="G11:G12"/>
    <mergeCell ref="B13:C13"/>
    <mergeCell ref="E14:G14"/>
    <mergeCell ref="H14:J14"/>
    <mergeCell ref="E17:G17"/>
    <mergeCell ref="F18:G18"/>
    <mergeCell ref="B19:C19"/>
    <mergeCell ref="F19:G19"/>
    <mergeCell ref="E21:F22"/>
    <mergeCell ref="G21:G22"/>
    <mergeCell ref="E39:F40"/>
    <mergeCell ref="G39:G40"/>
    <mergeCell ref="E51:F52"/>
    <mergeCell ref="G51:G52"/>
    <mergeCell ref="E23:F24"/>
    <mergeCell ref="G23:G24"/>
    <mergeCell ref="B29:G30"/>
    <mergeCell ref="B32:C32"/>
    <mergeCell ref="E32:F32"/>
    <mergeCell ref="E34:G35"/>
    <mergeCell ref="B38:C38"/>
    <mergeCell ref="E38:F38"/>
    <mergeCell ref="B41:C41"/>
    <mergeCell ref="E42:G42"/>
    <mergeCell ref="E45:G45"/>
    <mergeCell ref="F46:G46"/>
    <mergeCell ref="B47:C47"/>
    <mergeCell ref="F47:G47"/>
    <mergeCell ref="E49:F50"/>
    <mergeCell ref="G49:G50"/>
    <mergeCell ref="H42:J42"/>
    <mergeCell ref="E43:F43"/>
    <mergeCell ref="H43:J44"/>
    <mergeCell ref="B44:C44"/>
    <mergeCell ref="E44:F44"/>
  </mergeCells>
  <conditionalFormatting sqref="E15:E16 G15:G16 E43:E44 G43:G44">
    <cfRule type="expression" dxfId="3" priority="3">
      <formula>$G$16&gt;$G$15</formula>
    </cfRule>
    <cfRule type="expression" dxfId="2" priority="4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3" name="Drop Down 4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4" name="Drop Down 10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5" name="Button 11">
              <controlPr defaultSize="0" print="0" autoFill="0" autoPict="0" macro="[0]!seisdrit">
                <anchor moveWithCells="1" sizeWithCells="1">
                  <from>
                    <xdr:col>7</xdr:col>
                    <xdr:colOff>409575</xdr:colOff>
                    <xdr:row>49</xdr:row>
                    <xdr:rowOff>152400</xdr:rowOff>
                  </from>
                  <to>
                    <xdr:col>9</xdr:col>
                    <xdr:colOff>600075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6" name="Button 12">
              <controlPr defaultSize="0" print="0" autoFill="0" autoPict="0" macro="[0]!seisant">
                <anchor moveWithCells="1" sizeWithCells="1">
                  <from>
                    <xdr:col>7</xdr:col>
                    <xdr:colOff>400050</xdr:colOff>
                    <xdr:row>46</xdr:row>
                    <xdr:rowOff>171450</xdr:rowOff>
                  </from>
                  <to>
                    <xdr:col>9</xdr:col>
                    <xdr:colOff>590550</xdr:colOff>
                    <xdr:row>48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/>
  <dimension ref="A1:Y150"/>
  <sheetViews>
    <sheetView showGridLines="0" showRowColHeaders="0" topLeftCell="A28" zoomScale="85" zoomScaleNormal="85" workbookViewId="0">
      <selection activeCell="G4" sqref="G4"/>
    </sheetView>
  </sheetViews>
  <sheetFormatPr defaultColWidth="9.140625" defaultRowHeight="15" x14ac:dyDescent="0.25"/>
  <cols>
    <col min="1" max="1" width="9.140625" style="182"/>
    <col min="2" max="2" width="20.7109375" style="182" bestFit="1" customWidth="1"/>
    <col min="3" max="3" width="15.28515625" style="182" customWidth="1"/>
    <col min="4" max="4" width="9.7109375" style="182" customWidth="1"/>
    <col min="5" max="5" width="14.5703125" style="182" customWidth="1"/>
    <col min="6" max="6" width="15.28515625" style="182" customWidth="1"/>
    <col min="7" max="7" width="12.140625" style="182" customWidth="1"/>
    <col min="8" max="16" width="9.140625" style="182"/>
    <col min="17" max="17" width="32.42578125" style="182" bestFit="1" customWidth="1"/>
    <col min="18" max="19" width="9.140625" style="182"/>
    <col min="20" max="20" width="12.5703125" style="182" bestFit="1" customWidth="1"/>
    <col min="21" max="16384" width="9.140625" style="182"/>
  </cols>
  <sheetData>
    <row r="1" spans="1:25" ht="15" customHeight="1" x14ac:dyDescent="0.25">
      <c r="A1"/>
      <c r="B1" s="505" t="s">
        <v>226</v>
      </c>
      <c r="C1" s="506"/>
      <c r="D1" s="506"/>
      <c r="E1" s="506"/>
      <c r="F1" s="506"/>
      <c r="G1" s="507"/>
      <c r="H1"/>
      <c r="I1"/>
      <c r="J1"/>
      <c r="K1"/>
      <c r="L1"/>
      <c r="M1" s="190"/>
      <c r="N1" s="190"/>
      <c r="O1" s="190"/>
      <c r="P1" s="190"/>
      <c r="Q1" s="190"/>
      <c r="R1" s="190"/>
      <c r="S1" s="190"/>
      <c r="T1" s="190"/>
      <c r="U1" s="190"/>
      <c r="V1"/>
      <c r="W1"/>
      <c r="X1"/>
      <c r="Y1"/>
    </row>
    <row r="2" spans="1:25" ht="15" customHeight="1" thickBot="1" x14ac:dyDescent="0.3">
      <c r="A2"/>
      <c r="B2" s="508"/>
      <c r="C2" s="509"/>
      <c r="D2" s="509"/>
      <c r="E2" s="509"/>
      <c r="F2" s="509"/>
      <c r="G2" s="510"/>
      <c r="H2"/>
      <c r="I2"/>
      <c r="J2"/>
      <c r="K2"/>
      <c r="L2"/>
      <c r="M2" s="190"/>
      <c r="N2" s="190"/>
      <c r="O2" s="190"/>
      <c r="P2" s="190"/>
      <c r="Q2" s="190"/>
      <c r="R2" s="190"/>
      <c r="S2" s="190"/>
      <c r="T2" s="190"/>
      <c r="U2" s="190"/>
      <c r="V2"/>
      <c r="W2"/>
      <c r="X2"/>
      <c r="Y2"/>
    </row>
    <row r="3" spans="1:25" ht="15.75" thickBot="1" x14ac:dyDescent="0.3">
      <c r="A3"/>
      <c r="B3"/>
      <c r="C3"/>
      <c r="D3"/>
      <c r="E3"/>
      <c r="F3"/>
      <c r="G3"/>
      <c r="H3"/>
      <c r="I3"/>
      <c r="J3"/>
      <c r="K3"/>
      <c r="L3"/>
      <c r="M3" s="545" t="s">
        <v>228</v>
      </c>
      <c r="N3" s="545"/>
      <c r="O3" s="190">
        <f>('6 Estacas'!L7-(G10*(D125/10)))/R6</f>
        <v>1.7395833333333333</v>
      </c>
      <c r="P3" s="190"/>
      <c r="Q3" s="190"/>
      <c r="R3" s="190"/>
      <c r="S3" s="190"/>
      <c r="T3" s="190"/>
      <c r="U3" s="190"/>
      <c r="V3"/>
      <c r="W3"/>
      <c r="X3"/>
      <c r="Y3"/>
    </row>
    <row r="4" spans="1:25" ht="19.5" thickBot="1" x14ac:dyDescent="0.35">
      <c r="A4"/>
      <c r="B4" s="511" t="s">
        <v>128</v>
      </c>
      <c r="C4" s="512"/>
      <c r="D4"/>
      <c r="E4" s="513" t="s">
        <v>205</v>
      </c>
      <c r="F4" s="514"/>
      <c r="G4" s="281">
        <f>2*C5/C7</f>
        <v>7.5564539527704246</v>
      </c>
      <c r="H4"/>
      <c r="I4"/>
      <c r="J4"/>
      <c r="K4"/>
      <c r="L4"/>
      <c r="M4" s="190"/>
      <c r="N4" s="190"/>
      <c r="O4" s="190"/>
      <c r="P4" s="190"/>
      <c r="Q4" s="190" t="s">
        <v>130</v>
      </c>
      <c r="R4" s="355">
        <f>(PI()*(D125/10)^2)/4</f>
        <v>0.31172453105244724</v>
      </c>
      <c r="S4" s="190"/>
      <c r="T4" s="190"/>
      <c r="U4" s="190"/>
      <c r="V4"/>
      <c r="W4"/>
      <c r="X4"/>
      <c r="Y4"/>
    </row>
    <row r="5" spans="1:25" ht="18.75" thickBot="1" x14ac:dyDescent="0.3">
      <c r="A5"/>
      <c r="B5" s="120" t="s">
        <v>167</v>
      </c>
      <c r="C5" s="277">
        <f>0.2*'6 Est. Arm'!C5</f>
        <v>131.41659048296393</v>
      </c>
      <c r="D5"/>
      <c r="E5"/>
      <c r="F5"/>
      <c r="G5"/>
      <c r="H5"/>
      <c r="I5"/>
      <c r="J5"/>
      <c r="K5"/>
      <c r="L5"/>
      <c r="M5" s="190"/>
      <c r="N5" s="190"/>
      <c r="O5" s="190"/>
      <c r="P5" s="190"/>
      <c r="Q5" s="190"/>
      <c r="R5" s="355"/>
      <c r="S5" s="190"/>
      <c r="T5" s="190"/>
      <c r="U5" s="190"/>
      <c r="V5"/>
      <c r="W5"/>
      <c r="X5"/>
      <c r="Y5"/>
    </row>
    <row r="6" spans="1:25" x14ac:dyDescent="0.25">
      <c r="A6"/>
      <c r="B6" s="121" t="s">
        <v>129</v>
      </c>
      <c r="C6" s="278">
        <v>4</v>
      </c>
      <c r="D6"/>
      <c r="E6" s="515" t="s">
        <v>131</v>
      </c>
      <c r="F6" s="516"/>
      <c r="G6" s="517"/>
      <c r="H6" s="34"/>
      <c r="I6"/>
      <c r="J6"/>
      <c r="K6"/>
      <c r="L6"/>
      <c r="M6" s="190"/>
      <c r="N6" s="190"/>
      <c r="O6" s="190"/>
      <c r="P6" s="190"/>
      <c r="Q6" s="190" t="s">
        <v>135</v>
      </c>
      <c r="R6" s="355">
        <f>G10-1</f>
        <v>24</v>
      </c>
      <c r="S6" s="190"/>
      <c r="T6" s="350"/>
      <c r="U6" s="190"/>
      <c r="V6"/>
      <c r="W6"/>
      <c r="X6"/>
      <c r="Y6"/>
    </row>
    <row r="7" spans="1:25" ht="18" x14ac:dyDescent="0.25">
      <c r="A7"/>
      <c r="B7" s="121" t="s">
        <v>200</v>
      </c>
      <c r="C7" s="279">
        <f>(50/Entradas2!C18)*0.8</f>
        <v>34.782608695652179</v>
      </c>
      <c r="D7"/>
      <c r="E7" s="518"/>
      <c r="F7" s="519"/>
      <c r="G7" s="520"/>
      <c r="H7" s="237"/>
      <c r="I7"/>
      <c r="J7"/>
      <c r="K7"/>
      <c r="L7"/>
      <c r="M7" s="190"/>
      <c r="N7" s="190"/>
      <c r="O7" s="190"/>
      <c r="P7" s="190"/>
      <c r="Q7" s="190" t="s">
        <v>133</v>
      </c>
      <c r="R7" s="355">
        <f>G4/R4</f>
        <v>24.240806224836572</v>
      </c>
      <c r="S7" s="190"/>
      <c r="T7" s="190"/>
      <c r="U7" s="190"/>
      <c r="V7"/>
      <c r="W7"/>
      <c r="X7"/>
      <c r="Y7"/>
    </row>
    <row r="8" spans="1:25" ht="15.75" thickBot="1" x14ac:dyDescent="0.3">
      <c r="A8"/>
      <c r="B8" s="122" t="s">
        <v>136</v>
      </c>
      <c r="C8" s="280">
        <f>Entradas2!C22</f>
        <v>23</v>
      </c>
      <c r="D8"/>
      <c r="E8" s="179"/>
      <c r="F8" s="180"/>
      <c r="G8" s="181"/>
      <c r="H8" s="237"/>
      <c r="I8"/>
      <c r="J8"/>
      <c r="K8"/>
      <c r="L8"/>
      <c r="M8" s="190"/>
      <c r="N8" s="190"/>
      <c r="O8" s="190"/>
      <c r="P8" s="190"/>
      <c r="Q8" s="190" t="s">
        <v>137</v>
      </c>
      <c r="R8" s="355">
        <v>20</v>
      </c>
      <c r="S8" s="190"/>
      <c r="T8" s="190"/>
      <c r="U8" s="190"/>
      <c r="V8"/>
      <c r="W8"/>
      <c r="X8"/>
      <c r="Y8"/>
    </row>
    <row r="9" spans="1:25" ht="15.75" thickBot="1" x14ac:dyDescent="0.3">
      <c r="A9"/>
      <c r="B9"/>
      <c r="C9"/>
      <c r="D9"/>
      <c r="E9" s="34"/>
      <c r="F9" s="34"/>
      <c r="G9" s="34"/>
      <c r="H9" s="34"/>
      <c r="I9"/>
      <c r="J9"/>
      <c r="K9"/>
      <c r="L9"/>
      <c r="M9" s="190"/>
      <c r="N9" s="190"/>
      <c r="O9" s="190"/>
      <c r="P9" s="190"/>
      <c r="Q9" s="190"/>
      <c r="R9" s="355">
        <f>1.2*19</f>
        <v>22.8</v>
      </c>
      <c r="S9" s="190"/>
      <c r="T9" s="190"/>
      <c r="U9" s="190"/>
      <c r="V9"/>
      <c r="W9"/>
      <c r="X9"/>
      <c r="Y9"/>
    </row>
    <row r="10" spans="1:25" ht="15.75" thickBot="1" x14ac:dyDescent="0.3">
      <c r="A10"/>
      <c r="B10" s="521" t="s">
        <v>214</v>
      </c>
      <c r="C10" s="465"/>
      <c r="D10"/>
      <c r="E10" s="489" t="s">
        <v>134</v>
      </c>
      <c r="F10" s="491"/>
      <c r="G10" s="282">
        <f>ROUNDUP(R7,0)</f>
        <v>25</v>
      </c>
      <c r="H10"/>
      <c r="I10"/>
      <c r="J10"/>
      <c r="K10"/>
      <c r="L10"/>
      <c r="M10" s="190"/>
      <c r="N10" s="190"/>
      <c r="O10" s="190"/>
      <c r="P10" s="190"/>
      <c r="Q10" s="190"/>
      <c r="R10" s="355">
        <f>D125</f>
        <v>6.3</v>
      </c>
      <c r="S10" s="190"/>
      <c r="T10" s="190"/>
      <c r="U10" s="190"/>
      <c r="V10"/>
      <c r="W10"/>
      <c r="X10"/>
      <c r="Y10"/>
    </row>
    <row r="11" spans="1:25" ht="15.75" thickBot="1" x14ac:dyDescent="0.3">
      <c r="A11"/>
      <c r="B11" s="122" t="s">
        <v>204</v>
      </c>
      <c r="C11" s="280">
        <v>0.7</v>
      </c>
      <c r="D11"/>
      <c r="E11" s="529" t="s">
        <v>139</v>
      </c>
      <c r="F11" s="530"/>
      <c r="G11" s="588">
        <f>O3</f>
        <v>1.7395833333333333</v>
      </c>
      <c r="H11"/>
      <c r="I11"/>
      <c r="J11"/>
      <c r="K11"/>
      <c r="L11"/>
      <c r="M11" s="190"/>
      <c r="N11" s="190"/>
      <c r="O11" s="190"/>
      <c r="P11" s="190"/>
      <c r="Q11" s="190" t="s">
        <v>138</v>
      </c>
      <c r="R11" s="355">
        <f>(LARGE(R8:R10,1))/10</f>
        <v>2.2800000000000002</v>
      </c>
      <c r="S11" s="190"/>
      <c r="T11" s="190"/>
      <c r="U11" s="190"/>
      <c r="V11"/>
      <c r="W11"/>
      <c r="X11"/>
      <c r="Y11"/>
    </row>
    <row r="12" spans="1:25" ht="15.75" thickBot="1" x14ac:dyDescent="0.3">
      <c r="A12"/>
      <c r="B12"/>
      <c r="C12"/>
      <c r="D12"/>
      <c r="E12" s="531"/>
      <c r="F12" s="532"/>
      <c r="G12" s="589"/>
      <c r="H12"/>
      <c r="I12"/>
      <c r="J12"/>
      <c r="K12"/>
      <c r="L12"/>
      <c r="M12" s="190"/>
      <c r="N12" s="190"/>
      <c r="O12" s="190"/>
      <c r="P12" s="190"/>
      <c r="Q12" s="190" t="s">
        <v>140</v>
      </c>
      <c r="R12" s="355">
        <f>((C8)-G10*(D125/10))/R6</f>
        <v>0.30208333333333331</v>
      </c>
      <c r="S12" s="190"/>
      <c r="T12" s="190"/>
      <c r="U12" s="190"/>
      <c r="V12"/>
      <c r="W12"/>
      <c r="X12"/>
      <c r="Y12"/>
    </row>
    <row r="13" spans="1:25" ht="15.75" thickBot="1" x14ac:dyDescent="0.3">
      <c r="A13"/>
      <c r="B13" s="521" t="s">
        <v>215</v>
      </c>
      <c r="C13" s="465"/>
      <c r="D13"/>
      <c r="E13"/>
      <c r="F13"/>
      <c r="G13"/>
      <c r="H13"/>
      <c r="I13"/>
      <c r="J13"/>
      <c r="K13"/>
      <c r="L13"/>
      <c r="M13" s="190"/>
      <c r="N13" s="190"/>
      <c r="O13" s="190"/>
      <c r="P13" s="190"/>
      <c r="Q13" s="190"/>
      <c r="R13" s="355"/>
      <c r="S13" s="190"/>
      <c r="T13" s="190"/>
      <c r="U13" s="190"/>
      <c r="V13"/>
      <c r="W13"/>
      <c r="X13"/>
      <c r="Y13"/>
    </row>
    <row r="14" spans="1:25" ht="18.75" thickBot="1" x14ac:dyDescent="0.3">
      <c r="A14"/>
      <c r="B14" s="122" t="s">
        <v>201</v>
      </c>
      <c r="C14" s="280">
        <v>2.25</v>
      </c>
      <c r="D14"/>
      <c r="E14" s="535" t="s">
        <v>141</v>
      </c>
      <c r="F14" s="536"/>
      <c r="G14" s="537"/>
      <c r="H14" s="489" t="s">
        <v>210</v>
      </c>
      <c r="I14" s="490"/>
      <c r="J14" s="491"/>
      <c r="K14"/>
      <c r="L14"/>
      <c r="M14" s="190"/>
      <c r="N14" s="190"/>
      <c r="O14" s="190"/>
      <c r="P14" s="190"/>
      <c r="Q14" s="190" t="s">
        <v>149</v>
      </c>
      <c r="R14" s="355">
        <f>G10*R4</f>
        <v>7.793113276311181</v>
      </c>
      <c r="S14" s="190"/>
      <c r="T14" s="190"/>
      <c r="U14" s="190"/>
      <c r="V14"/>
      <c r="W14"/>
      <c r="X14"/>
      <c r="Y14"/>
    </row>
    <row r="15" spans="1:25" ht="15.75" thickBot="1" x14ac:dyDescent="0.3">
      <c r="A15"/>
      <c r="B15"/>
      <c r="C15"/>
      <c r="D15"/>
      <c r="E15" s="492" t="s">
        <v>143</v>
      </c>
      <c r="F15" s="493"/>
      <c r="G15" s="141">
        <f>'6 Estacas'!L6-C6+(C8/2)</f>
        <v>34</v>
      </c>
      <c r="H15" s="494" t="str">
        <f>IF(G16&lt;=G15,"Verificação Atendida","Aumentar o Diâmetro da Barra ou fck do Concreto")</f>
        <v>Verificação Atendida</v>
      </c>
      <c r="I15" s="495"/>
      <c r="J15" s="496"/>
      <c r="K15" s="276"/>
      <c r="L15"/>
      <c r="M15" s="190"/>
      <c r="N15" s="190"/>
      <c r="O15" s="190"/>
      <c r="P15" s="190"/>
      <c r="Q15" s="190"/>
      <c r="R15" s="355"/>
      <c r="S15" s="190"/>
      <c r="T15" s="190"/>
      <c r="U15" s="190"/>
      <c r="V15"/>
      <c r="W15"/>
      <c r="X15"/>
      <c r="Y15"/>
    </row>
    <row r="16" spans="1:25" ht="15.75" thickBot="1" x14ac:dyDescent="0.3">
      <c r="A16"/>
      <c r="B16" s="521" t="s">
        <v>216</v>
      </c>
      <c r="C16" s="465"/>
      <c r="D16"/>
      <c r="E16" s="500" t="s">
        <v>142</v>
      </c>
      <c r="F16" s="501"/>
      <c r="G16" s="142">
        <f>C11*R21*G4/R14</f>
        <v>12.885878064640552</v>
      </c>
      <c r="H16" s="497"/>
      <c r="I16" s="498"/>
      <c r="J16" s="499"/>
      <c r="K16" s="276"/>
      <c r="L16"/>
      <c r="M16" s="190"/>
      <c r="N16" s="190"/>
      <c r="O16" s="190"/>
      <c r="P16" s="190"/>
      <c r="Q16" s="190" t="s">
        <v>144</v>
      </c>
      <c r="R16" s="355">
        <f>0.3*0.7*Entradas2!C13^(2/3)</f>
        <v>1.795474744010531</v>
      </c>
      <c r="S16" s="190"/>
      <c r="T16" s="190"/>
      <c r="U16" s="190"/>
      <c r="V16"/>
      <c r="W16"/>
      <c r="X16"/>
      <c r="Y16"/>
    </row>
    <row r="17" spans="1:25" ht="18.75" thickBot="1" x14ac:dyDescent="0.3">
      <c r="A17"/>
      <c r="B17" s="122" t="s">
        <v>202</v>
      </c>
      <c r="C17" s="280">
        <v>1</v>
      </c>
      <c r="D17"/>
      <c r="E17" s="502" t="s">
        <v>180</v>
      </c>
      <c r="F17" s="503"/>
      <c r="G17" s="504"/>
      <c r="H17" s="2"/>
      <c r="I17" s="2"/>
      <c r="J17" s="2"/>
      <c r="K17"/>
      <c r="L17"/>
      <c r="M17" s="190"/>
      <c r="N17" s="190"/>
      <c r="O17" s="190"/>
      <c r="P17" s="190"/>
      <c r="Q17" s="190" t="s">
        <v>145</v>
      </c>
      <c r="R17" s="355">
        <f>R16/Entradas2!C17</f>
        <v>1.2824819600075221</v>
      </c>
      <c r="S17" s="190"/>
      <c r="T17" s="190"/>
      <c r="U17" s="190"/>
      <c r="V17"/>
      <c r="W17"/>
      <c r="X17"/>
      <c r="Y17"/>
    </row>
    <row r="18" spans="1:25" ht="15.75" thickBot="1" x14ac:dyDescent="0.3">
      <c r="A18"/>
      <c r="B18"/>
      <c r="C18"/>
      <c r="D18"/>
      <c r="E18" s="143"/>
      <c r="F18" s="538" t="s">
        <v>181</v>
      </c>
      <c r="G18" s="539"/>
      <c r="H18" s="2"/>
      <c r="I18" s="2"/>
      <c r="J18" s="2"/>
      <c r="K18"/>
      <c r="L18"/>
      <c r="M18" s="190"/>
      <c r="N18" s="190"/>
      <c r="O18" s="190"/>
      <c r="P18" s="190"/>
      <c r="Q18" s="190"/>
      <c r="R18" s="355"/>
      <c r="S18" s="190"/>
      <c r="T18" s="190"/>
      <c r="U18" s="190"/>
      <c r="V18"/>
      <c r="W18"/>
      <c r="X18"/>
      <c r="Y18"/>
    </row>
    <row r="19" spans="1:25" ht="15.75" thickBot="1" x14ac:dyDescent="0.3">
      <c r="A19"/>
      <c r="B19" s="521" t="s">
        <v>217</v>
      </c>
      <c r="C19" s="465"/>
      <c r="D19"/>
      <c r="E19" s="144"/>
      <c r="F19" s="540" t="s">
        <v>182</v>
      </c>
      <c r="G19" s="501"/>
      <c r="H19" s="2"/>
      <c r="I19" s="2"/>
      <c r="J19" s="2"/>
      <c r="K19"/>
      <c r="L19"/>
      <c r="M19" s="190"/>
      <c r="N19" s="190"/>
      <c r="O19" s="190"/>
      <c r="P19" s="190"/>
      <c r="Q19" s="190" t="s">
        <v>146</v>
      </c>
      <c r="R19" s="355">
        <f>C14*C17*C20*R17</f>
        <v>2.885584410016925</v>
      </c>
      <c r="S19" s="190"/>
      <c r="T19" s="190" t="s">
        <v>147</v>
      </c>
      <c r="U19" s="355">
        <f>R19/10</f>
        <v>0.28855844100169248</v>
      </c>
      <c r="V19"/>
      <c r="W19"/>
      <c r="X19"/>
      <c r="Y19"/>
    </row>
    <row r="20" spans="1:25" ht="18.75" thickBot="1" x14ac:dyDescent="0.3">
      <c r="A20"/>
      <c r="B20" s="122" t="s">
        <v>203</v>
      </c>
      <c r="C20" s="280">
        <v>1</v>
      </c>
      <c r="D20"/>
      <c r="E20"/>
      <c r="F20"/>
      <c r="G20"/>
      <c r="H20"/>
      <c r="I20"/>
      <c r="J20"/>
      <c r="K20"/>
      <c r="L20"/>
      <c r="M20" s="190"/>
      <c r="N20" s="190"/>
      <c r="O20" s="190"/>
      <c r="P20" s="190"/>
      <c r="Q20" s="190"/>
      <c r="R20" s="355"/>
      <c r="S20" s="190"/>
      <c r="T20" s="190"/>
      <c r="U20" s="190"/>
      <c r="V20"/>
      <c r="W20"/>
      <c r="X20"/>
      <c r="Y20"/>
    </row>
    <row r="21" spans="1:25" x14ac:dyDescent="0.25">
      <c r="A21"/>
      <c r="B21"/>
      <c r="C21"/>
      <c r="D21"/>
      <c r="E21" s="515" t="s">
        <v>150</v>
      </c>
      <c r="F21" s="517"/>
      <c r="G21" s="592">
        <f>IF(D125=20,8*D125,5*D125)</f>
        <v>31.5</v>
      </c>
      <c r="H21"/>
      <c r="I21"/>
      <c r="J21"/>
      <c r="K21"/>
      <c r="L21"/>
      <c r="M21" s="190"/>
      <c r="N21" s="190"/>
      <c r="O21" s="190"/>
      <c r="P21" s="190"/>
      <c r="Q21" s="190" t="s">
        <v>148</v>
      </c>
      <c r="R21" s="355">
        <f>(D125/10)*(C7/U19)/4</f>
        <v>18.984926764048765</v>
      </c>
      <c r="S21" s="190"/>
      <c r="T21" s="190"/>
      <c r="U21" s="190"/>
      <c r="V21"/>
      <c r="W21"/>
      <c r="X21"/>
      <c r="Y21"/>
    </row>
    <row r="22" spans="1:25" ht="15.75" thickBot="1" x14ac:dyDescent="0.3">
      <c r="A22"/>
      <c r="B22" s="190">
        <v>2</v>
      </c>
      <c r="C22"/>
      <c r="D22"/>
      <c r="E22" s="525"/>
      <c r="F22" s="526"/>
      <c r="G22" s="593"/>
      <c r="H22"/>
      <c r="I22"/>
      <c r="J22"/>
      <c r="K22"/>
      <c r="L22"/>
      <c r="M22" s="190"/>
      <c r="N22" s="190"/>
      <c r="O22" s="190"/>
      <c r="P22" s="190"/>
      <c r="Q22" s="190"/>
      <c r="R22" s="355"/>
      <c r="S22" s="190"/>
      <c r="T22" s="190"/>
      <c r="U22" s="190"/>
      <c r="V22"/>
      <c r="W22"/>
      <c r="X22"/>
      <c r="Y22"/>
    </row>
    <row r="23" spans="1:25" x14ac:dyDescent="0.25">
      <c r="A23"/>
      <c r="B23" s="191">
        <v>6.3</v>
      </c>
      <c r="E23" s="529" t="s">
        <v>151</v>
      </c>
      <c r="F23" s="530"/>
      <c r="G23" s="590">
        <f>IF(D125=20,CEILING(R24,1),CEILING(R23,1))</f>
        <v>175</v>
      </c>
      <c r="H23"/>
      <c r="I23"/>
      <c r="J23"/>
      <c r="K23"/>
      <c r="L23"/>
      <c r="M23" s="190"/>
      <c r="N23" s="190"/>
      <c r="O23" s="190"/>
      <c r="P23" s="190"/>
      <c r="Q23" s="190" t="s">
        <v>152</v>
      </c>
      <c r="R23" s="355">
        <f>2*'6 Estacas'!L7+2*('6 Estacas'!L6-C6-(G21/10)/2+PI()*(G21/10)/4+10*(D125/10))</f>
        <v>174.39800842940392</v>
      </c>
      <c r="S23" s="190"/>
      <c r="T23" s="190"/>
      <c r="U23" s="190"/>
      <c r="V23"/>
      <c r="W23"/>
      <c r="X23"/>
      <c r="Y23"/>
    </row>
    <row r="24" spans="1:25" ht="15.75" thickBot="1" x14ac:dyDescent="0.3">
      <c r="A24"/>
      <c r="B24" s="191">
        <v>5</v>
      </c>
      <c r="E24" s="531"/>
      <c r="F24" s="532"/>
      <c r="G24" s="591"/>
      <c r="H24" s="190">
        <f>ROUNDUP(G23,0)</f>
        <v>175</v>
      </c>
      <c r="I24" s="190"/>
      <c r="J24" s="190"/>
      <c r="K24" s="190"/>
      <c r="L24" s="190"/>
      <c r="M24" s="190"/>
      <c r="N24" s="190"/>
      <c r="O24" s="190"/>
      <c r="P24" s="190"/>
      <c r="Q24" s="190" t="s">
        <v>153</v>
      </c>
      <c r="R24" s="355">
        <f>2*'6 Estacas'!L7+2*('3 Estacas1'!N6-C6-(G21/10)/2+PI()*(G21/10)/2+2*(D125/10))</f>
        <v>169.26601685880786</v>
      </c>
      <c r="S24" s="190"/>
      <c r="T24" s="190"/>
      <c r="U24" s="190"/>
      <c r="V24"/>
      <c r="W24"/>
      <c r="X24"/>
      <c r="Y24"/>
    </row>
    <row r="25" spans="1:25" ht="18" x14ac:dyDescent="0.35">
      <c r="A25"/>
      <c r="B25" s="191">
        <v>6.3</v>
      </c>
      <c r="E25"/>
      <c r="F25"/>
      <c r="G25"/>
      <c r="H25" s="190"/>
      <c r="I25" s="190" t="s">
        <v>213</v>
      </c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190"/>
      <c r="V25"/>
      <c r="W25"/>
      <c r="X25"/>
      <c r="Y25"/>
    </row>
    <row r="26" spans="1:25" x14ac:dyDescent="0.25">
      <c r="A26"/>
      <c r="B26" s="191">
        <v>12.5</v>
      </c>
      <c r="F26"/>
      <c r="G26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/>
      <c r="W26"/>
      <c r="X26"/>
      <c r="Y26"/>
    </row>
    <row r="27" spans="1:25" x14ac:dyDescent="0.25">
      <c r="A27"/>
      <c r="B27" s="191">
        <v>16</v>
      </c>
      <c r="C27"/>
      <c r="D27"/>
      <c r="E27"/>
      <c r="F27"/>
      <c r="G27"/>
      <c r="H27" s="190"/>
      <c r="I27" s="190"/>
      <c r="J27" s="190"/>
      <c r="K27" s="190"/>
      <c r="L27" s="190"/>
      <c r="M27" s="190"/>
      <c r="N27" s="190"/>
      <c r="O27" s="190"/>
      <c r="P27" s="190"/>
      <c r="Q27" s="190" t="s">
        <v>168</v>
      </c>
      <c r="R27" s="190">
        <f>2*D125/10</f>
        <v>1.26</v>
      </c>
      <c r="S27" s="190"/>
      <c r="T27" s="190"/>
      <c r="U27" s="190"/>
      <c r="V27"/>
      <c r="W27"/>
      <c r="X27"/>
      <c r="Y27"/>
    </row>
    <row r="28" spans="1:25" ht="15.75" thickBot="1" x14ac:dyDescent="0.3">
      <c r="A28"/>
      <c r="B28" s="191">
        <v>20</v>
      </c>
      <c r="C28"/>
      <c r="D28"/>
      <c r="E28"/>
      <c r="F28"/>
      <c r="G28"/>
      <c r="H28" s="190"/>
      <c r="I28" s="190"/>
      <c r="J28" s="190"/>
      <c r="K28" s="190"/>
      <c r="L28" s="190"/>
      <c r="M28" s="190"/>
      <c r="N28" s="190"/>
      <c r="O28" s="190"/>
      <c r="P28" s="190"/>
      <c r="Q28" s="354" t="s">
        <v>169</v>
      </c>
      <c r="R28" s="190">
        <f>D125</f>
        <v>6.3</v>
      </c>
      <c r="S28" s="190"/>
      <c r="T28" s="190"/>
      <c r="U28" s="190"/>
      <c r="V28"/>
      <c r="W28"/>
      <c r="X28"/>
      <c r="Y28"/>
    </row>
    <row r="29" spans="1:25" ht="15" customHeight="1" x14ac:dyDescent="0.25">
      <c r="A29"/>
      <c r="B29" s="505" t="s">
        <v>225</v>
      </c>
      <c r="C29" s="506"/>
      <c r="D29" s="506"/>
      <c r="E29" s="506"/>
      <c r="F29" s="506"/>
      <c r="G29" s="507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/>
      <c r="W29"/>
      <c r="X29"/>
      <c r="Y29"/>
    </row>
    <row r="30" spans="1:25" ht="15.75" customHeight="1" thickBot="1" x14ac:dyDescent="0.3">
      <c r="A30"/>
      <c r="B30" s="508"/>
      <c r="C30" s="509"/>
      <c r="D30" s="509"/>
      <c r="E30" s="509"/>
      <c r="F30" s="509"/>
      <c r="G30" s="51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/>
      <c r="W30"/>
      <c r="X30"/>
      <c r="Y30"/>
    </row>
    <row r="31" spans="1:25" ht="15.75" thickBot="1" x14ac:dyDescent="0.3">
      <c r="A31"/>
      <c r="B31"/>
      <c r="C31"/>
      <c r="D31"/>
      <c r="E31"/>
      <c r="F31"/>
      <c r="G31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/>
      <c r="W31"/>
      <c r="X31"/>
      <c r="Y31"/>
    </row>
    <row r="32" spans="1:25" ht="19.5" thickBot="1" x14ac:dyDescent="0.35">
      <c r="A32"/>
      <c r="B32" s="511" t="s">
        <v>128</v>
      </c>
      <c r="C32" s="512"/>
      <c r="D32"/>
      <c r="E32" s="513" t="s">
        <v>205</v>
      </c>
      <c r="F32" s="514"/>
      <c r="G32" s="281">
        <f>3*(C33)/(C35)</f>
        <v>5.6660914424526769</v>
      </c>
      <c r="H32" s="190"/>
      <c r="I32" s="190"/>
      <c r="J32" s="190"/>
      <c r="K32" s="190"/>
      <c r="L32" s="190"/>
      <c r="M32" s="190"/>
      <c r="N32" s="190"/>
      <c r="O32" s="190"/>
      <c r="P32" s="190"/>
      <c r="Q32" s="190" t="s">
        <v>130</v>
      </c>
      <c r="R32" s="355">
        <f>(PI()*(E129/10)^2)/4</f>
        <v>0.31172453105244724</v>
      </c>
      <c r="S32" s="190"/>
      <c r="T32" s="190"/>
      <c r="U32" s="190"/>
      <c r="V32"/>
      <c r="W32"/>
      <c r="X32"/>
      <c r="Y32"/>
    </row>
    <row r="33" spans="1:25" ht="18.75" thickBot="1" x14ac:dyDescent="0.3">
      <c r="A33"/>
      <c r="B33" s="120" t="s">
        <v>167</v>
      </c>
      <c r="C33" s="277">
        <f>0.2*'6 Est. Arm'!C33</f>
        <v>65.6938138255383</v>
      </c>
      <c r="D33"/>
      <c r="E33"/>
      <c r="F33"/>
      <c r="G33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355"/>
      <c r="S33" s="190"/>
      <c r="T33" s="190"/>
      <c r="U33" s="190"/>
      <c r="V33"/>
      <c r="W33"/>
      <c r="X33"/>
      <c r="Y33"/>
    </row>
    <row r="34" spans="1:25" ht="15" customHeight="1" x14ac:dyDescent="0.25">
      <c r="A34"/>
      <c r="B34" s="121" t="s">
        <v>129</v>
      </c>
      <c r="C34" s="278">
        <v>4</v>
      </c>
      <c r="D34"/>
      <c r="E34" s="515" t="s">
        <v>131</v>
      </c>
      <c r="F34" s="516"/>
      <c r="G34" s="517"/>
      <c r="H34" s="348"/>
      <c r="I34" s="190"/>
      <c r="J34" s="190"/>
      <c r="K34" s="190"/>
      <c r="L34" s="190"/>
      <c r="M34" s="190"/>
      <c r="N34" s="190"/>
      <c r="O34" s="190"/>
      <c r="P34" s="190"/>
      <c r="Q34" s="190" t="s">
        <v>135</v>
      </c>
      <c r="R34" s="355">
        <f>G38-1</f>
        <v>18</v>
      </c>
      <c r="S34" s="190"/>
      <c r="T34" s="350"/>
      <c r="U34" s="190"/>
      <c r="V34"/>
      <c r="W34"/>
      <c r="X34"/>
      <c r="Y34"/>
    </row>
    <row r="35" spans="1:25" ht="18" x14ac:dyDescent="0.25">
      <c r="A35"/>
      <c r="B35" s="121" t="s">
        <v>200</v>
      </c>
      <c r="C35" s="279">
        <f>(50/Entradas2!C18)*0.8</f>
        <v>34.782608695652179</v>
      </c>
      <c r="D35"/>
      <c r="E35" s="518"/>
      <c r="F35" s="519"/>
      <c r="G35" s="520"/>
      <c r="H35" s="349"/>
      <c r="I35" s="190"/>
      <c r="J35" s="190"/>
      <c r="K35" s="190"/>
      <c r="L35" s="190"/>
      <c r="M35" s="190" t="s">
        <v>229</v>
      </c>
      <c r="N35" s="190">
        <f>((2*'6 Estacas'!L7-C36)-(G38*E129/10))/R34</f>
        <v>4.4461111111111116</v>
      </c>
      <c r="O35" s="190"/>
      <c r="P35" s="190"/>
      <c r="Q35" s="190" t="s">
        <v>133</v>
      </c>
      <c r="R35" s="355">
        <f>G32/R32</f>
        <v>18.176597854916221</v>
      </c>
      <c r="S35" s="190"/>
      <c r="T35" s="190"/>
      <c r="U35" s="190"/>
      <c r="V35"/>
      <c r="W35"/>
      <c r="X35"/>
      <c r="Y35"/>
    </row>
    <row r="36" spans="1:25" ht="15.75" thickBot="1" x14ac:dyDescent="0.3">
      <c r="A36"/>
      <c r="B36" s="122" t="s">
        <v>136</v>
      </c>
      <c r="C36" s="280">
        <f>Entradas2!C22</f>
        <v>23</v>
      </c>
      <c r="D36"/>
      <c r="E36" s="179"/>
      <c r="F36" s="180"/>
      <c r="G36" s="181"/>
      <c r="H36" s="349"/>
      <c r="I36" s="190"/>
      <c r="J36" s="190"/>
      <c r="K36" s="190"/>
      <c r="L36" s="190"/>
      <c r="M36" s="190"/>
      <c r="N36" s="190"/>
      <c r="O36" s="190"/>
      <c r="P36" s="190"/>
      <c r="Q36" s="190" t="s">
        <v>137</v>
      </c>
      <c r="R36" s="355">
        <v>20</v>
      </c>
      <c r="S36" s="190"/>
      <c r="T36" s="190"/>
      <c r="U36" s="190"/>
      <c r="V36"/>
      <c r="W36"/>
      <c r="X36"/>
      <c r="Y36"/>
    </row>
    <row r="37" spans="1:25" ht="15" customHeight="1" thickBot="1" x14ac:dyDescent="0.3">
      <c r="A37"/>
      <c r="B37"/>
      <c r="C37"/>
      <c r="D37"/>
      <c r="E37" s="34"/>
      <c r="F37" s="34"/>
      <c r="G37" s="34"/>
      <c r="H37" s="34"/>
      <c r="I37"/>
      <c r="J37"/>
      <c r="K37"/>
      <c r="L37"/>
      <c r="M37" s="190"/>
      <c r="N37" s="190"/>
      <c r="O37" s="190"/>
      <c r="P37" s="190"/>
      <c r="Q37" s="190"/>
      <c r="R37" s="355">
        <f>1.2*19</f>
        <v>22.8</v>
      </c>
      <c r="S37" s="190"/>
      <c r="T37" s="190"/>
      <c r="U37" s="190"/>
      <c r="V37"/>
      <c r="W37"/>
      <c r="X37"/>
      <c r="Y37"/>
    </row>
    <row r="38" spans="1:25" ht="15.75" customHeight="1" thickBot="1" x14ac:dyDescent="0.3">
      <c r="A38"/>
      <c r="B38" s="521" t="s">
        <v>214</v>
      </c>
      <c r="C38" s="465"/>
      <c r="D38"/>
      <c r="E38" s="489" t="s">
        <v>134</v>
      </c>
      <c r="F38" s="491"/>
      <c r="G38" s="282">
        <f>ROUNDUP(R35,0)</f>
        <v>19</v>
      </c>
      <c r="H38"/>
      <c r="I38"/>
      <c r="J38"/>
      <c r="K38"/>
      <c r="L38"/>
      <c r="M38" s="190"/>
      <c r="N38" s="190"/>
      <c r="O38" s="190"/>
      <c r="P38" s="190"/>
      <c r="Q38" s="190"/>
      <c r="R38" s="355">
        <f>E129</f>
        <v>6.3</v>
      </c>
      <c r="S38" s="190"/>
      <c r="T38" s="190"/>
      <c r="U38" s="190"/>
      <c r="V38"/>
      <c r="W38"/>
      <c r="X38"/>
      <c r="Y38"/>
    </row>
    <row r="39" spans="1:25" ht="15.75" customHeight="1" thickBot="1" x14ac:dyDescent="0.3">
      <c r="A39"/>
      <c r="B39" s="122" t="s">
        <v>204</v>
      </c>
      <c r="C39" s="280">
        <v>0.7</v>
      </c>
      <c r="D39"/>
      <c r="E39" s="541" t="s">
        <v>139</v>
      </c>
      <c r="F39" s="542"/>
      <c r="G39" s="636">
        <f>N35</f>
        <v>4.4461111111111116</v>
      </c>
      <c r="H39"/>
      <c r="I39"/>
      <c r="J39"/>
      <c r="K39"/>
      <c r="L39"/>
      <c r="M39" s="190"/>
      <c r="N39" s="190"/>
      <c r="O39" s="190"/>
      <c r="P39" s="190"/>
      <c r="Q39" s="190" t="s">
        <v>138</v>
      </c>
      <c r="R39" s="355">
        <f>(LARGE(R36:R38,1))/10</f>
        <v>2.2800000000000002</v>
      </c>
      <c r="S39" s="190"/>
      <c r="T39" s="190"/>
      <c r="U39" s="190"/>
      <c r="V39"/>
      <c r="W39"/>
      <c r="X39"/>
      <c r="Y39"/>
    </row>
    <row r="40" spans="1:25" ht="15.75" thickBot="1" x14ac:dyDescent="0.3">
      <c r="A40"/>
      <c r="B40"/>
      <c r="C40"/>
      <c r="D40"/>
      <c r="E40" s="531"/>
      <c r="F40" s="532"/>
      <c r="G40" s="637"/>
      <c r="H40"/>
      <c r="I40"/>
      <c r="J40"/>
      <c r="K40"/>
      <c r="L40"/>
      <c r="M40" s="190"/>
      <c r="N40" s="190"/>
      <c r="O40" s="190"/>
      <c r="P40" s="190"/>
      <c r="Q40" s="190" t="s">
        <v>140</v>
      </c>
      <c r="R40" s="355">
        <f>((C36)-G38*(E129/10))/R34</f>
        <v>0.61277777777777775</v>
      </c>
      <c r="S40" s="190"/>
      <c r="T40" s="190"/>
      <c r="U40" s="190"/>
      <c r="V40"/>
      <c r="W40"/>
      <c r="X40"/>
      <c r="Y40"/>
    </row>
    <row r="41" spans="1:25" ht="15.75" thickBot="1" x14ac:dyDescent="0.3">
      <c r="A41"/>
      <c r="B41" s="521" t="s">
        <v>215</v>
      </c>
      <c r="C41" s="465"/>
      <c r="D41"/>
      <c r="E41"/>
      <c r="F41"/>
      <c r="G41"/>
      <c r="H41"/>
      <c r="I41"/>
      <c r="J41"/>
      <c r="K41"/>
      <c r="L41"/>
      <c r="M41" s="190"/>
      <c r="N41" s="190"/>
      <c r="O41" s="190"/>
      <c r="P41" s="190"/>
      <c r="Q41" s="190"/>
      <c r="R41" s="355"/>
      <c r="S41" s="190"/>
      <c r="T41" s="190"/>
      <c r="U41" s="190"/>
      <c r="V41"/>
      <c r="W41"/>
      <c r="X41"/>
      <c r="Y41"/>
    </row>
    <row r="42" spans="1:25" ht="15" customHeight="1" thickBot="1" x14ac:dyDescent="0.3">
      <c r="A42"/>
      <c r="B42" s="122" t="s">
        <v>201</v>
      </c>
      <c r="C42" s="280">
        <v>2.25</v>
      </c>
      <c r="D42"/>
      <c r="E42" s="535" t="s">
        <v>141</v>
      </c>
      <c r="F42" s="536"/>
      <c r="G42" s="537"/>
      <c r="H42" s="489" t="s">
        <v>210</v>
      </c>
      <c r="I42" s="490"/>
      <c r="J42" s="491"/>
      <c r="K42"/>
      <c r="L42"/>
      <c r="M42" s="190"/>
      <c r="N42" s="190"/>
      <c r="O42" s="190"/>
      <c r="P42" s="190"/>
      <c r="Q42" s="190" t="s">
        <v>149</v>
      </c>
      <c r="R42" s="355">
        <f>G38*R32</f>
        <v>5.9227660899964976</v>
      </c>
      <c r="S42" s="190"/>
      <c r="T42" s="190"/>
      <c r="U42" s="190"/>
      <c r="V42"/>
      <c r="W42"/>
      <c r="X42"/>
      <c r="Y42"/>
    </row>
    <row r="43" spans="1:25" ht="15.75" thickBot="1" x14ac:dyDescent="0.3">
      <c r="A43"/>
      <c r="B43"/>
      <c r="C43"/>
      <c r="D43"/>
      <c r="E43" s="626" t="s">
        <v>143</v>
      </c>
      <c r="F43" s="627"/>
      <c r="G43" s="141">
        <f>'6 Estacas'!L6-C34+(C36/2)</f>
        <v>34</v>
      </c>
      <c r="H43" s="494" t="str">
        <f>IF(G44&lt;=G43,"Verificação Atendida","Aumentar o Diâmetro da Barra ou fck do Concreto")</f>
        <v>Verificação Atendida</v>
      </c>
      <c r="I43" s="495"/>
      <c r="J43" s="496"/>
      <c r="K43" s="276"/>
      <c r="L43"/>
      <c r="M43" s="190"/>
      <c r="N43" s="190"/>
      <c r="O43" s="190"/>
      <c r="P43" s="190"/>
      <c r="Q43" s="190"/>
      <c r="R43" s="355"/>
      <c r="S43" s="190"/>
      <c r="T43" s="190"/>
      <c r="U43" s="190"/>
      <c r="V43"/>
      <c r="W43"/>
      <c r="X43"/>
      <c r="Y43"/>
    </row>
    <row r="44" spans="1:25" ht="15.75" thickBot="1" x14ac:dyDescent="0.3">
      <c r="A44"/>
      <c r="B44" s="521" t="s">
        <v>216</v>
      </c>
      <c r="C44" s="465"/>
      <c r="D44"/>
      <c r="E44" s="630" t="s">
        <v>142</v>
      </c>
      <c r="F44" s="631"/>
      <c r="G44" s="142">
        <f>C39*R49*G32/R42</f>
        <v>12.71352449297922</v>
      </c>
      <c r="H44" s="497"/>
      <c r="I44" s="498"/>
      <c r="J44" s="499"/>
      <c r="K44" s="276"/>
      <c r="L44"/>
      <c r="M44" s="190"/>
      <c r="N44" s="190"/>
      <c r="O44" s="190"/>
      <c r="P44" s="190"/>
      <c r="Q44" s="190" t="s">
        <v>144</v>
      </c>
      <c r="R44" s="355">
        <f>0.3*0.7*Entradas2!C13^(2/3)</f>
        <v>1.795474744010531</v>
      </c>
      <c r="S44" s="190"/>
      <c r="T44" s="190"/>
      <c r="U44" s="190"/>
      <c r="V44"/>
      <c r="W44"/>
      <c r="X44"/>
      <c r="Y44"/>
    </row>
    <row r="45" spans="1:25" ht="18.75" thickBot="1" x14ac:dyDescent="0.3">
      <c r="A45"/>
      <c r="B45" s="122" t="s">
        <v>202</v>
      </c>
      <c r="C45" s="280">
        <v>1</v>
      </c>
      <c r="D45"/>
      <c r="E45" s="623" t="s">
        <v>180</v>
      </c>
      <c r="F45" s="624"/>
      <c r="G45" s="625"/>
      <c r="H45" s="2"/>
      <c r="I45" s="2"/>
      <c r="J45" s="2"/>
      <c r="K45"/>
      <c r="L45"/>
      <c r="M45" s="190"/>
      <c r="N45" s="190"/>
      <c r="O45" s="190"/>
      <c r="P45" s="190"/>
      <c r="Q45" s="190" t="s">
        <v>145</v>
      </c>
      <c r="R45" s="355">
        <f>R44/Entradas2!C17</f>
        <v>1.2824819600075221</v>
      </c>
      <c r="S45" s="190"/>
      <c r="T45" s="190"/>
      <c r="U45" s="190"/>
      <c r="V45"/>
      <c r="W45"/>
      <c r="X45"/>
      <c r="Y45"/>
    </row>
    <row r="46" spans="1:25" ht="15.75" thickBot="1" x14ac:dyDescent="0.3">
      <c r="A46"/>
      <c r="B46"/>
      <c r="C46"/>
      <c r="D46"/>
      <c r="E46" s="143"/>
      <c r="F46" s="626" t="s">
        <v>181</v>
      </c>
      <c r="G46" s="627"/>
      <c r="H46" s="2"/>
      <c r="I46" s="2"/>
      <c r="J46" s="2"/>
      <c r="K46"/>
      <c r="L46"/>
      <c r="M46" s="190"/>
      <c r="N46" s="190"/>
      <c r="O46" s="190"/>
      <c r="P46" s="190"/>
      <c r="Q46" s="190"/>
      <c r="R46" s="355"/>
      <c r="S46" s="190"/>
      <c r="T46" s="190"/>
      <c r="U46" s="190"/>
      <c r="V46"/>
      <c r="W46"/>
      <c r="X46"/>
      <c r="Y46"/>
    </row>
    <row r="47" spans="1:25" ht="15.75" customHeight="1" thickBot="1" x14ac:dyDescent="0.3">
      <c r="A47"/>
      <c r="B47" s="521" t="s">
        <v>217</v>
      </c>
      <c r="C47" s="465"/>
      <c r="D47"/>
      <c r="E47" s="144"/>
      <c r="F47" s="630" t="s">
        <v>182</v>
      </c>
      <c r="G47" s="631"/>
      <c r="H47" s="2"/>
      <c r="I47" s="2"/>
      <c r="J47" s="2"/>
      <c r="K47"/>
      <c r="L47"/>
      <c r="M47" s="190"/>
      <c r="N47" s="190"/>
      <c r="O47" s="190"/>
      <c r="P47" s="190"/>
      <c r="Q47" s="190" t="s">
        <v>146</v>
      </c>
      <c r="R47" s="355">
        <f>C42*C45*C48*R45</f>
        <v>2.885584410016925</v>
      </c>
      <c r="S47" s="190"/>
      <c r="T47" s="190" t="s">
        <v>147</v>
      </c>
      <c r="U47" s="355">
        <f>R47/10</f>
        <v>0.28855844100169248</v>
      </c>
      <c r="V47"/>
      <c r="W47"/>
      <c r="X47"/>
      <c r="Y47"/>
    </row>
    <row r="48" spans="1:25" ht="18.75" thickBot="1" x14ac:dyDescent="0.3">
      <c r="A48"/>
      <c r="B48" s="122" t="s">
        <v>203</v>
      </c>
      <c r="C48" s="280">
        <v>1</v>
      </c>
      <c r="D48"/>
      <c r="E48"/>
      <c r="F48"/>
      <c r="G48"/>
      <c r="H48"/>
      <c r="I48"/>
      <c r="J48"/>
      <c r="K48"/>
      <c r="L48"/>
      <c r="M48" s="190"/>
      <c r="N48" s="190"/>
      <c r="O48" s="190"/>
      <c r="P48" s="190"/>
      <c r="Q48" s="190"/>
      <c r="R48" s="355"/>
      <c r="S48" s="190"/>
      <c r="T48" s="190"/>
      <c r="U48" s="190"/>
      <c r="V48"/>
      <c r="W48"/>
      <c r="X48"/>
      <c r="Y48"/>
    </row>
    <row r="49" spans="1:25" ht="15" customHeight="1" x14ac:dyDescent="0.25">
      <c r="A49"/>
      <c r="B49"/>
      <c r="C49"/>
      <c r="D49"/>
      <c r="E49" s="515" t="s">
        <v>150</v>
      </c>
      <c r="F49" s="517"/>
      <c r="G49" s="632">
        <f>IF(E129=20,8*E129,5*E129)</f>
        <v>31.5</v>
      </c>
      <c r="H49"/>
      <c r="I49"/>
      <c r="J49"/>
      <c r="K49"/>
      <c r="L49"/>
      <c r="M49" s="190"/>
      <c r="N49" s="190"/>
      <c r="O49" s="190"/>
      <c r="P49" s="190"/>
      <c r="Q49" s="190" t="s">
        <v>148</v>
      </c>
      <c r="R49" s="355">
        <f>(E129/10)*(C35/U47)/4</f>
        <v>18.984926764048765</v>
      </c>
      <c r="S49" s="190"/>
      <c r="T49" s="190"/>
      <c r="U49" s="190"/>
      <c r="V49"/>
      <c r="W49"/>
      <c r="X49"/>
      <c r="Y49"/>
    </row>
    <row r="50" spans="1:25" ht="15.75" thickBot="1" x14ac:dyDescent="0.3">
      <c r="A50"/>
      <c r="B50" s="103"/>
      <c r="C50"/>
      <c r="D50"/>
      <c r="E50" s="525"/>
      <c r="F50" s="526"/>
      <c r="G50" s="633"/>
      <c r="H50"/>
      <c r="I50"/>
      <c r="J50"/>
      <c r="K50"/>
      <c r="L50"/>
      <c r="M50" s="190"/>
      <c r="N50" s="190"/>
      <c r="O50" s="190"/>
      <c r="P50" s="190"/>
      <c r="Q50" s="190"/>
      <c r="R50" s="355"/>
      <c r="S50" s="190"/>
      <c r="T50" s="190"/>
      <c r="U50" s="190"/>
      <c r="V50"/>
      <c r="W50"/>
      <c r="X50"/>
      <c r="Y50"/>
    </row>
    <row r="51" spans="1:25" ht="15" customHeight="1" x14ac:dyDescent="0.25">
      <c r="A51"/>
      <c r="B51"/>
      <c r="C51"/>
      <c r="D51"/>
      <c r="E51" s="541" t="s">
        <v>151</v>
      </c>
      <c r="F51" s="542"/>
      <c r="G51" s="634">
        <f>IF(E129=20,CEILING(R52,1),CEILING(R51,1))</f>
        <v>117</v>
      </c>
      <c r="H51"/>
      <c r="I51"/>
      <c r="J51"/>
      <c r="K51"/>
      <c r="L51"/>
      <c r="M51" s="190"/>
      <c r="N51" s="190"/>
      <c r="O51" s="190"/>
      <c r="P51" s="190"/>
      <c r="Q51" s="190" t="s">
        <v>152</v>
      </c>
      <c r="R51" s="355">
        <f>'6 Estacas'!L7+2*('6 Estacas'!L6-C34-(G49/10)/2+PI()*(G49/10)/4+10*(E129/10))</f>
        <v>116.89800842940392</v>
      </c>
      <c r="S51" s="190"/>
      <c r="T51" s="190"/>
      <c r="U51" s="190"/>
      <c r="V51"/>
      <c r="W51"/>
      <c r="X51"/>
      <c r="Y51"/>
    </row>
    <row r="52" spans="1:25" ht="15.75" thickBot="1" x14ac:dyDescent="0.3">
      <c r="A52"/>
      <c r="B52"/>
      <c r="C52"/>
      <c r="D52"/>
      <c r="E52" s="531"/>
      <c r="F52" s="532"/>
      <c r="G52" s="635"/>
      <c r="H52" s="190">
        <f>ROUNDUP(G51,0)</f>
        <v>117</v>
      </c>
      <c r="I52" s="190"/>
      <c r="J52"/>
      <c r="K52"/>
      <c r="L52"/>
      <c r="M52" s="190"/>
      <c r="N52" s="190"/>
      <c r="O52" s="190"/>
      <c r="P52" s="190"/>
      <c r="Q52" s="190" t="s">
        <v>153</v>
      </c>
      <c r="R52" s="355">
        <f>'6 Estacas'!L7+2*('6 Estacas'!L6-C34-(G49/10)/2+PI()*(G49/10)/2+2*(E129/10))</f>
        <v>111.76601685880786</v>
      </c>
      <c r="S52" s="190"/>
      <c r="T52" s="190"/>
      <c r="U52" s="190"/>
      <c r="V52"/>
      <c r="W52"/>
      <c r="X52"/>
      <c r="Y52"/>
    </row>
    <row r="53" spans="1:25" x14ac:dyDescent="0.25">
      <c r="A53"/>
      <c r="B53"/>
      <c r="C53"/>
      <c r="D53"/>
      <c r="E53"/>
      <c r="F53"/>
      <c r="G53"/>
      <c r="H53" s="190"/>
      <c r="I53" s="190"/>
      <c r="J53"/>
      <c r="K53"/>
      <c r="L53"/>
      <c r="M53" s="190"/>
      <c r="N53" s="190"/>
      <c r="O53" s="190"/>
      <c r="P53" s="190"/>
      <c r="Q53" s="190"/>
      <c r="R53" s="190"/>
      <c r="S53" s="190"/>
      <c r="T53" s="190"/>
      <c r="U53" s="190"/>
      <c r="V53"/>
      <c r="W53"/>
      <c r="X53"/>
      <c r="Y53"/>
    </row>
    <row r="54" spans="1:25" x14ac:dyDescent="0.25">
      <c r="A54"/>
      <c r="B54"/>
      <c r="C54"/>
      <c r="D54"/>
      <c r="E54"/>
      <c r="F54"/>
      <c r="G54"/>
      <c r="H54" s="190"/>
      <c r="I54" s="190"/>
      <c r="J54"/>
      <c r="K54"/>
      <c r="L54"/>
      <c r="M54" s="190"/>
      <c r="N54" s="190"/>
      <c r="O54" s="190"/>
      <c r="P54" s="190"/>
      <c r="Q54" s="190"/>
      <c r="R54" s="190"/>
      <c r="S54" s="190"/>
      <c r="T54" s="190"/>
      <c r="U54" s="190"/>
      <c r="V54"/>
      <c r="W54"/>
      <c r="X54"/>
      <c r="Y54"/>
    </row>
    <row r="55" spans="1:25" x14ac:dyDescent="0.25">
      <c r="A55"/>
      <c r="B55"/>
      <c r="C55"/>
      <c r="D55"/>
      <c r="E55"/>
      <c r="F55"/>
      <c r="G55"/>
      <c r="H55" s="190"/>
      <c r="I55" s="190"/>
      <c r="J55"/>
      <c r="K55"/>
      <c r="L55"/>
      <c r="M55" s="190"/>
      <c r="N55" s="190"/>
      <c r="O55" s="190"/>
      <c r="P55" s="190"/>
      <c r="Q55" s="190" t="s">
        <v>168</v>
      </c>
      <c r="R55" s="190">
        <f>2*E129/10</f>
        <v>1.26</v>
      </c>
      <c r="S55" s="190"/>
      <c r="T55" s="190"/>
      <c r="U55" s="190"/>
      <c r="V55"/>
      <c r="W55"/>
      <c r="X55"/>
      <c r="Y55"/>
    </row>
    <row r="56" spans="1:25" x14ac:dyDescent="0.25">
      <c r="A56"/>
      <c r="B56"/>
      <c r="C56"/>
      <c r="D56"/>
      <c r="E56"/>
      <c r="F56"/>
      <c r="G56"/>
      <c r="H56" s="190"/>
      <c r="I56" s="190"/>
      <c r="J56"/>
      <c r="K56"/>
      <c r="L56"/>
      <c r="M56" s="190"/>
      <c r="N56" s="190"/>
      <c r="O56" s="190"/>
      <c r="P56" s="190"/>
      <c r="Q56" s="354" t="s">
        <v>169</v>
      </c>
      <c r="R56" s="190">
        <f>E129</f>
        <v>6.3</v>
      </c>
      <c r="S56" s="190"/>
      <c r="T56" s="190"/>
      <c r="U56" s="190"/>
      <c r="V56"/>
      <c r="W56"/>
      <c r="X56"/>
      <c r="Y56"/>
    </row>
    <row r="57" spans="1:25" ht="15" customHeight="1" x14ac:dyDescent="0.25">
      <c r="A57"/>
      <c r="B57"/>
      <c r="C57"/>
      <c r="D57"/>
      <c r="E57"/>
      <c r="F57"/>
      <c r="G57"/>
      <c r="H57" s="190"/>
      <c r="I57" s="190"/>
      <c r="J57"/>
      <c r="K57"/>
      <c r="L57"/>
      <c r="M57" s="190"/>
      <c r="N57" s="190"/>
      <c r="O57" s="190"/>
      <c r="P57" s="190"/>
      <c r="Q57" s="190"/>
      <c r="R57" s="190"/>
      <c r="S57" s="190"/>
      <c r="T57" s="190"/>
      <c r="U57" s="190"/>
      <c r="V57"/>
      <c r="W57"/>
      <c r="X57"/>
      <c r="Y57"/>
    </row>
    <row r="58" spans="1:25" x14ac:dyDescent="0.25">
      <c r="A58"/>
      <c r="F58"/>
      <c r="G58"/>
      <c r="H58" s="190"/>
      <c r="I58" s="190"/>
      <c r="J58"/>
      <c r="K58"/>
      <c r="L58"/>
      <c r="M58" s="190"/>
      <c r="N58" s="190"/>
      <c r="O58" s="190"/>
      <c r="P58" s="190"/>
      <c r="Q58" s="190" t="s">
        <v>227</v>
      </c>
      <c r="R58" s="190"/>
      <c r="S58" s="190"/>
      <c r="T58" s="190"/>
      <c r="U58" s="190"/>
      <c r="V58"/>
      <c r="W58"/>
      <c r="X58"/>
      <c r="Y58"/>
    </row>
    <row r="59" spans="1:25" ht="15" customHeight="1" x14ac:dyDescent="0.25">
      <c r="A59"/>
      <c r="F59"/>
      <c r="G59"/>
      <c r="H59" s="190"/>
      <c r="I59" s="190"/>
      <c r="J59"/>
      <c r="K59"/>
      <c r="L59"/>
      <c r="M59" s="190"/>
      <c r="N59" s="190"/>
      <c r="O59" s="190"/>
      <c r="P59" s="190"/>
      <c r="Q59" s="190"/>
      <c r="R59" s="190"/>
      <c r="S59" s="190"/>
      <c r="T59" s="190"/>
      <c r="U59" s="190"/>
      <c r="V59"/>
      <c r="W59"/>
      <c r="X59"/>
      <c r="Y59"/>
    </row>
    <row r="60" spans="1:25" x14ac:dyDescent="0.25">
      <c r="A60"/>
      <c r="F60"/>
      <c r="G60"/>
      <c r="H60" s="190"/>
      <c r="I60" s="190"/>
      <c r="J60"/>
      <c r="K60"/>
      <c r="L60"/>
      <c r="M60" s="190"/>
      <c r="N60" s="190"/>
      <c r="O60" s="190"/>
      <c r="P60" s="190"/>
      <c r="Q60" s="190"/>
      <c r="R60" s="190"/>
      <c r="S60" s="190"/>
      <c r="T60" s="190"/>
      <c r="U60" s="190"/>
      <c r="V60"/>
      <c r="W60"/>
      <c r="X60"/>
      <c r="Y60"/>
    </row>
    <row r="61" spans="1:25" x14ac:dyDescent="0.25">
      <c r="A61"/>
      <c r="B61" s="126"/>
      <c r="C61"/>
      <c r="D61"/>
      <c r="E61"/>
      <c r="F61"/>
      <c r="G61"/>
      <c r="H61" s="190"/>
      <c r="I61" s="190"/>
      <c r="J61"/>
      <c r="K61"/>
      <c r="L61"/>
      <c r="M61" s="190"/>
      <c r="N61" s="190"/>
      <c r="O61" s="190"/>
      <c r="P61" s="190"/>
      <c r="Q61" s="190"/>
      <c r="R61" s="190"/>
      <c r="S61" s="190"/>
      <c r="T61" s="190"/>
      <c r="U61" s="190"/>
      <c r="V61"/>
      <c r="W61"/>
      <c r="X61"/>
      <c r="Y61"/>
    </row>
    <row r="62" spans="1:25" x14ac:dyDescent="0.25">
      <c r="A62"/>
      <c r="B62" s="126"/>
      <c r="C62"/>
      <c r="D62"/>
      <c r="E62"/>
      <c r="F62"/>
      <c r="G62"/>
      <c r="H62" s="190"/>
      <c r="I62" s="190"/>
      <c r="J62"/>
      <c r="K62"/>
      <c r="L62"/>
      <c r="M62" s="190"/>
      <c r="N62" s="190"/>
      <c r="O62" s="190"/>
      <c r="P62" s="190"/>
      <c r="Q62" s="190"/>
      <c r="R62" s="190"/>
      <c r="S62" s="190"/>
      <c r="T62" s="190"/>
      <c r="U62" s="190"/>
      <c r="V62"/>
      <c r="W62"/>
      <c r="X62"/>
      <c r="Y62"/>
    </row>
    <row r="63" spans="1:25" ht="18" x14ac:dyDescent="0.35">
      <c r="G63"/>
      <c r="H63" s="190"/>
      <c r="I63" s="190" t="s">
        <v>213</v>
      </c>
      <c r="J63"/>
      <c r="K63"/>
      <c r="L63"/>
      <c r="M63" s="190"/>
      <c r="N63" s="190"/>
      <c r="O63" s="190"/>
      <c r="P63" s="190"/>
      <c r="Q63" s="190"/>
      <c r="R63" s="190"/>
      <c r="S63" s="190"/>
      <c r="T63" s="190"/>
      <c r="U63" s="190"/>
      <c r="V63"/>
      <c r="W63"/>
      <c r="X63"/>
      <c r="Y63"/>
    </row>
    <row r="64" spans="1:25" x14ac:dyDescent="0.25">
      <c r="G64"/>
      <c r="H64"/>
      <c r="I64"/>
      <c r="J64"/>
      <c r="K64"/>
      <c r="L64"/>
      <c r="M64" s="190"/>
      <c r="N64" s="190"/>
      <c r="O64" s="190"/>
      <c r="P64" s="190"/>
      <c r="Q64" s="190"/>
      <c r="R64" s="190"/>
      <c r="S64" s="190"/>
      <c r="T64" s="190"/>
      <c r="U64" s="190"/>
      <c r="V64"/>
      <c r="W64"/>
      <c r="X64"/>
      <c r="Y64"/>
    </row>
    <row r="65" spans="1:25" x14ac:dyDescent="0.25">
      <c r="G65"/>
      <c r="H65"/>
      <c r="I65"/>
      <c r="J65"/>
      <c r="K65"/>
      <c r="L65"/>
      <c r="M65" s="190"/>
      <c r="N65" s="190"/>
      <c r="O65" s="190"/>
      <c r="P65" s="190"/>
      <c r="Q65" s="190"/>
      <c r="R65" s="190"/>
      <c r="S65" s="190"/>
      <c r="T65" s="190"/>
      <c r="U65" s="190"/>
      <c r="V65"/>
      <c r="W65"/>
      <c r="X65"/>
      <c r="Y65"/>
    </row>
    <row r="66" spans="1:25" x14ac:dyDescent="0.25">
      <c r="G66"/>
      <c r="H66"/>
      <c r="I66"/>
      <c r="J66"/>
      <c r="K66"/>
      <c r="L66"/>
      <c r="M66" s="190"/>
      <c r="N66" s="190"/>
      <c r="O66" s="190"/>
      <c r="P66" s="190"/>
      <c r="Q66" s="190"/>
      <c r="R66" s="190"/>
      <c r="S66" s="190"/>
      <c r="T66" s="190"/>
      <c r="U66" s="190"/>
      <c r="V66"/>
      <c r="W66"/>
      <c r="X66"/>
      <c r="Y66"/>
    </row>
    <row r="67" spans="1:25" x14ac:dyDescent="0.25">
      <c r="G67"/>
      <c r="H67"/>
      <c r="I67"/>
      <c r="J67"/>
      <c r="K67"/>
      <c r="L67"/>
      <c r="M67" s="190"/>
      <c r="N67" s="190"/>
      <c r="O67" s="190"/>
      <c r="P67" s="190"/>
      <c r="Q67" s="190"/>
      <c r="R67" s="190"/>
      <c r="S67" s="190"/>
      <c r="T67" s="190"/>
      <c r="U67" s="190"/>
      <c r="V67"/>
      <c r="W67"/>
      <c r="X67"/>
      <c r="Y67"/>
    </row>
    <row r="68" spans="1:25" x14ac:dyDescent="0.25">
      <c r="G68"/>
      <c r="H68"/>
      <c r="I68"/>
      <c r="J68"/>
      <c r="K68"/>
      <c r="L68"/>
      <c r="M68" s="190"/>
      <c r="N68" s="190"/>
      <c r="O68" s="190"/>
      <c r="P68" s="190"/>
      <c r="Q68" s="190"/>
      <c r="R68" s="190"/>
      <c r="S68" s="190"/>
      <c r="T68" s="190"/>
      <c r="U68" s="190"/>
      <c r="V68"/>
      <c r="W68"/>
      <c r="X68"/>
      <c r="Y68"/>
    </row>
    <row r="69" spans="1:25" x14ac:dyDescent="0.25">
      <c r="G69"/>
      <c r="H69"/>
      <c r="I69"/>
      <c r="J69"/>
      <c r="K69"/>
      <c r="L69"/>
      <c r="M69" s="190"/>
      <c r="N69" s="190"/>
      <c r="O69" s="190"/>
      <c r="P69" s="190"/>
      <c r="Q69" s="190"/>
      <c r="R69" s="190"/>
      <c r="S69" s="190"/>
      <c r="T69" s="190"/>
      <c r="U69" s="190"/>
      <c r="V69"/>
      <c r="W69"/>
      <c r="X69"/>
      <c r="Y69"/>
    </row>
    <row r="70" spans="1:25" x14ac:dyDescent="0.25">
      <c r="G70"/>
      <c r="H70"/>
      <c r="I70"/>
      <c r="J70"/>
      <c r="K70"/>
      <c r="L70"/>
      <c r="M70" s="190"/>
      <c r="N70" s="190"/>
      <c r="O70" s="190"/>
      <c r="P70" s="190"/>
      <c r="Q70" s="190"/>
      <c r="R70" s="190"/>
      <c r="S70" s="190"/>
      <c r="T70" s="190"/>
      <c r="U70" s="190"/>
      <c r="V70"/>
      <c r="W70"/>
      <c r="X70"/>
      <c r="Y70"/>
    </row>
    <row r="71" spans="1:25" x14ac:dyDescent="0.25"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25"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25"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25"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25"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B120" s="126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 s="381"/>
      <c r="B121" s="390"/>
      <c r="C121" s="381"/>
      <c r="D121" s="381"/>
      <c r="E121" s="38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 s="381"/>
      <c r="B122" s="388">
        <v>2</v>
      </c>
      <c r="C122" s="388"/>
      <c r="D122" s="388"/>
      <c r="E122" s="388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 s="381"/>
      <c r="B123" s="388">
        <v>5</v>
      </c>
      <c r="C123" s="388"/>
      <c r="D123" s="388"/>
      <c r="E123" s="388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 s="381"/>
      <c r="B124" s="388">
        <v>6.3</v>
      </c>
      <c r="C124" s="385"/>
      <c r="D124" s="385"/>
      <c r="E124" s="385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 s="381"/>
      <c r="B125" s="388"/>
      <c r="C125" s="385" t="s">
        <v>132</v>
      </c>
      <c r="D125" s="385">
        <f>IF(B122=1,B123,IF(B122=2,B124))</f>
        <v>6.3</v>
      </c>
      <c r="E125" s="38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 s="381"/>
      <c r="B126" s="388"/>
      <c r="C126" s="385"/>
      <c r="D126" s="385"/>
      <c r="E126" s="385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 s="381"/>
      <c r="B127" s="388"/>
      <c r="C127" s="385"/>
      <c r="D127" s="385"/>
      <c r="E127" s="385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 s="381"/>
      <c r="B128" s="388">
        <v>2</v>
      </c>
      <c r="C128" s="385"/>
      <c r="D128" s="385"/>
      <c r="E128" s="385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 s="381"/>
      <c r="B129" s="389">
        <v>5</v>
      </c>
      <c r="C129" s="385"/>
      <c r="D129" s="385" t="s">
        <v>132</v>
      </c>
      <c r="E129" s="385">
        <f>IF(B128=1,B129,IF(2,B130))</f>
        <v>6.3</v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 s="381"/>
      <c r="B130" s="389">
        <v>6.3</v>
      </c>
      <c r="C130" s="388"/>
      <c r="D130" s="388"/>
      <c r="E130" s="388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 s="381"/>
      <c r="B131" s="381"/>
      <c r="C131" s="381"/>
      <c r="D131" s="381"/>
      <c r="E131" s="38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 s="381"/>
      <c r="B132" s="381"/>
      <c r="C132" s="381"/>
      <c r="D132" s="381"/>
      <c r="E132" s="381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 s="381"/>
      <c r="B133" s="381"/>
      <c r="C133" s="381"/>
      <c r="D133" s="381"/>
      <c r="E133" s="381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</sheetData>
  <mergeCells count="47">
    <mergeCell ref="M3:N3"/>
    <mergeCell ref="E15:F15"/>
    <mergeCell ref="H15:J16"/>
    <mergeCell ref="B16:C16"/>
    <mergeCell ref="E16:F16"/>
    <mergeCell ref="E11:F12"/>
    <mergeCell ref="G11:G12"/>
    <mergeCell ref="B13:C13"/>
    <mergeCell ref="E14:G14"/>
    <mergeCell ref="H14:J14"/>
    <mergeCell ref="B1:G2"/>
    <mergeCell ref="B4:C4"/>
    <mergeCell ref="E4:F4"/>
    <mergeCell ref="E6:G7"/>
    <mergeCell ref="B10:C10"/>
    <mergeCell ref="E10:F10"/>
    <mergeCell ref="E34:G35"/>
    <mergeCell ref="E17:G17"/>
    <mergeCell ref="F18:G18"/>
    <mergeCell ref="B19:C19"/>
    <mergeCell ref="F19:G19"/>
    <mergeCell ref="E21:F22"/>
    <mergeCell ref="G21:G22"/>
    <mergeCell ref="E23:F24"/>
    <mergeCell ref="G23:G24"/>
    <mergeCell ref="B29:G30"/>
    <mergeCell ref="B32:C32"/>
    <mergeCell ref="E32:F32"/>
    <mergeCell ref="B38:C38"/>
    <mergeCell ref="E38:F38"/>
    <mergeCell ref="E39:F40"/>
    <mergeCell ref="G39:G40"/>
    <mergeCell ref="B41:C41"/>
    <mergeCell ref="H42:J42"/>
    <mergeCell ref="E43:F43"/>
    <mergeCell ref="H43:J44"/>
    <mergeCell ref="F46:G46"/>
    <mergeCell ref="B44:C44"/>
    <mergeCell ref="E44:F44"/>
    <mergeCell ref="E45:G45"/>
    <mergeCell ref="E42:G42"/>
    <mergeCell ref="B47:C47"/>
    <mergeCell ref="F47:G47"/>
    <mergeCell ref="E49:F50"/>
    <mergeCell ref="G49:G50"/>
    <mergeCell ref="E51:F52"/>
    <mergeCell ref="G51:G52"/>
  </mergeCells>
  <conditionalFormatting sqref="E15:E16 G15:G16 E43:E44 G43:G44">
    <cfRule type="expression" dxfId="1" priority="5">
      <formula>$G$16&gt;$G$15</formula>
    </cfRule>
    <cfRule type="expression" dxfId="0" priority="6">
      <formula>$G$16&lt;=$G$15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Drop Down 1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4" name="Drop Down 4">
              <controlPr defaultSize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5" name="Drop Down 5">
              <controlPr defaultSize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6" name="Button 6">
              <controlPr defaultSize="0" print="0" autoFill="0" autoPict="0" macro="[0]!seisrelatorio">
                <anchor moveWithCells="1" sizeWithCells="1">
                  <from>
                    <xdr:col>7</xdr:col>
                    <xdr:colOff>400050</xdr:colOff>
                    <xdr:row>49</xdr:row>
                    <xdr:rowOff>161925</xdr:rowOff>
                  </from>
                  <to>
                    <xdr:col>9</xdr:col>
                    <xdr:colOff>590550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7" name="Button 7">
              <controlPr defaultSize="0" print="0" autoFill="0" autoPict="0" macro="[0]!seisanterior2">
                <anchor moveWithCells="1" sizeWithCells="1">
                  <from>
                    <xdr:col>7</xdr:col>
                    <xdr:colOff>409575</xdr:colOff>
                    <xdr:row>46</xdr:row>
                    <xdr:rowOff>180975</xdr:rowOff>
                  </from>
                  <to>
                    <xdr:col>9</xdr:col>
                    <xdr:colOff>600075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A1:U62"/>
  <sheetViews>
    <sheetView showGridLines="0" showRowColHeaders="0" zoomScale="85" zoomScaleNormal="85" workbookViewId="0"/>
  </sheetViews>
  <sheetFormatPr defaultRowHeight="15" x14ac:dyDescent="0.25"/>
  <cols>
    <col min="1" max="1" width="2.5703125" customWidth="1"/>
    <col min="3" max="3" width="12.42578125" customWidth="1"/>
    <col min="6" max="6" width="13.28515625" customWidth="1"/>
    <col min="7" max="7" width="12.7109375" customWidth="1"/>
    <col min="8" max="8" width="10.28515625" customWidth="1"/>
    <col min="9" max="9" width="0.85546875" customWidth="1"/>
    <col min="10" max="10" width="9.5703125" customWidth="1"/>
    <col min="14" max="14" width="7.140625" customWidth="1"/>
    <col min="15" max="15" width="6.7109375" customWidth="1"/>
    <col min="16" max="16" width="9.7109375" customWidth="1"/>
    <col min="17" max="17" width="4.85546875" customWidth="1"/>
    <col min="18" max="18" width="4.5703125" customWidth="1"/>
    <col min="19" max="19" width="32.5703125" bestFit="1" customWidth="1"/>
    <col min="20" max="20" width="10" customWidth="1"/>
  </cols>
  <sheetData>
    <row r="1" spans="2:21" x14ac:dyDescent="0.25">
      <c r="B1" s="552" t="s">
        <v>199</v>
      </c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4"/>
    </row>
    <row r="2" spans="2:21" ht="15.75" thickBot="1" x14ac:dyDescent="0.3">
      <c r="B2" s="555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7"/>
    </row>
    <row r="3" spans="2:21" ht="15.75" thickBot="1" x14ac:dyDescent="0.3"/>
    <row r="4" spans="2:21" x14ac:dyDescent="0.25">
      <c r="B4" s="20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13" t="s">
        <v>184</v>
      </c>
      <c r="T4" s="117" t="str">
        <f>'6 Estacas'!K15</f>
        <v>Estaca E6</v>
      </c>
      <c r="U4" s="276"/>
    </row>
    <row r="5" spans="2:21" x14ac:dyDescent="0.25">
      <c r="B5" s="41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114" t="s">
        <v>185</v>
      </c>
      <c r="T5" s="118">
        <f>'6 Estacas'!M15</f>
        <v>510.14492753623188</v>
      </c>
      <c r="U5" s="276"/>
    </row>
    <row r="6" spans="2:21" ht="18" x14ac:dyDescent="0.35">
      <c r="B6" s="41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114" t="s">
        <v>222</v>
      </c>
      <c r="T6" s="118">
        <f>'6 Estacas'!T9</f>
        <v>9642.8571428571449</v>
      </c>
      <c r="U6" s="276"/>
    </row>
    <row r="7" spans="2:21" ht="18" x14ac:dyDescent="0.35">
      <c r="B7" s="41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114" t="s">
        <v>174</v>
      </c>
      <c r="T7" s="118">
        <f>'6 Estacas'!T8</f>
        <v>35362.300234807779</v>
      </c>
      <c r="U7" s="276"/>
    </row>
    <row r="8" spans="2:21" ht="18" x14ac:dyDescent="0.35">
      <c r="B8" s="41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114" t="s">
        <v>175</v>
      </c>
      <c r="T8" s="118">
        <f>'6 Estacas'!T10</f>
        <v>11753.739130434782</v>
      </c>
      <c r="U8" s="276"/>
    </row>
    <row r="9" spans="2:21" ht="18" x14ac:dyDescent="0.35">
      <c r="B9" s="41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114" t="s">
        <v>176</v>
      </c>
      <c r="T9" s="118">
        <f>'6 Estacas'!T11</f>
        <v>15178.571428571429</v>
      </c>
      <c r="U9" s="276"/>
    </row>
    <row r="10" spans="2:21" ht="18" x14ac:dyDescent="0.35">
      <c r="B10" s="41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115" t="s">
        <v>177</v>
      </c>
      <c r="T10" s="118">
        <f>'6 Estacas'!T12</f>
        <v>5292.9650829521097</v>
      </c>
      <c r="U10" s="276"/>
    </row>
    <row r="11" spans="2:21" ht="18" x14ac:dyDescent="0.35">
      <c r="B11" s="41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115" t="s">
        <v>178</v>
      </c>
      <c r="T11" s="118">
        <f>'6 Estacas'!T13</f>
        <v>2564.9639200150441</v>
      </c>
      <c r="U11" s="276"/>
    </row>
    <row r="12" spans="2:21" ht="18" x14ac:dyDescent="0.35">
      <c r="B12" s="41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116" t="s">
        <v>179</v>
      </c>
      <c r="T12" s="118">
        <f>'3 Estacas1'!$S$13</f>
        <v>732.52173913043475</v>
      </c>
      <c r="U12" s="276"/>
    </row>
    <row r="13" spans="2:21" x14ac:dyDescent="0.25">
      <c r="B13" s="41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114" t="s">
        <v>187</v>
      </c>
      <c r="T13" s="118">
        <f>'6 Estacas'!T6</f>
        <v>0.65</v>
      </c>
      <c r="U13" s="283"/>
    </row>
    <row r="14" spans="2:21" x14ac:dyDescent="0.25">
      <c r="B14" s="41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114" t="s">
        <v>188</v>
      </c>
      <c r="T14" s="118">
        <f>'6 Estacas'!T7</f>
        <v>0.75</v>
      </c>
      <c r="U14" s="283"/>
    </row>
    <row r="15" spans="2:21" x14ac:dyDescent="0.25">
      <c r="B15" s="41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114" t="s">
        <v>69</v>
      </c>
      <c r="T15" s="118">
        <f>'6 Estacas'!L6</f>
        <v>26.5</v>
      </c>
      <c r="U15" s="276"/>
    </row>
    <row r="16" spans="2:21" ht="18" x14ac:dyDescent="0.35">
      <c r="B16" s="41"/>
      <c r="C16" s="34"/>
      <c r="D16" s="34"/>
      <c r="E16" s="34"/>
      <c r="F16" s="34"/>
      <c r="G16" s="34"/>
      <c r="H16" s="34"/>
      <c r="I16" s="558" t="s">
        <v>165</v>
      </c>
      <c r="J16" s="558"/>
      <c r="K16" s="558"/>
      <c r="L16" s="558"/>
      <c r="M16" s="558"/>
      <c r="N16" s="558"/>
      <c r="O16" s="558"/>
      <c r="P16" s="558"/>
      <c r="Q16" s="558"/>
      <c r="R16" s="34"/>
      <c r="S16" s="114" t="s">
        <v>198</v>
      </c>
      <c r="T16" s="118">
        <f>'6 Estacas'!L7</f>
        <v>57.5</v>
      </c>
      <c r="U16" s="276"/>
    </row>
    <row r="17" spans="1:21" x14ac:dyDescent="0.25">
      <c r="B17" s="41"/>
      <c r="C17" s="34"/>
      <c r="D17" s="34"/>
      <c r="E17" s="34"/>
      <c r="F17" s="34"/>
      <c r="G17" s="34"/>
      <c r="H17" s="34"/>
      <c r="I17" s="34"/>
      <c r="J17" s="558" t="s">
        <v>165</v>
      </c>
      <c r="K17" s="558"/>
      <c r="L17" s="558"/>
      <c r="M17" s="558"/>
      <c r="N17" s="558"/>
      <c r="O17" s="558"/>
      <c r="P17" s="558"/>
      <c r="Q17" s="558"/>
      <c r="R17" s="34"/>
      <c r="S17" s="114" t="s">
        <v>186</v>
      </c>
      <c r="T17" s="118">
        <f>Entradas2!C22</f>
        <v>23</v>
      </c>
      <c r="U17" s="276"/>
    </row>
    <row r="18" spans="1:21" ht="18" x14ac:dyDescent="0.35">
      <c r="B18" s="41"/>
      <c r="C18" s="34"/>
      <c r="D18" s="34"/>
      <c r="E18" s="34"/>
      <c r="F18" s="34"/>
      <c r="G18" s="34"/>
      <c r="H18" s="34"/>
      <c r="I18" s="34"/>
      <c r="J18" s="34"/>
      <c r="K18" s="192"/>
      <c r="L18" s="34"/>
      <c r="M18" s="34"/>
      <c r="N18" s="34"/>
      <c r="O18" s="192"/>
      <c r="P18" s="34"/>
      <c r="Q18" s="34"/>
      <c r="R18" s="34"/>
      <c r="S18" s="114" t="s">
        <v>158</v>
      </c>
      <c r="T18" s="118">
        <f>Entradas2!C13</f>
        <v>25</v>
      </c>
      <c r="U18" s="276"/>
    </row>
    <row r="19" spans="1:21" ht="22.5" customHeight="1" x14ac:dyDescent="0.25">
      <c r="B19" s="4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114" t="s">
        <v>189</v>
      </c>
      <c r="T19" s="118">
        <f>(((2*T15+T16)/100)*(((2*T15)/100)+(2*T16/100)))*T14*1.05</f>
        <v>1.4619149999999999</v>
      </c>
      <c r="U19" s="276"/>
    </row>
    <row r="20" spans="1:21" ht="19.5" customHeight="1" x14ac:dyDescent="0.25">
      <c r="B20" s="41"/>
      <c r="C20" s="34"/>
      <c r="D20" s="34"/>
      <c r="E20" s="34"/>
      <c r="F20" s="34"/>
      <c r="G20" s="34"/>
      <c r="H20" s="34"/>
      <c r="I20" s="112"/>
      <c r="J20" s="560"/>
      <c r="K20" s="34"/>
      <c r="L20" s="34"/>
      <c r="M20" s="34"/>
      <c r="N20" s="34"/>
      <c r="O20" s="34"/>
      <c r="P20" s="560"/>
      <c r="Q20" s="192"/>
      <c r="R20" s="34"/>
      <c r="S20" s="114" t="s">
        <v>196</v>
      </c>
      <c r="T20" s="119" t="s">
        <v>197</v>
      </c>
      <c r="U20" s="276"/>
    </row>
    <row r="21" spans="1:21" ht="18" customHeight="1" x14ac:dyDescent="0.25">
      <c r="B21" s="41"/>
      <c r="C21" s="34"/>
      <c r="D21" s="34"/>
      <c r="E21" s="34"/>
      <c r="F21" s="34"/>
      <c r="G21" s="34"/>
      <c r="H21" s="34"/>
      <c r="I21" s="112"/>
      <c r="J21" s="560"/>
      <c r="K21" s="34"/>
      <c r="L21" s="34"/>
      <c r="M21" s="34"/>
      <c r="N21" s="34"/>
      <c r="O21" s="34"/>
      <c r="P21" s="560"/>
      <c r="Q21" s="192"/>
      <c r="R21" s="34"/>
      <c r="S21" s="594" t="s">
        <v>246</v>
      </c>
      <c r="T21" s="595"/>
      <c r="U21" s="283"/>
    </row>
    <row r="22" spans="1:21" ht="17.25" customHeight="1" x14ac:dyDescent="0.25">
      <c r="B22" s="41"/>
      <c r="C22" s="34"/>
      <c r="D22" s="34"/>
      <c r="E22" s="34"/>
      <c r="F22" s="34"/>
      <c r="G22" s="34"/>
      <c r="H22" s="34"/>
      <c r="I22" s="112"/>
      <c r="J22" s="560"/>
      <c r="K22" s="34"/>
      <c r="L22" s="34"/>
      <c r="M22" s="34"/>
      <c r="N22" s="34"/>
      <c r="O22" s="34"/>
      <c r="P22" s="560"/>
      <c r="Q22" s="192"/>
      <c r="R22" s="34"/>
      <c r="S22" s="114" t="s">
        <v>190</v>
      </c>
      <c r="T22" s="119">
        <f>'6 Est. Arm'!E26</f>
        <v>10</v>
      </c>
      <c r="U22" s="283"/>
    </row>
    <row r="23" spans="1:21" x14ac:dyDescent="0.25">
      <c r="B23" s="41"/>
      <c r="C23" s="34"/>
      <c r="D23" s="34"/>
      <c r="E23" s="34"/>
      <c r="F23" s="34"/>
      <c r="G23" s="34"/>
      <c r="H23" s="112"/>
      <c r="I23" s="34"/>
      <c r="J23" s="34"/>
      <c r="K23" s="34"/>
      <c r="L23" s="563"/>
      <c r="M23" s="563"/>
      <c r="N23" s="563"/>
      <c r="O23" s="34"/>
      <c r="P23" s="34"/>
      <c r="Q23" s="34"/>
      <c r="R23" s="34"/>
      <c r="S23" s="114" t="s">
        <v>206</v>
      </c>
      <c r="T23" s="118">
        <f>'6 Est. Arm'!G11</f>
        <v>2.2800000000000002</v>
      </c>
      <c r="U23" s="283"/>
    </row>
    <row r="24" spans="1:21" ht="18.75" thickBot="1" x14ac:dyDescent="0.4">
      <c r="B24" s="41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127" t="s">
        <v>207</v>
      </c>
      <c r="T24" s="128">
        <f>'6 Est. Arm'!G21</f>
        <v>50</v>
      </c>
      <c r="U24" s="283"/>
    </row>
    <row r="25" spans="1:21" x14ac:dyDescent="0.25">
      <c r="B25" s="41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594" t="s">
        <v>247</v>
      </c>
      <c r="T25" s="595"/>
      <c r="U25" s="283"/>
    </row>
    <row r="26" spans="1:21" x14ac:dyDescent="0.25">
      <c r="B26" s="41"/>
      <c r="C26" s="34"/>
      <c r="D26" s="34"/>
      <c r="E26" s="34"/>
      <c r="F26" s="34"/>
      <c r="G26" s="34"/>
      <c r="H26" s="34"/>
      <c r="I26" s="34"/>
      <c r="J26" s="560"/>
      <c r="K26" s="238"/>
      <c r="L26" s="34"/>
      <c r="M26" s="34"/>
      <c r="N26" s="34"/>
      <c r="O26" s="238"/>
      <c r="P26" s="560"/>
      <c r="Q26" s="34"/>
      <c r="R26" s="34"/>
      <c r="S26" s="114" t="s">
        <v>190</v>
      </c>
      <c r="T26" s="119">
        <f>'6 Est. Arm'!E107</f>
        <v>12.5</v>
      </c>
      <c r="U26" s="283"/>
    </row>
    <row r="27" spans="1:21" x14ac:dyDescent="0.25">
      <c r="B27" s="41"/>
      <c r="C27" s="34"/>
      <c r="D27" s="34"/>
      <c r="E27" s="34"/>
      <c r="F27" s="34"/>
      <c r="G27" s="34"/>
      <c r="H27" s="34"/>
      <c r="I27" s="34"/>
      <c r="J27" s="560"/>
      <c r="K27" s="34"/>
      <c r="L27" s="34"/>
      <c r="M27" s="34"/>
      <c r="N27" s="34"/>
      <c r="O27" s="34"/>
      <c r="P27" s="560"/>
      <c r="Q27" s="34"/>
      <c r="R27" s="34"/>
      <c r="S27" s="114" t="s">
        <v>206</v>
      </c>
      <c r="T27" s="118">
        <f>'6 Est. Arm'!G39</f>
        <v>2.375</v>
      </c>
      <c r="U27" s="283"/>
    </row>
    <row r="28" spans="1:21" ht="18.75" thickBot="1" x14ac:dyDescent="0.4">
      <c r="B28" s="41"/>
      <c r="C28" s="34"/>
      <c r="D28" s="34"/>
      <c r="E28" s="34"/>
      <c r="F28" s="34"/>
      <c r="G28" s="34"/>
      <c r="H28" s="34"/>
      <c r="J28" s="34"/>
      <c r="K28" s="34"/>
      <c r="L28" s="563"/>
      <c r="M28" s="563"/>
      <c r="N28" s="563"/>
      <c r="O28" s="34"/>
      <c r="P28" s="34"/>
      <c r="R28" s="34"/>
      <c r="S28" s="127" t="s">
        <v>207</v>
      </c>
      <c r="T28" s="128">
        <f>'6 Est. Arm'!G49</f>
        <v>62.5</v>
      </c>
      <c r="U28" s="283"/>
    </row>
    <row r="29" spans="1:21" x14ac:dyDescent="0.25">
      <c r="A29" s="42"/>
      <c r="B29" s="558" t="s">
        <v>166</v>
      </c>
      <c r="C29" s="558"/>
      <c r="D29" s="558"/>
      <c r="E29" s="558"/>
      <c r="F29" s="558"/>
      <c r="G29" s="558"/>
      <c r="H29" s="34"/>
      <c r="J29" s="34"/>
      <c r="K29" s="34"/>
      <c r="L29" s="34"/>
      <c r="M29" s="34"/>
      <c r="N29" s="34"/>
      <c r="O29" s="34"/>
      <c r="P29" s="34"/>
      <c r="R29" s="34"/>
      <c r="S29" s="594" t="s">
        <v>249</v>
      </c>
      <c r="T29" s="595"/>
      <c r="U29" s="283"/>
    </row>
    <row r="30" spans="1:21" ht="15" customHeight="1" x14ac:dyDescent="0.25">
      <c r="A30" s="42"/>
      <c r="B30" s="34"/>
      <c r="C30" s="34"/>
      <c r="D30" s="34"/>
      <c r="E30" s="558"/>
      <c r="F30" s="558"/>
      <c r="G30" s="34"/>
      <c r="H30" s="34"/>
      <c r="I30" s="34"/>
      <c r="J30" s="34"/>
      <c r="K30" s="186"/>
      <c r="L30" s="186"/>
      <c r="M30" s="34"/>
      <c r="N30" s="34"/>
      <c r="O30" s="34"/>
      <c r="P30" s="34"/>
      <c r="Q30" s="34"/>
      <c r="R30" s="34"/>
      <c r="S30" s="114" t="s">
        <v>190</v>
      </c>
      <c r="T30" s="119">
        <f>'6 Est. Arm Dist'!D125</f>
        <v>6.3</v>
      </c>
      <c r="U30" s="283"/>
    </row>
    <row r="31" spans="1:21" x14ac:dyDescent="0.25">
      <c r="A31" s="42"/>
      <c r="H31" s="34"/>
      <c r="R31" s="34"/>
      <c r="S31" s="114" t="s">
        <v>206</v>
      </c>
      <c r="T31" s="118">
        <f>'6 Est. Arm Dist'!G11</f>
        <v>1.7395833333333333</v>
      </c>
      <c r="U31" s="283"/>
    </row>
    <row r="32" spans="1:21" ht="12.75" customHeight="1" thickBot="1" x14ac:dyDescent="0.4">
      <c r="A32" s="42"/>
      <c r="B32" s="34"/>
      <c r="C32" s="34"/>
      <c r="D32" s="34"/>
      <c r="E32" s="34"/>
      <c r="F32" s="34"/>
      <c r="G32" s="34"/>
      <c r="H32" s="34"/>
      <c r="R32" s="34"/>
      <c r="S32" s="127" t="s">
        <v>207</v>
      </c>
      <c r="T32" s="128">
        <f>'6 Est. Arm Dist'!G21</f>
        <v>31.5</v>
      </c>
      <c r="U32" s="283"/>
    </row>
    <row r="33" spans="1:21" ht="12" customHeight="1" thickBot="1" x14ac:dyDescent="0.3">
      <c r="A33" s="42"/>
      <c r="B33" s="34"/>
      <c r="C33" s="34"/>
      <c r="D33" s="640" t="s">
        <v>250</v>
      </c>
      <c r="E33" s="643"/>
      <c r="F33" s="643"/>
      <c r="G33" s="644"/>
      <c r="H33" s="34"/>
      <c r="K33" s="640" t="s">
        <v>251</v>
      </c>
      <c r="L33" s="645"/>
      <c r="M33" s="645"/>
      <c r="N33" s="645"/>
      <c r="O33" s="646"/>
      <c r="R33" s="34"/>
      <c r="S33" s="594" t="s">
        <v>248</v>
      </c>
      <c r="T33" s="595"/>
      <c r="U33" s="283"/>
    </row>
    <row r="34" spans="1:21" x14ac:dyDescent="0.25">
      <c r="A34" s="42"/>
      <c r="D34" s="251"/>
      <c r="E34" s="251"/>
      <c r="F34" s="251"/>
      <c r="G34" s="251"/>
      <c r="S34" s="594" t="s">
        <v>240</v>
      </c>
      <c r="T34" s="595"/>
      <c r="U34" s="283"/>
    </row>
    <row r="35" spans="1:21" ht="20.25" customHeight="1" x14ac:dyDescent="0.25">
      <c r="A35" s="42"/>
      <c r="D35" s="252" t="str">
        <f>CONCATENATE(IF(T22=20,2*T22/10,0)," cm")</f>
        <v>0 cm</v>
      </c>
      <c r="G35" s="252" t="str">
        <f>CONCATENATE(IF(T22=20,2*T22/10,0)," cm")</f>
        <v>0 cm</v>
      </c>
      <c r="K35" s="252" t="str">
        <f>CONCATENATE(IF(T26=20,2*T26/10,0)," cm")</f>
        <v>0 cm</v>
      </c>
      <c r="O35" s="252" t="str">
        <f>CONCATENATE(IF(T26=20,2*T26/10,0)," cm")</f>
        <v>0 cm</v>
      </c>
      <c r="S35" s="114" t="s">
        <v>190</v>
      </c>
      <c r="T35" s="119">
        <f>'6 Est. Arm Dist'!E129</f>
        <v>6.3</v>
      </c>
      <c r="U35" s="283"/>
    </row>
    <row r="36" spans="1:21" ht="23.25" customHeight="1" x14ac:dyDescent="0.25">
      <c r="A36" s="42"/>
      <c r="C36" s="562" t="str">
        <f>CONCATENATE(IF(T22&lt;20,T22, "Dobra de 8Ф")," cm")</f>
        <v>10 cm</v>
      </c>
      <c r="H36" s="562" t="str">
        <f>CONCATENATE(IF(T22&lt;20,T22, "Dobra de 8Ф")," cm")</f>
        <v>10 cm</v>
      </c>
      <c r="J36" s="562" t="str">
        <f>CONCATENATE(IF(T26&lt;20,T26, "Dobra de 8Ф")," cm")</f>
        <v>12,5 cm</v>
      </c>
      <c r="P36" s="562" t="str">
        <f>CONCATENATE(IF(T26&lt;20,T26, "Dobra de 8Ф")," cm")</f>
        <v>12,5 cm</v>
      </c>
      <c r="S36" s="114" t="s">
        <v>206</v>
      </c>
      <c r="T36" s="118">
        <f>'6 Est. Arm Dist'!G39</f>
        <v>4.4461111111111116</v>
      </c>
      <c r="U36" s="283"/>
    </row>
    <row r="37" spans="1:21" ht="18.75" thickBot="1" x14ac:dyDescent="0.4">
      <c r="A37" s="42"/>
      <c r="C37" s="562"/>
      <c r="D37" s="551" t="str">
        <f>CONCATENATE(2*T16+2*T15-2*'6 Est. Arm'!C34-T24/10," cm")</f>
        <v>155 cm</v>
      </c>
      <c r="E37" s="551"/>
      <c r="F37" s="551"/>
      <c r="G37" s="551"/>
      <c r="H37" s="562"/>
      <c r="J37" s="562"/>
      <c r="K37" s="551" t="str">
        <f>CONCATENATE(1*T16+2*T15-2*'6 Est. Arm'!C34-T28/10," cm")</f>
        <v>96,25 cm</v>
      </c>
      <c r="L37" s="551"/>
      <c r="M37" s="551"/>
      <c r="N37" s="551"/>
      <c r="O37" s="551"/>
      <c r="P37" s="562"/>
      <c r="S37" s="127" t="s">
        <v>207</v>
      </c>
      <c r="T37" s="128">
        <f>'6 Est. Arm Dist'!G49</f>
        <v>31.5</v>
      </c>
      <c r="U37" s="283"/>
    </row>
    <row r="38" spans="1:21" x14ac:dyDescent="0.25">
      <c r="A38" s="42"/>
      <c r="D38" s="551" t="str">
        <f>CONCATENATE('6 Est. Arm'!G10," Ф ",T22," mm"," c/ ",'6 Est. Arm'!G23," cm.")</f>
        <v>20 Ф 10 mm c/ 183 cm.</v>
      </c>
      <c r="E38" s="551"/>
      <c r="F38" s="551"/>
      <c r="G38" s="551"/>
      <c r="K38" s="551" t="str">
        <f>CONCATENATE('6 Est. Arm'!G38," Ф ",T26," mm"," c/ ",'6 Est. Arm'!G51," cm.")</f>
        <v>7 Ф 12,5 mm c/ 132 cm.</v>
      </c>
      <c r="L38" s="551"/>
      <c r="M38" s="551"/>
      <c r="N38" s="551"/>
      <c r="O38" s="551"/>
      <c r="T38" s="262"/>
    </row>
    <row r="39" spans="1:21" x14ac:dyDescent="0.25">
      <c r="A39" s="42"/>
      <c r="T39" s="42"/>
    </row>
    <row r="40" spans="1:21" x14ac:dyDescent="0.25">
      <c r="A40" s="42"/>
      <c r="T40" s="42"/>
    </row>
    <row r="41" spans="1:21" x14ac:dyDescent="0.25">
      <c r="A41" s="42"/>
      <c r="T41" s="42"/>
    </row>
    <row r="42" spans="1:21" ht="21" customHeight="1" x14ac:dyDescent="0.25">
      <c r="A42" s="42"/>
      <c r="D42" s="252" t="str">
        <f>CONCATENATE(IF(T30=20,2*T30/10,0)," cm")</f>
        <v>0 cm</v>
      </c>
      <c r="G42" s="252" t="str">
        <f>CONCATENATE(IF(T30=20,2*T30/10,0)," cm")</f>
        <v>0 cm</v>
      </c>
      <c r="K42" s="252" t="str">
        <f>CONCATENATE(IF(T35=20,2*T35/10,0)," cm")</f>
        <v>0 cm</v>
      </c>
      <c r="O42" s="252" t="str">
        <f>CONCATENATE(IF(T35=20,2*T35/10,0)," cm")</f>
        <v>0 cm</v>
      </c>
      <c r="T42" s="42"/>
    </row>
    <row r="43" spans="1:21" ht="21" customHeight="1" x14ac:dyDescent="0.25">
      <c r="A43" s="42"/>
      <c r="C43" s="562" t="str">
        <f>CONCATENATE(IF(T30&lt;20,T30, "Dobra de 8Ф")," cm")</f>
        <v>6,3 cm</v>
      </c>
      <c r="H43" s="562" t="str">
        <f>CONCATENATE(IF(T30&lt;20,T30, "Dobra de 8Ф")," cm")</f>
        <v>6,3 cm</v>
      </c>
      <c r="J43" s="562" t="str">
        <f>CONCATENATE(IF(T35&lt;20,T35, "Dobra de 8Ф")," cm")</f>
        <v>6,3 cm</v>
      </c>
      <c r="P43" s="562" t="str">
        <f>CONCATENATE(IF(T35&lt;20,T35, "Dobra de 8Ф")," cm")</f>
        <v>6,3 cm</v>
      </c>
      <c r="T43" s="42"/>
    </row>
    <row r="44" spans="1:21" ht="20.25" customHeight="1" x14ac:dyDescent="0.25">
      <c r="A44" s="42"/>
      <c r="C44" s="562"/>
      <c r="D44" s="562" t="str">
        <f>CONCATENATE(2*T16+2*T15-2*'6 Est. Arm'!C34-T32/10," cm")</f>
        <v>156,85 cm</v>
      </c>
      <c r="E44" s="562"/>
      <c r="F44" s="562"/>
      <c r="G44" s="562"/>
      <c r="H44" s="562"/>
      <c r="J44" s="562"/>
      <c r="K44" s="551" t="str">
        <f>CONCATENATE(1*T16+2*T15-2*'6 Est. Arm'!C34-T37/10," cm")</f>
        <v>99,35 cm</v>
      </c>
      <c r="L44" s="551"/>
      <c r="M44" s="551"/>
      <c r="N44" s="551"/>
      <c r="O44" s="551"/>
      <c r="P44" s="562"/>
      <c r="T44" s="42"/>
    </row>
    <row r="45" spans="1:21" x14ac:dyDescent="0.25">
      <c r="A45" s="42"/>
      <c r="D45" s="551" t="str">
        <f>CONCATENATE('6 Est. Arm Dist'!G10," Ф ",T30," mm"," c/ ",'6 Est. Arm Dist'!G23," cm.")</f>
        <v>25 Ф 6,3 mm c/ 175 cm.</v>
      </c>
      <c r="E45" s="551"/>
      <c r="F45" s="551"/>
      <c r="G45" s="551"/>
      <c r="K45" s="551" t="str">
        <f>CONCATENATE('6 Est. Arm Dist'!G38," Ф ",T35," mm"," c/ ",'6 Est. Arm Dist'!G51," cm.")</f>
        <v>19 Ф 6,3 mm c/ 117 cm.</v>
      </c>
      <c r="L45" s="551"/>
      <c r="M45" s="551"/>
      <c r="N45" s="551"/>
      <c r="O45" s="551"/>
      <c r="T45" s="42"/>
    </row>
    <row r="46" spans="1:21" x14ac:dyDescent="0.25">
      <c r="A46" s="42"/>
      <c r="T46" s="42"/>
    </row>
    <row r="47" spans="1:21" ht="15.75" thickBot="1" x14ac:dyDescent="0.3">
      <c r="A47" s="42"/>
      <c r="T47" s="42"/>
    </row>
    <row r="48" spans="1:21" ht="15.75" thickBot="1" x14ac:dyDescent="0.3">
      <c r="A48" s="42"/>
      <c r="J48" s="566" t="s">
        <v>269</v>
      </c>
      <c r="K48" s="567"/>
      <c r="L48" s="567"/>
      <c r="M48" s="567"/>
      <c r="N48" s="567"/>
      <c r="O48" s="567"/>
      <c r="P48" s="567"/>
      <c r="Q48" s="567"/>
      <c r="R48" s="568"/>
      <c r="S48" s="276"/>
      <c r="T48" s="42"/>
    </row>
    <row r="49" spans="1:20" ht="18" x14ac:dyDescent="0.35">
      <c r="A49" s="42"/>
      <c r="J49" s="569" t="s">
        <v>194</v>
      </c>
      <c r="K49" s="570"/>
      <c r="L49" s="570" t="s">
        <v>193</v>
      </c>
      <c r="M49" s="570"/>
      <c r="N49" s="570" t="s">
        <v>192</v>
      </c>
      <c r="O49" s="570"/>
      <c r="P49" s="570" t="s">
        <v>191</v>
      </c>
      <c r="Q49" s="570"/>
      <c r="R49" s="571"/>
      <c r="S49" s="276"/>
      <c r="T49" s="42"/>
    </row>
    <row r="50" spans="1:20" ht="15.75" thickBot="1" x14ac:dyDescent="0.3">
      <c r="A50" s="42"/>
      <c r="J50" s="573">
        <f>T22</f>
        <v>10</v>
      </c>
      <c r="K50" s="486"/>
      <c r="L50" s="564">
        <f>('6 Est. Arm'!G23/100)*2*'6 Est. Arm'!G38</f>
        <v>25.62</v>
      </c>
      <c r="M50" s="486"/>
      <c r="N50" s="486">
        <f>IF(T22=6.3,0.245,IF(T22=8,0.395,IF(T22=10,0.617,IF(T22=12.5,0.963,IF(T22=16,1.578,IF(T22=20,2.466))))))</f>
        <v>0.61699999999999999</v>
      </c>
      <c r="O50" s="486"/>
      <c r="P50" s="564">
        <f>(N50*L50)*1.1</f>
        <v>17.388294000000002</v>
      </c>
      <c r="Q50" s="564"/>
      <c r="R50" s="565"/>
      <c r="S50" s="276"/>
      <c r="T50" s="42"/>
    </row>
    <row r="51" spans="1:20" ht="15.75" thickBot="1" x14ac:dyDescent="0.3">
      <c r="A51" s="42"/>
      <c r="S51" s="276"/>
      <c r="T51" s="42"/>
    </row>
    <row r="52" spans="1:20" ht="15.75" thickBot="1" x14ac:dyDescent="0.3">
      <c r="A52" s="42"/>
      <c r="J52" s="566" t="s">
        <v>270</v>
      </c>
      <c r="K52" s="567"/>
      <c r="L52" s="567"/>
      <c r="M52" s="567"/>
      <c r="N52" s="567"/>
      <c r="O52" s="567"/>
      <c r="P52" s="567"/>
      <c r="Q52" s="567"/>
      <c r="R52" s="568"/>
      <c r="S52" s="276"/>
      <c r="T52" s="42"/>
    </row>
    <row r="53" spans="1:20" ht="18" x14ac:dyDescent="0.35">
      <c r="A53" s="42"/>
      <c r="J53" s="569" t="s">
        <v>194</v>
      </c>
      <c r="K53" s="570"/>
      <c r="L53" s="570" t="s">
        <v>193</v>
      </c>
      <c r="M53" s="570"/>
      <c r="N53" s="570" t="s">
        <v>192</v>
      </c>
      <c r="O53" s="570"/>
      <c r="P53" s="570" t="s">
        <v>191</v>
      </c>
      <c r="Q53" s="570"/>
      <c r="R53" s="571"/>
      <c r="S53" s="276"/>
      <c r="T53" s="42"/>
    </row>
    <row r="54" spans="1:20" ht="15.75" thickBot="1" x14ac:dyDescent="0.3">
      <c r="A54" s="42"/>
      <c r="B54" s="41"/>
      <c r="C54" s="34"/>
      <c r="D54" s="34"/>
      <c r="E54" s="34"/>
      <c r="F54" s="34"/>
      <c r="G54" s="34"/>
      <c r="H54" s="34"/>
      <c r="I54" s="34"/>
      <c r="J54" s="573">
        <f>T26</f>
        <v>12.5</v>
      </c>
      <c r="K54" s="486"/>
      <c r="L54" s="564">
        <f>('6 Est. Arm'!G51/100)*'6 Est. Arm'!G38*3</f>
        <v>27.72</v>
      </c>
      <c r="M54" s="486"/>
      <c r="N54" s="486">
        <f>IF(T26=6.3,0.245,IF(T26=8,0.395,IF(T26=10,0.617,IF(T26=12.5,0.963,IF(T26=16,1.578,IF(T26=20,2.466))))))</f>
        <v>0.96299999999999997</v>
      </c>
      <c r="O54" s="486"/>
      <c r="P54" s="564">
        <f>(N54*L54)*1.1</f>
        <v>29.363796000000001</v>
      </c>
      <c r="Q54" s="564"/>
      <c r="R54" s="565"/>
      <c r="S54" s="237"/>
      <c r="T54" s="42"/>
    </row>
    <row r="55" spans="1:20" ht="15.75" thickBot="1" x14ac:dyDescent="0.3">
      <c r="A55" s="42"/>
      <c r="T55" s="42"/>
    </row>
    <row r="56" spans="1:20" ht="15.75" thickBot="1" x14ac:dyDescent="0.3">
      <c r="A56" s="42"/>
      <c r="J56" s="566" t="s">
        <v>271</v>
      </c>
      <c r="K56" s="567"/>
      <c r="L56" s="567"/>
      <c r="M56" s="567"/>
      <c r="N56" s="567"/>
      <c r="O56" s="567"/>
      <c r="P56" s="567"/>
      <c r="Q56" s="567"/>
      <c r="R56" s="568"/>
      <c r="T56" s="42"/>
    </row>
    <row r="57" spans="1:20" ht="18" x14ac:dyDescent="0.35">
      <c r="A57" s="42"/>
      <c r="J57" s="569" t="s">
        <v>194</v>
      </c>
      <c r="K57" s="570"/>
      <c r="L57" s="570" t="s">
        <v>193</v>
      </c>
      <c r="M57" s="570"/>
      <c r="N57" s="570" t="s">
        <v>192</v>
      </c>
      <c r="O57" s="570"/>
      <c r="P57" s="570" t="s">
        <v>191</v>
      </c>
      <c r="Q57" s="570"/>
      <c r="R57" s="571"/>
      <c r="T57" s="42"/>
    </row>
    <row r="58" spans="1:20" ht="15.75" thickBot="1" x14ac:dyDescent="0.3">
      <c r="A58" s="42"/>
      <c r="J58" s="573">
        <f>T30</f>
        <v>6.3</v>
      </c>
      <c r="K58" s="486"/>
      <c r="L58" s="564">
        <f>('6 Est. Arm Dist'!G23/100)*'6 Est. Arm Dist'!G10</f>
        <v>43.75</v>
      </c>
      <c r="M58" s="486"/>
      <c r="N58" s="486">
        <f>IF(T30=5,0.154,IF(T30=6.3,0.245))</f>
        <v>0.245</v>
      </c>
      <c r="O58" s="486"/>
      <c r="P58" s="564">
        <f>(N58*L58)*1.1</f>
        <v>11.790625</v>
      </c>
      <c r="Q58" s="564"/>
      <c r="R58" s="565"/>
      <c r="T58" s="42"/>
    </row>
    <row r="59" spans="1:20" ht="15.75" thickBot="1" x14ac:dyDescent="0.3">
      <c r="A59" s="42"/>
      <c r="T59" s="42"/>
    </row>
    <row r="60" spans="1:20" ht="15.75" thickBot="1" x14ac:dyDescent="0.3">
      <c r="A60" s="42"/>
      <c r="J60" s="566" t="s">
        <v>272</v>
      </c>
      <c r="K60" s="567"/>
      <c r="L60" s="567"/>
      <c r="M60" s="567"/>
      <c r="N60" s="567"/>
      <c r="O60" s="567"/>
      <c r="P60" s="567"/>
      <c r="Q60" s="567"/>
      <c r="R60" s="568"/>
      <c r="T60" s="42"/>
    </row>
    <row r="61" spans="1:20" ht="18" x14ac:dyDescent="0.35">
      <c r="A61" s="42"/>
      <c r="J61" s="569" t="s">
        <v>194</v>
      </c>
      <c r="K61" s="570"/>
      <c r="L61" s="570" t="s">
        <v>193</v>
      </c>
      <c r="M61" s="570"/>
      <c r="N61" s="570" t="s">
        <v>192</v>
      </c>
      <c r="O61" s="570"/>
      <c r="P61" s="570" t="s">
        <v>191</v>
      </c>
      <c r="Q61" s="570"/>
      <c r="R61" s="571"/>
      <c r="T61" s="42"/>
    </row>
    <row r="62" spans="1:20" ht="15.75" thickBot="1" x14ac:dyDescent="0.3">
      <c r="A62" s="42"/>
      <c r="B62" s="274"/>
      <c r="C62" s="274"/>
      <c r="D62" s="274"/>
      <c r="E62" s="274"/>
      <c r="F62" s="274"/>
      <c r="G62" s="274"/>
      <c r="H62" s="274"/>
      <c r="I62" s="275"/>
      <c r="J62" s="573">
        <f>T35</f>
        <v>6.3</v>
      </c>
      <c r="K62" s="486"/>
      <c r="L62" s="564">
        <f>('6 Est. Arm Dist'!G51/100)*'6 Est. Arm Dist'!G38</f>
        <v>22.229999999999997</v>
      </c>
      <c r="M62" s="486"/>
      <c r="N62" s="486">
        <f>IF(T30=5,0.154,IF(T30=6.3,0.245))</f>
        <v>0.245</v>
      </c>
      <c r="O62" s="486"/>
      <c r="P62" s="564">
        <f>(N62*L62)*1.1</f>
        <v>5.9909849999999993</v>
      </c>
      <c r="Q62" s="564"/>
      <c r="R62" s="565"/>
      <c r="S62" s="274"/>
      <c r="T62" s="275"/>
    </row>
  </sheetData>
  <mergeCells count="70">
    <mergeCell ref="C43:C44"/>
    <mergeCell ref="H43:H44"/>
    <mergeCell ref="D45:G45"/>
    <mergeCell ref="B29:G29"/>
    <mergeCell ref="S33:T33"/>
    <mergeCell ref="S34:T34"/>
    <mergeCell ref="C36:C37"/>
    <mergeCell ref="H36:H37"/>
    <mergeCell ref="D37:G37"/>
    <mergeCell ref="D44:G44"/>
    <mergeCell ref="D33:G33"/>
    <mergeCell ref="J36:J37"/>
    <mergeCell ref="K38:O38"/>
    <mergeCell ref="J43:J44"/>
    <mergeCell ref="E30:F30"/>
    <mergeCell ref="K33:O33"/>
    <mergeCell ref="P36:P37"/>
    <mergeCell ref="S29:T29"/>
    <mergeCell ref="D38:G38"/>
    <mergeCell ref="J26:J27"/>
    <mergeCell ref="P26:P27"/>
    <mergeCell ref="L28:N28"/>
    <mergeCell ref="K37:O37"/>
    <mergeCell ref="S21:T21"/>
    <mergeCell ref="S25:T25"/>
    <mergeCell ref="B1:T2"/>
    <mergeCell ref="I16:Q16"/>
    <mergeCell ref="J20:J22"/>
    <mergeCell ref="P20:P22"/>
    <mergeCell ref="L23:N23"/>
    <mergeCell ref="J17:Q17"/>
    <mergeCell ref="L53:M53"/>
    <mergeCell ref="N53:O53"/>
    <mergeCell ref="P53:R53"/>
    <mergeCell ref="K44:O44"/>
    <mergeCell ref="P43:P44"/>
    <mergeCell ref="J54:K54"/>
    <mergeCell ref="L54:M54"/>
    <mergeCell ref="N54:O54"/>
    <mergeCell ref="P54:R54"/>
    <mergeCell ref="K45:O45"/>
    <mergeCell ref="J48:R48"/>
    <mergeCell ref="J49:K49"/>
    <mergeCell ref="L49:M49"/>
    <mergeCell ref="N49:O49"/>
    <mergeCell ref="P49:R49"/>
    <mergeCell ref="J50:K50"/>
    <mergeCell ref="L50:M50"/>
    <mergeCell ref="N50:O50"/>
    <mergeCell ref="P50:R50"/>
    <mergeCell ref="J52:R52"/>
    <mergeCell ref="J53:K53"/>
    <mergeCell ref="J56:R56"/>
    <mergeCell ref="J57:K57"/>
    <mergeCell ref="L57:M57"/>
    <mergeCell ref="N57:O57"/>
    <mergeCell ref="P57:R57"/>
    <mergeCell ref="J58:K58"/>
    <mergeCell ref="L58:M58"/>
    <mergeCell ref="N58:O58"/>
    <mergeCell ref="P58:R58"/>
    <mergeCell ref="J60:R60"/>
    <mergeCell ref="J61:K61"/>
    <mergeCell ref="L61:M61"/>
    <mergeCell ref="N61:O61"/>
    <mergeCell ref="P61:R61"/>
    <mergeCell ref="J62:K62"/>
    <mergeCell ref="L62:M62"/>
    <mergeCell ref="N62:O62"/>
    <mergeCell ref="P62:R62"/>
  </mergeCells>
  <pageMargins left="0.511811024" right="0.511811024" top="0.78740157499999996" bottom="0.78740157499999996" header="0.31496062000000002" footer="0.31496062000000002"/>
  <drawing r:id="rId1"/>
  <legacyDrawing r:id="rId2"/>
  <oleObjects>
    <mc:AlternateContent xmlns:mc="http://schemas.openxmlformats.org/markup-compatibility/2006">
      <mc:Choice Requires="x14">
        <oleObject progId="AutoCAD.Drawing.18" shapeId="52235" r:id="rId3">
          <objectPr defaultSize="0" autoPict="0" r:id="rId4">
            <anchor moveWithCells="1">
              <from>
                <xdr:col>1</xdr:col>
                <xdr:colOff>76200</xdr:colOff>
                <xdr:row>3</xdr:row>
                <xdr:rowOff>57150</xdr:rowOff>
              </from>
              <to>
                <xdr:col>6</xdr:col>
                <xdr:colOff>742950</xdr:colOff>
                <xdr:row>15</xdr:row>
                <xdr:rowOff>161925</xdr:rowOff>
              </to>
            </anchor>
          </objectPr>
        </oleObject>
      </mc:Choice>
      <mc:Fallback>
        <oleObject progId="AutoCAD.Drawing.18" shapeId="52235" r:id="rId3"/>
      </mc:Fallback>
    </mc:AlternateContent>
    <mc:AlternateContent xmlns:mc="http://schemas.openxmlformats.org/markup-compatibility/2006">
      <mc:Choice Requires="x14">
        <oleObject progId="AutoCAD.Drawing.18" shapeId="52238" r:id="rId5">
          <objectPr defaultSize="0" autoPict="0" r:id="rId6">
            <anchor moveWithCells="1">
              <from>
                <xdr:col>8</xdr:col>
                <xdr:colOff>0</xdr:colOff>
                <xdr:row>3</xdr:row>
                <xdr:rowOff>38100</xdr:rowOff>
              </from>
              <to>
                <xdr:col>17</xdr:col>
                <xdr:colOff>133350</xdr:colOff>
                <xdr:row>15</xdr:row>
                <xdr:rowOff>161925</xdr:rowOff>
              </to>
            </anchor>
          </objectPr>
        </oleObject>
      </mc:Choice>
      <mc:Fallback>
        <oleObject progId="AutoCAD.Drawing.18" shapeId="52238" r:id="rId5"/>
      </mc:Fallback>
    </mc:AlternateContent>
    <mc:AlternateContent xmlns:mc="http://schemas.openxmlformats.org/markup-compatibility/2006">
      <mc:Choice Requires="x14">
        <oleObject progId="AutoCAD.Drawing.18" shapeId="52240" r:id="rId7">
          <objectPr defaultSize="0" autoPict="0" r:id="rId8">
            <anchor moveWithCells="1">
              <from>
                <xdr:col>1</xdr:col>
                <xdr:colOff>85725</xdr:colOff>
                <xdr:row>16</xdr:row>
                <xdr:rowOff>47625</xdr:rowOff>
              </from>
              <to>
                <xdr:col>6</xdr:col>
                <xdr:colOff>276225</xdr:colOff>
                <xdr:row>26</xdr:row>
                <xdr:rowOff>133350</xdr:rowOff>
              </to>
            </anchor>
          </objectPr>
        </oleObject>
      </mc:Choice>
      <mc:Fallback>
        <oleObject progId="AutoCAD.Drawing.18" shapeId="52240" r:id="rId7"/>
      </mc:Fallback>
    </mc:AlternateContent>
    <mc:AlternateContent xmlns:mc="http://schemas.openxmlformats.org/markup-compatibility/2006">
      <mc:Choice Requires="x14">
        <oleObject progId="AutoCAD.Drawing.18" shapeId="52243" r:id="rId9">
          <objectPr defaultSize="0" autoPict="0" r:id="rId10">
            <anchor>
              <from>
                <xdr:col>9</xdr:col>
                <xdr:colOff>228600</xdr:colOff>
                <xdr:row>41</xdr:row>
                <xdr:rowOff>0</xdr:rowOff>
              </from>
              <to>
                <xdr:col>15</xdr:col>
                <xdr:colOff>333375</xdr:colOff>
                <xdr:row>46</xdr:row>
                <xdr:rowOff>19050</xdr:rowOff>
              </to>
            </anchor>
          </objectPr>
        </oleObject>
      </mc:Choice>
      <mc:Fallback>
        <oleObject progId="AutoCAD.Drawing.18" shapeId="52243" r:id="rId9"/>
      </mc:Fallback>
    </mc:AlternateContent>
    <mc:AlternateContent xmlns:mc="http://schemas.openxmlformats.org/markup-compatibility/2006">
      <mc:Choice Requires="x14">
        <oleObject progId="AutoCAD.Drawing.18" shapeId="52246" r:id="rId11">
          <objectPr defaultSize="0" autoPict="0" r:id="rId10">
            <anchor>
              <from>
                <xdr:col>2</xdr:col>
                <xdr:colOff>352425</xdr:colOff>
                <xdr:row>40</xdr:row>
                <xdr:rowOff>171450</xdr:rowOff>
              </from>
              <to>
                <xdr:col>7</xdr:col>
                <xdr:colOff>390525</xdr:colOff>
                <xdr:row>46</xdr:row>
                <xdr:rowOff>0</xdr:rowOff>
              </to>
            </anchor>
          </objectPr>
        </oleObject>
      </mc:Choice>
      <mc:Fallback>
        <oleObject progId="AutoCAD.Drawing.18" shapeId="52246" r:id="rId11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31" r:id="rId12" name="Button 7">
              <controlPr defaultSize="0" print="0" autoFill="0" autoPict="0" macro="[0]!inicio">
                <anchor moveWithCells="1" sizeWithCells="1">
                  <from>
                    <xdr:col>18</xdr:col>
                    <xdr:colOff>371475</xdr:colOff>
                    <xdr:row>58</xdr:row>
                    <xdr:rowOff>28575</xdr:rowOff>
                  </from>
                  <to>
                    <xdr:col>19</xdr:col>
                    <xdr:colOff>381000</xdr:colOff>
                    <xdr:row>61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48</vt:i4>
      </vt:variant>
    </vt:vector>
  </HeadingPairs>
  <TitlesOfParts>
    <vt:vector size="48" baseType="lpstr">
      <vt:lpstr>Abertura</vt:lpstr>
      <vt:lpstr>Entradas1</vt:lpstr>
      <vt:lpstr>Entradas2</vt:lpstr>
      <vt:lpstr>Blocos</vt:lpstr>
      <vt:lpstr>1 Estaca</vt:lpstr>
      <vt:lpstr>1 Est Arm</vt:lpstr>
      <vt:lpstr>1 Est Rel Final</vt:lpstr>
      <vt:lpstr>2 Estacas</vt:lpstr>
      <vt:lpstr>2 Est Armadura</vt:lpstr>
      <vt:lpstr>2 Est Rel Final</vt:lpstr>
      <vt:lpstr>3 Estacas1</vt:lpstr>
      <vt:lpstr>3 Est1 Arm</vt:lpstr>
      <vt:lpstr>Rel Final3.1</vt:lpstr>
      <vt:lpstr>3 Estacas2</vt:lpstr>
      <vt:lpstr>3 Estac 2 Arm</vt:lpstr>
      <vt:lpstr>3 Est 2 Arm Lados</vt:lpstr>
      <vt:lpstr>3 Est 2 Arm Lados Dist</vt:lpstr>
      <vt:lpstr>3 Est2 LAdosRelFinal</vt:lpstr>
      <vt:lpstr>3 Est 2 Arm Medianas</vt:lpstr>
      <vt:lpstr>3 Est2 Arm Median. Dist</vt:lpstr>
      <vt:lpstr>3 Est 2 Median. RelFinal</vt:lpstr>
      <vt:lpstr>4 Estacas1</vt:lpstr>
      <vt:lpstr>4 Est1 Arm</vt:lpstr>
      <vt:lpstr>Rel Final4.1</vt:lpstr>
      <vt:lpstr>4 Estacas2</vt:lpstr>
      <vt:lpstr>4 Est2 Arm1</vt:lpstr>
      <vt:lpstr>4 Est 2 Armadlados</vt:lpstr>
      <vt:lpstr>4 Est 2 Armlados dist</vt:lpstr>
      <vt:lpstr>4Est 2LadosRel Fin</vt:lpstr>
      <vt:lpstr>4 Est2 DiagoArm</vt:lpstr>
      <vt:lpstr>4 Est2 DiagoArmDist</vt:lpstr>
      <vt:lpstr>4 Est2 Diag Rel Final</vt:lpstr>
      <vt:lpstr>5 Estacas1</vt:lpstr>
      <vt:lpstr>5 Estacas1Arm</vt:lpstr>
      <vt:lpstr>5 Estacas1 Arm Dist</vt:lpstr>
      <vt:lpstr>5 Est 1 Rel Final</vt:lpstr>
      <vt:lpstr>5 Estacas2</vt:lpstr>
      <vt:lpstr>5 Estacas2Arm</vt:lpstr>
      <vt:lpstr>5 Estacas2 Arm.Lados</vt:lpstr>
      <vt:lpstr>5 Estacas2Lados Arrm Dist</vt:lpstr>
      <vt:lpstr>5 Estacas Relatório Final</vt:lpstr>
      <vt:lpstr>5 Estacas2Arm.Medianas</vt:lpstr>
      <vt:lpstr>5Est Med. Dist</vt:lpstr>
      <vt:lpstr>5 Estacas2 Med.Relat. Fina</vt:lpstr>
      <vt:lpstr>6 Estacas</vt:lpstr>
      <vt:lpstr>6 Est. Arm</vt:lpstr>
      <vt:lpstr>6 Est. Arm Dist</vt:lpstr>
      <vt:lpstr>Rel Final 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Rhuan</dc:creator>
  <cp:lastModifiedBy>Inspiron</cp:lastModifiedBy>
  <dcterms:created xsi:type="dcterms:W3CDTF">2011-02-17T11:55:40Z</dcterms:created>
  <dcterms:modified xsi:type="dcterms:W3CDTF">2013-07-23T17:09:43Z</dcterms:modified>
</cp:coreProperties>
</file>